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C8B9C3D5-EB74-4818-9DC7-7FD73AFA7DAF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06" i="1" l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7" i="7"/>
  <c r="D11" i="7"/>
  <c r="E11" i="7"/>
  <c r="F11" i="7"/>
  <c r="G11" i="7"/>
  <c r="H11" i="7"/>
  <c r="I11" i="7"/>
  <c r="D17" i="7"/>
  <c r="E17" i="7"/>
  <c r="F17" i="7"/>
  <c r="G17" i="7"/>
  <c r="H17" i="7"/>
  <c r="I17" i="7"/>
  <c r="D32" i="7"/>
  <c r="E32" i="7"/>
  <c r="F32" i="7"/>
  <c r="G32" i="7"/>
  <c r="H32" i="7"/>
  <c r="D21" i="7"/>
  <c r="E21" i="7"/>
  <c r="F21" i="7"/>
  <c r="G21" i="7"/>
  <c r="D18" i="7"/>
  <c r="E18" i="7"/>
  <c r="F18" i="7"/>
  <c r="G18" i="7"/>
  <c r="D24" i="7"/>
  <c r="E24" i="7"/>
  <c r="F24" i="7"/>
  <c r="G24" i="7"/>
  <c r="H24" i="7"/>
  <c r="I24" i="7"/>
  <c r="D2" i="7"/>
  <c r="E2" i="7"/>
  <c r="F2" i="7"/>
  <c r="G2" i="7"/>
  <c r="H2" i="7"/>
  <c r="I2" i="7"/>
  <c r="D29" i="7"/>
  <c r="E29" i="7"/>
  <c r="F29" i="7"/>
  <c r="G29" i="7"/>
  <c r="H29" i="7"/>
  <c r="D4" i="7"/>
  <c r="E4" i="7"/>
  <c r="F4" i="7"/>
  <c r="G4" i="7"/>
  <c r="D31" i="7"/>
  <c r="E31" i="7"/>
  <c r="F31" i="7"/>
  <c r="G31" i="7"/>
  <c r="D22" i="7"/>
  <c r="E22" i="7"/>
  <c r="F22" i="7"/>
  <c r="G22" i="7"/>
  <c r="H22" i="7"/>
  <c r="I22" i="7"/>
  <c r="D3" i="7"/>
  <c r="E3" i="7"/>
  <c r="F3" i="7"/>
  <c r="G3" i="7"/>
  <c r="H3" i="7"/>
  <c r="D10" i="7"/>
  <c r="D25" i="7"/>
  <c r="E25" i="7"/>
  <c r="F25" i="7"/>
  <c r="G25" i="7"/>
  <c r="H25" i="7"/>
  <c r="I25" i="7"/>
  <c r="D16" i="7"/>
  <c r="E16" i="7"/>
  <c r="F16" i="7"/>
  <c r="G16" i="7"/>
  <c r="H16" i="7"/>
  <c r="I16" i="7"/>
  <c r="D14" i="7"/>
  <c r="E14" i="7"/>
  <c r="F14" i="7"/>
  <c r="G14" i="7"/>
  <c r="D8" i="7"/>
  <c r="E8" i="7"/>
  <c r="F8" i="7"/>
  <c r="G8" i="7"/>
  <c r="H8" i="7"/>
  <c r="I8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3" i="7"/>
  <c r="E23" i="7"/>
  <c r="F23" i="7"/>
  <c r="G23" i="7"/>
  <c r="H23" i="7"/>
  <c r="D9" i="7"/>
  <c r="E9" i="7"/>
  <c r="F9" i="7"/>
  <c r="G9" i="7"/>
  <c r="H9" i="7"/>
  <c r="I9" i="7"/>
  <c r="D5" i="7"/>
  <c r="E5" i="7"/>
  <c r="F5" i="7"/>
  <c r="G5" i="7"/>
  <c r="H5" i="7"/>
  <c r="D20" i="7"/>
  <c r="E20" i="7"/>
  <c r="F20" i="7"/>
  <c r="G20" i="7"/>
  <c r="H20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2" i="7"/>
  <c r="E12" i="7"/>
  <c r="F12" i="7"/>
  <c r="G12" i="7"/>
  <c r="H12" i="7"/>
  <c r="E30" i="7"/>
  <c r="F30" i="7"/>
  <c r="G30" i="7"/>
  <c r="H30" i="7"/>
  <c r="I30" i="7"/>
  <c r="D30" i="7"/>
  <c r="CR34" i="2" a="1"/>
  <c r="BB21" i="2"/>
  <c r="BB6" i="2"/>
  <c r="BB32" i="2"/>
  <c r="BB20" i="2"/>
  <c r="BB29" i="2"/>
  <c r="BB11" i="2"/>
  <c r="BB17" i="2"/>
  <c r="BB25" i="2"/>
  <c r="BB31" i="2"/>
  <c r="BB16" i="2"/>
  <c r="BB5" i="2"/>
  <c r="BB2" i="2"/>
  <c r="BB10" i="2"/>
  <c r="BB28" i="2"/>
  <c r="BB14" i="2"/>
  <c r="BB22" i="2"/>
  <c r="BB13" i="2"/>
  <c r="BB27" i="2"/>
  <c r="BB8" i="2"/>
  <c r="BB4" i="2"/>
  <c r="BB19" i="2"/>
  <c r="BB24" i="2"/>
  <c r="BB23" i="2"/>
  <c r="BB18" i="2"/>
  <c r="BB3" i="2"/>
  <c r="BB15" i="2"/>
  <c r="BB30" i="2"/>
  <c r="BB12" i="2"/>
  <c r="BB7" i="2"/>
  <c r="BB33" i="2"/>
  <c r="BB26" i="2"/>
  <c r="BB9" i="2"/>
  <c r="AX21" i="2"/>
  <c r="AX6" i="2"/>
  <c r="AX32" i="2"/>
  <c r="AX20" i="2"/>
  <c r="AX29" i="2"/>
  <c r="AX11" i="2"/>
  <c r="AX17" i="2"/>
  <c r="AX25" i="2"/>
  <c r="AX31" i="2"/>
  <c r="AX16" i="2"/>
  <c r="AX5" i="2"/>
  <c r="AX2" i="2"/>
  <c r="AX10" i="2"/>
  <c r="AX28" i="2"/>
  <c r="AX14" i="2"/>
  <c r="AX22" i="2"/>
  <c r="AX13" i="2"/>
  <c r="AX27" i="2"/>
  <c r="AX8" i="2"/>
  <c r="AX4" i="2"/>
  <c r="AX19" i="2"/>
  <c r="AX24" i="2"/>
  <c r="AX23" i="2"/>
  <c r="AX18" i="2"/>
  <c r="AX3" i="2"/>
  <c r="AX15" i="2"/>
  <c r="AX30" i="2"/>
  <c r="AX12" i="2"/>
  <c r="AX7" i="2"/>
  <c r="AX33" i="2"/>
  <c r="AX26" i="2"/>
  <c r="AX9" i="2"/>
  <c r="AY29" i="2"/>
  <c r="AZ29" i="2"/>
  <c r="BC29" i="2"/>
  <c r="BD29" i="2"/>
  <c r="AY28" i="2"/>
  <c r="AZ28" i="2"/>
  <c r="BC28" i="2"/>
  <c r="BD28" i="2"/>
  <c r="AY5" i="2"/>
  <c r="AZ5" i="2"/>
  <c r="BC5" i="2"/>
  <c r="BD5" i="2"/>
  <c r="AY23" i="2"/>
  <c r="AZ23" i="2"/>
  <c r="BC23" i="2"/>
  <c r="BD23" i="2"/>
  <c r="AY32" i="2"/>
  <c r="AZ32" i="2"/>
  <c r="BC32" i="2"/>
  <c r="BD32" i="2"/>
  <c r="AY17" i="2"/>
  <c r="AZ17" i="2"/>
  <c r="BC17" i="2"/>
  <c r="BD17" i="2"/>
  <c r="AY2" i="2"/>
  <c r="AZ2" i="2"/>
  <c r="BC2" i="2"/>
  <c r="BD2" i="2"/>
  <c r="AY18" i="2"/>
  <c r="AZ18" i="2"/>
  <c r="BC18" i="2"/>
  <c r="BD18" i="2"/>
  <c r="AY8" i="2"/>
  <c r="AZ8" i="2"/>
  <c r="BC8" i="2"/>
  <c r="BD8" i="2"/>
  <c r="AY21" i="2"/>
  <c r="AZ21" i="2"/>
  <c r="BC21" i="2"/>
  <c r="BD21" i="2"/>
  <c r="AY20" i="2"/>
  <c r="AZ20" i="2"/>
  <c r="BC20" i="2"/>
  <c r="BD20" i="2"/>
  <c r="AY27" i="2"/>
  <c r="AZ27" i="2"/>
  <c r="BC27" i="2"/>
  <c r="BD27" i="2"/>
  <c r="AY24" i="2"/>
  <c r="AZ24" i="2"/>
  <c r="BC24" i="2"/>
  <c r="BD24" i="2"/>
  <c r="AY7" i="2"/>
  <c r="AZ7" i="2"/>
  <c r="BC7" i="2"/>
  <c r="BD7" i="2"/>
  <c r="AY4" i="2"/>
  <c r="AZ4" i="2"/>
  <c r="BC4" i="2"/>
  <c r="BD4" i="2"/>
  <c r="AY26" i="2"/>
  <c r="AZ26" i="2"/>
  <c r="BC26" i="2"/>
  <c r="BD26" i="2"/>
  <c r="AY22" i="2"/>
  <c r="AZ22" i="2"/>
  <c r="BC22" i="2"/>
  <c r="BD22" i="2"/>
  <c r="AY25" i="2"/>
  <c r="AZ25" i="2"/>
  <c r="BC25" i="2"/>
  <c r="BD25" i="2"/>
  <c r="AY30" i="2"/>
  <c r="AZ30" i="2"/>
  <c r="BC30" i="2"/>
  <c r="BD30" i="2"/>
  <c r="AY13" i="2"/>
  <c r="AZ13" i="2"/>
  <c r="BC13" i="2"/>
  <c r="BD13" i="2"/>
  <c r="AY10" i="2"/>
  <c r="AZ10" i="2"/>
  <c r="BC10" i="2"/>
  <c r="BD10" i="2"/>
  <c r="AY15" i="2"/>
  <c r="AZ15" i="2"/>
  <c r="BC15" i="2"/>
  <c r="BD15" i="2"/>
  <c r="AY33" i="2"/>
  <c r="AZ33" i="2"/>
  <c r="BC33" i="2"/>
  <c r="BD33" i="2"/>
  <c r="AY12" i="2"/>
  <c r="AZ12" i="2"/>
  <c r="BC12" i="2"/>
  <c r="BD12" i="2"/>
  <c r="AY31" i="2"/>
  <c r="AZ31" i="2"/>
  <c r="BC31" i="2"/>
  <c r="BD31" i="2"/>
  <c r="AY19" i="2"/>
  <c r="AZ19" i="2"/>
  <c r="BC19" i="2"/>
  <c r="BD19" i="2"/>
  <c r="AY11" i="2"/>
  <c r="AZ11" i="2"/>
  <c r="BC11" i="2"/>
  <c r="BD11" i="2"/>
  <c r="AY16" i="2"/>
  <c r="AZ16" i="2"/>
  <c r="BC16" i="2"/>
  <c r="BD16" i="2"/>
  <c r="AY3" i="2"/>
  <c r="AZ3" i="2"/>
  <c r="BC3" i="2"/>
  <c r="BD3" i="2"/>
  <c r="AY6" i="2"/>
  <c r="AZ6" i="2"/>
  <c r="BC6" i="2"/>
  <c r="BD6" i="2"/>
  <c r="AY9" i="2"/>
  <c r="AZ9" i="2"/>
  <c r="BC9" i="2"/>
  <c r="BD9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0" i="7"/>
  <c r="I58" i="7"/>
  <c r="I57" i="7"/>
  <c r="E7" i="7"/>
  <c r="E45" i="7"/>
  <c r="I48" i="7"/>
  <c r="H48" i="7"/>
  <c r="G48" i="7"/>
  <c r="F48" i="7"/>
  <c r="E48" i="7"/>
  <c r="BS5" i="1" a="1"/>
  <c r="I27" i="7"/>
  <c r="I23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9" i="2"/>
  <c r="CE9" i="2" s="1"/>
  <c r="CF6" i="2"/>
  <c r="CE6" i="2" s="1"/>
  <c r="CF3" i="2"/>
  <c r="CE3" i="2" s="1"/>
  <c r="CF21" i="2"/>
  <c r="CE21" i="2" s="1"/>
  <c r="CF27" i="2"/>
  <c r="CE27" i="2" s="1"/>
  <c r="CF24" i="2"/>
  <c r="CE24" i="2" s="1"/>
  <c r="CF18" i="2"/>
  <c r="CE18" i="2" s="1"/>
  <c r="CF19" i="2"/>
  <c r="CE19" i="2" s="1"/>
  <c r="CF5" i="2"/>
  <c r="CE5" i="2" s="1"/>
  <c r="CF2" i="2"/>
  <c r="CE2" i="2" s="1"/>
  <c r="CF4" i="2"/>
  <c r="CE4" i="2" s="1"/>
  <c r="CF20" i="2"/>
  <c r="CE20" i="2" s="1"/>
  <c r="CF31" i="2"/>
  <c r="CE31" i="2" s="1"/>
  <c r="CF32" i="2"/>
  <c r="CE32" i="2" s="1"/>
  <c r="CF23" i="2"/>
  <c r="CE23" i="2" s="1"/>
  <c r="CF30" i="2"/>
  <c r="CE30" i="2" s="1"/>
  <c r="CF16" i="2"/>
  <c r="CE16" i="2" s="1"/>
  <c r="CF7" i="2"/>
  <c r="CE7" i="2" s="1"/>
  <c r="CF29" i="2"/>
  <c r="CE29" i="2" s="1"/>
  <c r="CF8" i="2"/>
  <c r="CE8" i="2" s="1"/>
  <c r="CF12" i="2"/>
  <c r="CE12" i="2" s="1"/>
  <c r="CF25" i="2"/>
  <c r="CE25" i="2" s="1"/>
  <c r="CF13" i="2"/>
  <c r="CE13" i="2" s="1"/>
  <c r="CF10" i="2"/>
  <c r="CE10" i="2" s="1"/>
  <c r="CF11" i="2"/>
  <c r="CE11" i="2" s="1"/>
  <c r="CF14" i="2"/>
  <c r="CE14" i="2" s="1"/>
  <c r="CF22" i="2"/>
  <c r="CE22" i="2" s="1"/>
  <c r="CF15" i="2"/>
  <c r="CE15" i="2" s="1"/>
  <c r="CF28" i="2"/>
  <c r="CE28" i="2" s="1"/>
  <c r="CF26" i="2"/>
  <c r="CE26" i="2" s="1"/>
  <c r="CF33" i="2"/>
  <c r="CE33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3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4" i="2" l="1"/>
  <c r="D24" i="2"/>
  <c r="D22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3" i="2"/>
  <c r="O33" i="2"/>
  <c r="M33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4" i="2"/>
  <c r="V4" i="2"/>
  <c r="W4" i="2"/>
  <c r="AP47" i="5"/>
  <c r="AU42" i="5"/>
  <c r="AI32" i="5"/>
  <c r="AF35" i="5"/>
  <c r="BD39" i="5"/>
  <c r="AM56" i="5"/>
  <c r="AZ15" i="5"/>
  <c r="O52" i="5"/>
  <c r="BF13" i="5"/>
  <c r="M58" i="5"/>
  <c r="V11" i="2"/>
  <c r="W11" i="2"/>
  <c r="U11" i="2"/>
  <c r="V25" i="5"/>
  <c r="Y22" i="5"/>
  <c r="AO8" i="5"/>
  <c r="H41" i="5"/>
  <c r="AX9" i="5"/>
  <c r="I50" i="5"/>
  <c r="D33" i="2"/>
  <c r="AS4" i="5"/>
  <c r="D45" i="5"/>
  <c r="T29" i="5"/>
  <c r="AC20" i="5"/>
  <c r="N61" i="5"/>
  <c r="BI14" i="5"/>
  <c r="D3" i="2"/>
  <c r="V14" i="2"/>
  <c r="W14" i="2"/>
  <c r="U14" i="2"/>
  <c r="O5" i="2"/>
  <c r="N5" i="2"/>
  <c r="M5" i="2"/>
  <c r="W18" i="2"/>
  <c r="V18" i="2"/>
  <c r="U18" i="2"/>
  <c r="AN23" i="5"/>
  <c r="W40" i="5"/>
  <c r="BN53" i="5"/>
  <c r="BA66" i="5"/>
  <c r="AI56" i="5"/>
  <c r="BD35" i="5"/>
  <c r="AU32" i="5"/>
  <c r="AF47" i="5"/>
  <c r="N21" i="2"/>
  <c r="O21" i="2"/>
  <c r="M21" i="2"/>
  <c r="N15" i="2"/>
  <c r="W7" i="2"/>
  <c r="U7" i="2"/>
  <c r="O15" i="2"/>
  <c r="M15" i="2"/>
  <c r="V7" i="2"/>
  <c r="W27" i="2"/>
  <c r="T27" i="2"/>
  <c r="U27" i="2"/>
  <c r="V27" i="2"/>
  <c r="S66" i="1"/>
  <c r="T4" i="2"/>
  <c r="AA62" i="5"/>
  <c r="BJ27" i="5"/>
  <c r="E66" i="5"/>
  <c r="BN5" i="5"/>
  <c r="S62" i="1"/>
  <c r="T11" i="2"/>
  <c r="S77" i="1"/>
  <c r="L33" i="2"/>
  <c r="AH23" i="8"/>
  <c r="S58" i="1"/>
  <c r="T14" i="2"/>
  <c r="S57" i="1"/>
  <c r="L5" i="2"/>
  <c r="T3" i="2"/>
  <c r="V3" i="2"/>
  <c r="W3" i="2"/>
  <c r="U3" i="2"/>
  <c r="T18" i="2"/>
  <c r="U9" i="2"/>
  <c r="V9" i="2"/>
  <c r="O29" i="2"/>
  <c r="W9" i="2"/>
  <c r="N29" i="2"/>
  <c r="T9" i="2"/>
  <c r="S53" i="1"/>
  <c r="L21" i="2"/>
  <c r="S52" i="1"/>
  <c r="T7" i="2"/>
  <c r="L15" i="2"/>
  <c r="N10" i="2"/>
  <c r="O10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3" i="2"/>
  <c r="T23" i="2"/>
  <c r="V23" i="2"/>
  <c r="W23" i="2"/>
  <c r="S46" i="1"/>
  <c r="M20" i="2"/>
  <c r="W13" i="2"/>
  <c r="L20" i="2"/>
  <c r="T13" i="2"/>
  <c r="U13" i="2"/>
  <c r="O20" i="2"/>
  <c r="V13" i="2"/>
  <c r="N20" i="2"/>
  <c r="AP35" i="5"/>
  <c r="AI42" i="5"/>
  <c r="F53" i="5"/>
  <c r="BA6" i="5"/>
  <c r="AL63" i="5"/>
  <c r="BK38" i="5"/>
  <c r="D28" i="2"/>
  <c r="Q8" i="5"/>
  <c r="H17" i="5"/>
  <c r="S45" i="1"/>
  <c r="N8" i="2"/>
  <c r="W19" i="2"/>
  <c r="O8" i="2"/>
  <c r="L8" i="2"/>
  <c r="V19" i="2"/>
  <c r="M8" i="2"/>
  <c r="S44" i="1"/>
  <c r="N6" i="2"/>
  <c r="M6" i="2"/>
  <c r="O6" i="2"/>
  <c r="L6" i="2"/>
  <c r="S43" i="1"/>
  <c r="W30" i="2"/>
  <c r="O26" i="2"/>
  <c r="M26" i="2"/>
  <c r="V30" i="2"/>
  <c r="U30" i="2"/>
  <c r="T30" i="2"/>
  <c r="L26" i="2"/>
  <c r="N26" i="2"/>
  <c r="M31" i="2"/>
  <c r="L31" i="2"/>
  <c r="O31" i="2"/>
  <c r="N31" i="2"/>
  <c r="S41" i="1"/>
  <c r="O2" i="2"/>
  <c r="N2" i="2"/>
  <c r="BM40" i="5"/>
  <c r="AN65" i="5"/>
  <c r="D9" i="2"/>
  <c r="U25" i="2"/>
  <c r="T25" i="2"/>
  <c r="W25" i="2"/>
  <c r="V25" i="2"/>
  <c r="BI48" i="5"/>
  <c r="AV61" i="5"/>
  <c r="BG24" i="5"/>
  <c r="X59" i="5"/>
  <c r="S18" i="5"/>
  <c r="R19" i="5"/>
  <c r="D18" i="2"/>
  <c r="C50" i="5"/>
  <c r="AX3" i="5"/>
  <c r="AD11" i="5"/>
  <c r="K30" i="5"/>
  <c r="BE36" i="5"/>
  <c r="AJ57" i="5"/>
  <c r="D26" i="2"/>
  <c r="N16" i="2"/>
  <c r="M16" i="2"/>
  <c r="L16" i="2"/>
  <c r="U21" i="2"/>
  <c r="W21" i="2"/>
  <c r="O16" i="2"/>
  <c r="V21" i="2"/>
  <c r="T21" i="2"/>
  <c r="V24" i="2"/>
  <c r="T24" i="2"/>
  <c r="U24" i="2"/>
  <c r="W24" i="2"/>
  <c r="BM38" i="5"/>
  <c r="AL65" i="5"/>
  <c r="M9" i="2"/>
  <c r="O9" i="2"/>
  <c r="V22" i="2"/>
  <c r="L9" i="2"/>
  <c r="T22" i="2"/>
  <c r="N9" i="2"/>
  <c r="U22" i="2"/>
  <c r="W22" i="2"/>
  <c r="AO26" i="5"/>
  <c r="Z41" i="5"/>
  <c r="AM46" i="5"/>
  <c r="AT39" i="5"/>
  <c r="AG54" i="5"/>
  <c r="BB33" i="5"/>
  <c r="AQ10" i="5"/>
  <c r="D5" i="2"/>
  <c r="J43" i="5"/>
  <c r="D13" i="2"/>
  <c r="AE16" i="5"/>
  <c r="P31" i="5"/>
  <c r="G6" i="5"/>
  <c r="F7" i="5"/>
  <c r="S26" i="1"/>
  <c r="L28" i="2"/>
  <c r="M28" i="2"/>
  <c r="O28" i="2"/>
  <c r="N28" i="2"/>
  <c r="S33" i="1"/>
  <c r="V17" i="2"/>
  <c r="U17" i="2"/>
  <c r="W17" i="2"/>
  <c r="T17" i="2"/>
  <c r="BC22" i="5"/>
  <c r="V55" i="5"/>
  <c r="S27" i="1"/>
  <c r="L19" i="2"/>
  <c r="O19" i="2"/>
  <c r="N19" i="2"/>
  <c r="M19" i="2"/>
  <c r="AY14" i="5"/>
  <c r="N51" i="5"/>
  <c r="D12" i="2"/>
  <c r="W32" i="2"/>
  <c r="N12" i="2"/>
  <c r="M12" i="2"/>
  <c r="L12" i="2"/>
  <c r="O12" i="2"/>
  <c r="U32" i="2"/>
  <c r="T32" i="2"/>
  <c r="V32" i="2"/>
  <c r="BL27" i="5"/>
  <c r="AA64" i="5"/>
  <c r="D6" i="2"/>
  <c r="M27" i="2"/>
  <c r="N27" i="2"/>
  <c r="BH13" i="5"/>
  <c r="D16" i="2"/>
  <c r="M60" i="5"/>
  <c r="BI50" i="5"/>
  <c r="AX61" i="5"/>
  <c r="C48" i="5"/>
  <c r="AV3" i="5"/>
  <c r="D15" i="2"/>
  <c r="D14" i="2"/>
  <c r="U33" i="2"/>
  <c r="L3" i="2"/>
  <c r="M3" i="2"/>
  <c r="T33" i="2"/>
  <c r="V33" i="2"/>
  <c r="W33" i="2"/>
  <c r="N3" i="2"/>
  <c r="O3" i="2"/>
  <c r="S23" i="1"/>
  <c r="W15" i="2"/>
  <c r="U15" i="2"/>
  <c r="M14" i="2"/>
  <c r="N14" i="2"/>
  <c r="O14" i="2"/>
  <c r="T15" i="2"/>
  <c r="L14" i="2"/>
  <c r="V15" i="2"/>
  <c r="BE18" i="5"/>
  <c r="R57" i="5"/>
  <c r="D11" i="2"/>
  <c r="S21" i="1"/>
  <c r="M32" i="2"/>
  <c r="V16" i="2"/>
  <c r="W16" i="2"/>
  <c r="N32" i="2"/>
  <c r="U16" i="2"/>
  <c r="T16" i="2"/>
  <c r="L11" i="2"/>
  <c r="O11" i="2"/>
  <c r="W2" i="2"/>
  <c r="T2" i="2"/>
  <c r="U2" i="2"/>
  <c r="M11" i="2"/>
  <c r="V2" i="2"/>
  <c r="N11" i="2"/>
  <c r="BL19" i="5"/>
  <c r="S64" i="5"/>
  <c r="W6" i="2"/>
  <c r="O18" i="2"/>
  <c r="N18" i="2"/>
  <c r="M18" i="2"/>
  <c r="T6" i="2"/>
  <c r="U6" i="2"/>
  <c r="V6" i="2"/>
  <c r="L18" i="2"/>
  <c r="AJ11" i="5"/>
  <c r="K36" i="5"/>
  <c r="N23" i="2"/>
  <c r="M23" i="2"/>
  <c r="U26" i="2"/>
  <c r="L23" i="2"/>
  <c r="O23" i="2"/>
  <c r="V26" i="2"/>
  <c r="T26" i="2"/>
  <c r="W26" i="2"/>
  <c r="AG10" i="5"/>
  <c r="J33" i="5"/>
  <c r="W5" i="2"/>
  <c r="T5" i="2"/>
  <c r="U5" i="2"/>
  <c r="O4" i="2"/>
  <c r="M4" i="2"/>
  <c r="L4" i="2"/>
  <c r="N4" i="2"/>
  <c r="V5" i="2"/>
  <c r="AQ26" i="5"/>
  <c r="Z43" i="5"/>
  <c r="M13" i="2"/>
  <c r="W20" i="2"/>
  <c r="N13" i="2"/>
  <c r="O13" i="2"/>
  <c r="V20" i="2"/>
  <c r="L13" i="2"/>
  <c r="AO54" i="5"/>
  <c r="D30" i="2"/>
  <c r="D31" i="2"/>
  <c r="BB41" i="5"/>
  <c r="N30" i="2"/>
  <c r="T31" i="2"/>
  <c r="L30" i="2"/>
  <c r="W31" i="2"/>
  <c r="O30" i="2"/>
  <c r="U31" i="2"/>
  <c r="M30" i="2"/>
  <c r="V31" i="2"/>
  <c r="AE22" i="5"/>
  <c r="V31" i="5"/>
  <c r="D8" i="2"/>
  <c r="W8" i="2"/>
  <c r="L7" i="2"/>
  <c r="U8" i="2"/>
  <c r="T8" i="2"/>
  <c r="O7" i="2"/>
  <c r="V8" i="2"/>
  <c r="N7" i="2"/>
  <c r="M7" i="2"/>
  <c r="AM8" i="5"/>
  <c r="H39" i="5"/>
  <c r="N25" i="2"/>
  <c r="V28" i="2"/>
  <c r="O25" i="2"/>
  <c r="U28" i="2"/>
  <c r="T28" i="2"/>
  <c r="W28" i="2"/>
  <c r="M25" i="2"/>
  <c r="L25" i="2"/>
  <c r="O6" i="5"/>
  <c r="F15" i="5"/>
  <c r="D29" i="2"/>
  <c r="O17" i="2"/>
  <c r="W29" i="2"/>
  <c r="V29" i="2"/>
  <c r="U29" i="2"/>
  <c r="T29" i="2"/>
  <c r="L17" i="2"/>
  <c r="N17" i="2"/>
  <c r="M17" i="2"/>
  <c r="AK46" i="5"/>
  <c r="AT37" i="5"/>
  <c r="O22" i="2"/>
  <c r="N22" i="2"/>
  <c r="T10" i="2"/>
  <c r="V10" i="2"/>
  <c r="W10" i="2"/>
  <c r="M22" i="2"/>
  <c r="U10" i="2"/>
  <c r="L22" i="2"/>
  <c r="AC52" i="5"/>
  <c r="AZ29" i="5"/>
  <c r="S17" i="1"/>
  <c r="W12" i="2"/>
  <c r="U12" i="2"/>
  <c r="L24" i="2"/>
  <c r="N24" i="2"/>
  <c r="O24" i="2"/>
  <c r="M24" i="2"/>
  <c r="V12" i="2"/>
  <c r="T12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3" i="2"/>
  <c r="I23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0" i="2"/>
  <c r="I10" i="2" s="1"/>
  <c r="F22" i="2"/>
  <c r="G22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1" i="2"/>
  <c r="I11" i="2" s="1"/>
  <c r="BF13" i="4"/>
  <c r="M58" i="4"/>
  <c r="AT57" i="10"/>
  <c r="BE46" i="10"/>
  <c r="AT57" i="8"/>
  <c r="BE46" i="8"/>
  <c r="H13" i="2"/>
  <c r="I13" i="2" s="1"/>
  <c r="F20" i="2"/>
  <c r="G20" i="2" s="1"/>
  <c r="AR25" i="4"/>
  <c r="Y44" i="4"/>
  <c r="AP49" i="10"/>
  <c r="AW42" i="10"/>
  <c r="AP49" i="8"/>
  <c r="AW42" i="8"/>
  <c r="F9" i="2"/>
  <c r="G9" i="2" s="1"/>
  <c r="H22" i="2"/>
  <c r="I22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3" i="2"/>
  <c r="G33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8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31" i="2"/>
  <c r="I31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6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8" i="2"/>
  <c r="I8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6" i="2"/>
  <c r="G26" i="2" s="1"/>
  <c r="H30" i="2"/>
  <c r="I30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25" i="2"/>
  <c r="G25" i="2" s="1"/>
  <c r="H28" i="2"/>
  <c r="I28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5" i="2"/>
  <c r="I5" i="2" s="1"/>
  <c r="F4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31" i="2"/>
  <c r="G31" i="2" s="1"/>
  <c r="BA6" i="4"/>
  <c r="F53" i="4"/>
  <c r="BA52" i="10"/>
  <c r="AZ53" i="10"/>
  <c r="AZ53" i="8"/>
  <c r="BA52" i="8"/>
  <c r="F28" i="2"/>
  <c r="G28" i="2" s="1"/>
  <c r="G6" i="4"/>
  <c r="F7" i="4"/>
  <c r="S52" i="10"/>
  <c r="AZ19" i="10"/>
  <c r="AZ19" i="8"/>
  <c r="S52" i="8"/>
  <c r="H29" i="2"/>
  <c r="I29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5" i="2"/>
  <c r="G5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2" i="2"/>
  <c r="G12" i="2" s="1"/>
  <c r="H32" i="2"/>
  <c r="I32" i="2" s="1"/>
  <c r="AY14" i="4"/>
  <c r="N51" i="4"/>
  <c r="I18" i="10"/>
  <c r="R9" i="10"/>
  <c r="R9" i="8"/>
  <c r="I18" i="8"/>
  <c r="H3" i="2"/>
  <c r="I3" i="2" s="1"/>
  <c r="F27" i="2"/>
  <c r="G27" i="2" s="1"/>
  <c r="L27" i="2"/>
  <c r="O27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1" i="2"/>
  <c r="H21" i="2"/>
  <c r="I21" i="2" s="1"/>
  <c r="X13" i="5"/>
  <c r="M24" i="5"/>
  <c r="L32" i="2"/>
  <c r="F32" i="2"/>
  <c r="G32" i="2" s="1"/>
  <c r="D32" i="2"/>
  <c r="O32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5" i="2"/>
  <c r="I15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3" i="2"/>
  <c r="I33" i="2" s="1"/>
  <c r="BG66" i="10"/>
  <c r="BN59" i="10"/>
  <c r="BN59" i="8"/>
  <c r="BG66" i="8"/>
  <c r="T19" i="2"/>
  <c r="D7" i="2"/>
  <c r="H19" i="2"/>
  <c r="I19" i="2" s="1"/>
  <c r="BD31" i="5"/>
  <c r="AE56" i="5"/>
  <c r="D19" i="2"/>
  <c r="U19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8" i="2"/>
  <c r="I18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9" i="2"/>
  <c r="G29" i="2" s="1"/>
  <c r="E66" i="4"/>
  <c r="BN5" i="4"/>
  <c r="H9" i="2"/>
  <c r="I9" i="2" s="1"/>
  <c r="L29" i="2"/>
  <c r="M29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1" i="2"/>
  <c r="G21" i="2" s="1"/>
  <c r="AN23" i="4"/>
  <c r="W40" i="4"/>
  <c r="H15" i="10"/>
  <c r="O8" i="10"/>
  <c r="O8" i="8"/>
  <c r="H15" i="8"/>
  <c r="F16" i="2"/>
  <c r="G16" i="2" s="1"/>
  <c r="BG24" i="4"/>
  <c r="X59" i="4"/>
  <c r="E16" i="10"/>
  <c r="P5" i="10"/>
  <c r="P5" i="8"/>
  <c r="E16" i="8"/>
  <c r="H16" i="2"/>
  <c r="I16" i="2" s="1"/>
  <c r="BH13" i="4"/>
  <c r="M60" i="4"/>
  <c r="J21" i="10"/>
  <c r="U10" i="10"/>
  <c r="J21" i="8"/>
  <c r="U10" i="8"/>
  <c r="H27" i="2"/>
  <c r="I27" i="2" s="1"/>
  <c r="AB17" i="4"/>
  <c r="Q28" i="4"/>
  <c r="D2" i="2"/>
  <c r="F2" i="2"/>
  <c r="G2" i="2" s="1"/>
  <c r="L2" i="2"/>
  <c r="AB17" i="5"/>
  <c r="M2" i="2"/>
  <c r="Q28" i="5"/>
  <c r="D27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5" i="2"/>
  <c r="G15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2" i="2"/>
  <c r="I2" i="2" s="1"/>
  <c r="F11" i="2"/>
  <c r="G11" i="2" s="1"/>
  <c r="BE18" i="4"/>
  <c r="R57" i="4"/>
  <c r="AU44" i="10"/>
  <c r="AR47" i="10"/>
  <c r="AU44" i="8"/>
  <c r="AR47" i="8"/>
  <c r="D25" i="2"/>
  <c r="AS40" i="5"/>
  <c r="AN45" i="5"/>
  <c r="M10" i="2"/>
  <c r="F10" i="2"/>
  <c r="G10" i="2" s="1"/>
  <c r="H25" i="2"/>
  <c r="I25" i="2" s="1"/>
  <c r="D10" i="2"/>
  <c r="L10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6" i="2"/>
  <c r="F18" i="2"/>
  <c r="G18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3" i="2"/>
  <c r="G23" i="2" s="1"/>
  <c r="H26" i="2"/>
  <c r="I26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4" i="2"/>
  <c r="I24" i="2" s="1"/>
  <c r="K30" i="4"/>
  <c r="AD11" i="4"/>
  <c r="S58" i="10"/>
  <c r="BF19" i="10"/>
  <c r="BF19" i="8"/>
  <c r="S58" i="8"/>
  <c r="BD12" i="1"/>
  <c r="BD13" i="1"/>
  <c r="Z15" i="5"/>
  <c r="D20" i="2"/>
  <c r="O26" i="5"/>
  <c r="D17" i="2"/>
  <c r="CS10" i="2"/>
  <c r="F17" i="2"/>
  <c r="G17" i="2" s="1"/>
  <c r="CS9" i="2"/>
  <c r="Z15" i="4"/>
  <c r="U20" i="2"/>
  <c r="O26" i="4"/>
  <c r="H20" i="2"/>
  <c r="I20" i="2" s="1"/>
  <c r="T20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4" i="2"/>
  <c r="I4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4" i="2"/>
  <c r="G24" i="2" s="1"/>
  <c r="H12" i="2"/>
  <c r="I12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2" i="2"/>
  <c r="BU24" i="2"/>
  <c r="O991" i="1"/>
  <c r="AD991" i="1" s="1"/>
  <c r="BU21" i="2"/>
  <c r="BU18" i="2"/>
  <c r="BU19" i="2"/>
  <c r="BU16" i="2"/>
  <c r="BU12" i="2"/>
  <c r="BU30" i="2"/>
  <c r="BU6" i="2"/>
  <c r="BU17" i="2"/>
  <c r="BU23" i="2"/>
  <c r="BU4" i="2"/>
  <c r="BU28" i="2"/>
  <c r="BU3" i="2"/>
  <c r="BU26" i="2"/>
  <c r="BU32" i="2"/>
  <c r="BU5" i="2"/>
  <c r="BU29" i="2"/>
  <c r="BU11" i="2"/>
  <c r="BU33" i="2"/>
  <c r="BU22" i="2"/>
  <c r="BU20" i="2"/>
  <c r="BU25" i="2"/>
  <c r="BU10" i="2"/>
  <c r="BU31" i="2"/>
  <c r="BU15" i="2"/>
  <c r="BU9" i="2"/>
  <c r="BU14" i="2"/>
  <c r="BU13" i="2"/>
  <c r="BU8" i="2"/>
  <c r="O989" i="1"/>
  <c r="AD989" i="1" s="1"/>
  <c r="BU27" i="2"/>
  <c r="O984" i="1"/>
  <c r="AD984" i="1" s="1"/>
  <c r="BT22" i="2"/>
  <c r="O953" i="1"/>
  <c r="AD953" i="1" s="1"/>
  <c r="BT20" i="2"/>
  <c r="BT27" i="2"/>
  <c r="O977" i="1"/>
  <c r="AD977" i="1" s="1"/>
  <c r="BT3" i="2"/>
  <c r="BT21" i="2"/>
  <c r="BT7" i="2"/>
  <c r="BT2" i="2"/>
  <c r="BT26" i="2"/>
  <c r="BT16" i="2"/>
  <c r="BT24" i="2"/>
  <c r="BT30" i="2"/>
  <c r="BT5" i="2"/>
  <c r="BT9" i="2"/>
  <c r="BT10" i="2"/>
  <c r="BT32" i="2"/>
  <c r="BT6" i="2"/>
  <c r="BT25" i="2"/>
  <c r="BT28" i="2"/>
  <c r="BT15" i="2"/>
  <c r="BT12" i="2"/>
  <c r="BT19" i="2"/>
  <c r="BT29" i="2"/>
  <c r="BT23" i="2"/>
  <c r="BT31" i="2"/>
  <c r="BT14" i="2"/>
  <c r="BT4" i="2"/>
  <c r="BT17" i="2"/>
  <c r="BT18" i="2"/>
  <c r="BT11" i="2"/>
  <c r="BT13" i="2"/>
  <c r="BT8" i="2"/>
  <c r="BT33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995" i="1"/>
  <c r="AD854" i="1"/>
  <c r="AD758" i="1"/>
  <c r="AD742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185" i="1"/>
  <c r="AD1137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767" i="1"/>
  <c r="AD1310" i="1"/>
  <c r="AD1294" i="1"/>
  <c r="AD1278" i="1"/>
  <c r="AD1262" i="1"/>
  <c r="AD1230" i="1"/>
  <c r="AD1198" i="1"/>
  <c r="AD1070" i="1"/>
  <c r="AD896" i="1"/>
  <c r="AD1309" i="1"/>
  <c r="AD1293" i="1"/>
  <c r="AD1277" i="1"/>
  <c r="AD1261" i="1"/>
  <c r="AD1245" i="1"/>
  <c r="AD1229" i="1"/>
  <c r="AD1181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051" i="1"/>
  <c r="AD1035" i="1"/>
  <c r="AD987" i="1"/>
  <c r="AD971" i="1"/>
  <c r="AD1306" i="1"/>
  <c r="AD1290" i="1"/>
  <c r="AD1274" i="1"/>
  <c r="AD1258" i="1"/>
  <c r="AD1242" i="1"/>
  <c r="AD1130" i="1"/>
  <c r="AD1034" i="1"/>
  <c r="AD986" i="1"/>
  <c r="AD950" i="1"/>
  <c r="AD938" i="1"/>
  <c r="AD891" i="1"/>
  <c r="AD859" i="1"/>
  <c r="AD1305" i="1"/>
  <c r="AD1289" i="1"/>
  <c r="AD1273" i="1"/>
  <c r="AD1257" i="1"/>
  <c r="AD1241" i="1"/>
  <c r="AD1225" i="1"/>
  <c r="AD1209" i="1"/>
  <c r="AD119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8" i="1"/>
  <c r="AC1222" i="1"/>
  <c r="AC1204" i="1"/>
  <c r="AC1198" i="1"/>
  <c r="AC1192" i="1"/>
  <c r="AC1186" i="1"/>
  <c r="AC1168" i="1"/>
  <c r="AC1138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55" i="1"/>
  <c r="AC1149" i="1"/>
  <c r="AC1143" i="1"/>
  <c r="AC1095" i="1"/>
  <c r="AC1083" i="1"/>
  <c r="AC1059" i="1"/>
  <c r="AC1044" i="1"/>
  <c r="AC1035" i="1"/>
  <c r="AC1011" i="1"/>
  <c r="AC987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304" i="1"/>
  <c r="AC1292" i="1"/>
  <c r="AC1268" i="1"/>
  <c r="AC1238" i="1"/>
  <c r="AC1214" i="1"/>
  <c r="AC1202" i="1"/>
  <c r="AC1190" i="1"/>
  <c r="AC995" i="1"/>
  <c r="AC891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080" i="1"/>
  <c r="AC859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12" i="2"/>
  <c r="BE12" i="2"/>
  <c r="BF22" i="2"/>
  <c r="BE16" i="2"/>
  <c r="BA33" i="2"/>
  <c r="BG29" i="2"/>
  <c r="BA9" i="2"/>
  <c r="BF11" i="2"/>
  <c r="BG15" i="2"/>
  <c r="BE9" i="2"/>
  <c r="BF19" i="2"/>
  <c r="BG31" i="2"/>
  <c r="BA22" i="2"/>
  <c r="BA3" i="2"/>
  <c r="BG16" i="2"/>
  <c r="BE19" i="2"/>
  <c r="BF18" i="2"/>
  <c r="BA32" i="2"/>
  <c r="BA23" i="2"/>
  <c r="BF5" i="2"/>
  <c r="BA15" i="2"/>
  <c r="BF13" i="2"/>
  <c r="BG26" i="2"/>
  <c r="BA27" i="2"/>
  <c r="BF7" i="2"/>
  <c r="BG21" i="2"/>
  <c r="BE8" i="2"/>
  <c r="BA17" i="2"/>
  <c r="BG11" i="2"/>
  <c r="BG10" i="2"/>
  <c r="BG4" i="2"/>
  <c r="BE24" i="2"/>
  <c r="BA20" i="2"/>
  <c r="BF21" i="2"/>
  <c r="BF32" i="2"/>
  <c r="BG28" i="2"/>
  <c r="BA21" i="2"/>
  <c r="BE32" i="2"/>
  <c r="BA10" i="2"/>
  <c r="BA30" i="2"/>
  <c r="BF4" i="2"/>
  <c r="BE20" i="2"/>
  <c r="BG2" i="2"/>
  <c r="BE2" i="2"/>
  <c r="BA29" i="2"/>
  <c r="BF3" i="2"/>
  <c r="BG6" i="2"/>
  <c r="BE3" i="2"/>
  <c r="BA16" i="2"/>
  <c r="BF10" i="2"/>
  <c r="BA13" i="2"/>
  <c r="BA25" i="2"/>
  <c r="BE28" i="2"/>
  <c r="BE22" i="2"/>
  <c r="BA26" i="2"/>
  <c r="BF20" i="2"/>
  <c r="BA8" i="2"/>
  <c r="BE18" i="2"/>
  <c r="BE23" i="2"/>
  <c r="BA5" i="2"/>
  <c r="BE31" i="2"/>
  <c r="BF9" i="2"/>
  <c r="BA12" i="2"/>
  <c r="BF33" i="2"/>
  <c r="BE10" i="2"/>
  <c r="BE25" i="2"/>
  <c r="BG7" i="2"/>
  <c r="BF24" i="2"/>
  <c r="BE29" i="2"/>
  <c r="BF16" i="2"/>
  <c r="BE11" i="2"/>
  <c r="BA19" i="2"/>
  <c r="BF31" i="2"/>
  <c r="BE33" i="2"/>
  <c r="BE15" i="2"/>
  <c r="BG25" i="2"/>
  <c r="BE4" i="2"/>
  <c r="BE27" i="2"/>
  <c r="BG8" i="2"/>
  <c r="BA18" i="2"/>
  <c r="BA2" i="2"/>
  <c r="BE17" i="2"/>
  <c r="BG5" i="2"/>
  <c r="BF28" i="2"/>
  <c r="BG9" i="2"/>
  <c r="BE13" i="2"/>
  <c r="BG30" i="2"/>
  <c r="BG27" i="2"/>
  <c r="BG17" i="2"/>
  <c r="BG23" i="2"/>
  <c r="BE5" i="2"/>
  <c r="BA28" i="2"/>
  <c r="BA6" i="2"/>
  <c r="BE6" i="2"/>
  <c r="BA11" i="2"/>
  <c r="BE30" i="2"/>
  <c r="BE26" i="2"/>
  <c r="BE7" i="2"/>
  <c r="BG24" i="2"/>
  <c r="BA31" i="2"/>
  <c r="BG13" i="2"/>
  <c r="BA24" i="2"/>
  <c r="BE21" i="2"/>
  <c r="BF8" i="2"/>
  <c r="BG18" i="2"/>
  <c r="BF29" i="2"/>
  <c r="BF6" i="2"/>
  <c r="BG3" i="2"/>
  <c r="BF12" i="2"/>
  <c r="BG33" i="2"/>
  <c r="BF25" i="2"/>
  <c r="BG22" i="2"/>
  <c r="BF27" i="2"/>
  <c r="BG20" i="2"/>
  <c r="BF17" i="2"/>
  <c r="BG32" i="2"/>
  <c r="BF30" i="2"/>
  <c r="BF2" i="2"/>
  <c r="BA4" i="2"/>
  <c r="BF15" i="2"/>
  <c r="BF26" i="2"/>
  <c r="BA7" i="2"/>
  <c r="BF23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88" i="1" l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3" i="2"/>
  <c r="S33" i="2"/>
  <c r="Q33" i="2"/>
  <c r="AC1142" i="1"/>
  <c r="AD961" i="1"/>
  <c r="Z4" i="2"/>
  <c r="Y4" i="2"/>
  <c r="AA4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1" i="2"/>
  <c r="Z11" i="2"/>
  <c r="AA11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5" i="2"/>
  <c r="R5" i="2"/>
  <c r="S5" i="2"/>
  <c r="AA18" i="2"/>
  <c r="Z18" i="2"/>
  <c r="Y18" i="2"/>
  <c r="R21" i="2"/>
  <c r="Q21" i="2"/>
  <c r="S21" i="2"/>
  <c r="S15" i="2"/>
  <c r="R15" i="2"/>
  <c r="Q15" i="2"/>
  <c r="Y7" i="2"/>
  <c r="AA7" i="2"/>
  <c r="Z7" i="2"/>
  <c r="AD1133" i="1"/>
  <c r="AC1119" i="1"/>
  <c r="AD933" i="1"/>
  <c r="AC1135" i="1"/>
  <c r="AC1066" i="1"/>
  <c r="Z3" i="2"/>
  <c r="AA3" i="2"/>
  <c r="Y3" i="2"/>
  <c r="AC1094" i="1"/>
  <c r="AD902" i="1"/>
  <c r="AD747" i="1"/>
  <c r="R10" i="2"/>
  <c r="Q10" i="2"/>
  <c r="S10" i="2"/>
  <c r="AC1148" i="1"/>
  <c r="AC1162" i="1"/>
  <c r="Z27" i="2"/>
  <c r="AA27" i="2"/>
  <c r="Y27" i="2"/>
  <c r="S29" i="2"/>
  <c r="AA9" i="2"/>
  <c r="Y9" i="2"/>
  <c r="Z9" i="2"/>
  <c r="Q29" i="2"/>
  <c r="R29" i="2"/>
  <c r="Z23" i="2"/>
  <c r="AA23" i="2"/>
  <c r="Y23" i="2"/>
  <c r="R20" i="2"/>
  <c r="AA13" i="2"/>
  <c r="Z13" i="2"/>
  <c r="S20" i="2"/>
  <c r="Y13" i="2"/>
  <c r="Q20" i="2"/>
  <c r="AA19" i="2"/>
  <c r="Y19" i="2"/>
  <c r="Q8" i="2"/>
  <c r="Z19" i="2"/>
  <c r="S8" i="2"/>
  <c r="R8" i="2"/>
  <c r="R6" i="2"/>
  <c r="S6" i="2"/>
  <c r="Q6" i="2"/>
  <c r="R26" i="2"/>
  <c r="Y30" i="2"/>
  <c r="Q26" i="2"/>
  <c r="AA30" i="2"/>
  <c r="Z30" i="2"/>
  <c r="S26" i="2"/>
  <c r="Q31" i="2"/>
  <c r="R31" i="2"/>
  <c r="S31" i="2"/>
  <c r="Q2" i="2"/>
  <c r="R2" i="2"/>
  <c r="S2" i="2"/>
  <c r="Y25" i="2"/>
  <c r="Z25" i="2"/>
  <c r="AA25" i="2"/>
  <c r="Z21" i="2"/>
  <c r="R16" i="2"/>
  <c r="AA21" i="2"/>
  <c r="S16" i="2"/>
  <c r="Q16" i="2"/>
  <c r="Y21" i="2"/>
  <c r="AA24" i="2"/>
  <c r="Z24" i="2"/>
  <c r="Y24" i="2"/>
  <c r="S9" i="2"/>
  <c r="Y22" i="2"/>
  <c r="Z22" i="2"/>
  <c r="Q9" i="2"/>
  <c r="AA22" i="2"/>
  <c r="R9" i="2"/>
  <c r="Q28" i="2"/>
  <c r="S28" i="2"/>
  <c r="R28" i="2"/>
  <c r="Z17" i="2"/>
  <c r="Y17" i="2"/>
  <c r="AA17" i="2"/>
  <c r="R19" i="2"/>
  <c r="Q19" i="2"/>
  <c r="S19" i="2"/>
  <c r="R12" i="2"/>
  <c r="AA32" i="2"/>
  <c r="Q12" i="2"/>
  <c r="S12" i="2"/>
  <c r="Y32" i="2"/>
  <c r="Z32" i="2"/>
  <c r="Q27" i="2"/>
  <c r="R27" i="2"/>
  <c r="S27" i="2"/>
  <c r="J69" i="7"/>
  <c r="Y8" i="6"/>
  <c r="J33" i="7"/>
  <c r="AA33" i="2"/>
  <c r="S3" i="2"/>
  <c r="Q3" i="2"/>
  <c r="Z33" i="2"/>
  <c r="Y33" i="2"/>
  <c r="R3" i="2"/>
  <c r="J30" i="7"/>
  <c r="B8" i="6"/>
  <c r="J67" i="7"/>
  <c r="S14" i="2"/>
  <c r="Z15" i="2"/>
  <c r="R14" i="2"/>
  <c r="AA15" i="2"/>
  <c r="Q14" i="2"/>
  <c r="Y15" i="2"/>
  <c r="AD8" i="6"/>
  <c r="J28" i="7"/>
  <c r="J63" i="7"/>
  <c r="Q32" i="2"/>
  <c r="Y16" i="2"/>
  <c r="Z16" i="2"/>
  <c r="S32" i="2"/>
  <c r="AA16" i="2"/>
  <c r="R32" i="2"/>
  <c r="Z2" i="2"/>
  <c r="AA2" i="2"/>
  <c r="Q11" i="2"/>
  <c r="Y2" i="2"/>
  <c r="S11" i="2"/>
  <c r="R11" i="2"/>
  <c r="J20" i="7"/>
  <c r="AC8" i="6"/>
  <c r="J58" i="7"/>
  <c r="J55" i="7"/>
  <c r="J19" i="7"/>
  <c r="AF8" i="6"/>
  <c r="J8" i="6"/>
  <c r="J56" i="7"/>
  <c r="J24" i="7"/>
  <c r="Y6" i="2"/>
  <c r="Z6" i="2"/>
  <c r="AA6" i="2"/>
  <c r="S18" i="2"/>
  <c r="Q18" i="2"/>
  <c r="R18" i="2"/>
  <c r="R23" i="2"/>
  <c r="Q23" i="2"/>
  <c r="Z26" i="2"/>
  <c r="Y26" i="2"/>
  <c r="AA26" i="2"/>
  <c r="S23" i="2"/>
  <c r="Z5" i="2"/>
  <c r="R4" i="2"/>
  <c r="AA5" i="2"/>
  <c r="Y5" i="2"/>
  <c r="S4" i="2"/>
  <c r="Q4" i="2"/>
  <c r="S13" i="2"/>
  <c r="Q13" i="2"/>
  <c r="AA20" i="2"/>
  <c r="R13" i="2"/>
  <c r="Y20" i="2"/>
  <c r="Z20" i="2"/>
  <c r="Z31" i="2"/>
  <c r="Q30" i="2"/>
  <c r="AA31" i="2"/>
  <c r="Y31" i="2"/>
  <c r="R30" i="2"/>
  <c r="S30" i="2"/>
  <c r="Y8" i="2"/>
  <c r="R7" i="2"/>
  <c r="Q7" i="2"/>
  <c r="AA8" i="2"/>
  <c r="Z8" i="2"/>
  <c r="S7" i="2"/>
  <c r="AA28" i="2"/>
  <c r="Q25" i="2"/>
  <c r="Y28" i="2"/>
  <c r="S25" i="2"/>
  <c r="R25" i="2"/>
  <c r="Z28" i="2"/>
  <c r="AD10" i="1"/>
  <c r="BD22" i="1"/>
  <c r="Q17" i="2"/>
  <c r="R17" i="2"/>
  <c r="AA29" i="2"/>
  <c r="Z29" i="2"/>
  <c r="S17" i="2"/>
  <c r="Y29" i="2"/>
  <c r="AA10" i="2"/>
  <c r="Q22" i="2"/>
  <c r="Z10" i="2"/>
  <c r="Y10" i="2"/>
  <c r="S22" i="2"/>
  <c r="R22" i="2"/>
  <c r="AD17" i="1"/>
  <c r="BM6" i="1"/>
  <c r="BM7" i="1"/>
  <c r="Y12" i="2"/>
  <c r="Z12" i="2"/>
  <c r="S24" i="2"/>
  <c r="R24" i="2"/>
  <c r="AA12" i="2"/>
  <c r="Q24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4" i="7"/>
  <c r="I4" i="7"/>
  <c r="J41" i="7"/>
  <c r="I41" i="7"/>
  <c r="L41" i="7"/>
  <c r="M41" i="7"/>
  <c r="K41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5" i="7"/>
  <c r="Y25" i="7"/>
  <c r="T25" i="7"/>
  <c r="U25" i="7"/>
  <c r="P25" i="7"/>
  <c r="V25" i="7"/>
  <c r="Q25" i="7"/>
  <c r="W25" i="7"/>
  <c r="R25" i="7"/>
  <c r="X25" i="7"/>
  <c r="BU25" i="7"/>
  <c r="FM25" i="7"/>
  <c r="CH25" i="7"/>
  <c r="FZ25" i="7"/>
  <c r="CU25" i="7"/>
  <c r="GM25" i="7"/>
  <c r="DH25" i="7"/>
  <c r="AC25" i="7"/>
  <c r="DU25" i="7"/>
  <c r="AP25" i="7"/>
  <c r="EH25" i="7"/>
  <c r="CA25" i="7"/>
  <c r="FS25" i="7"/>
  <c r="CN25" i="7"/>
  <c r="GF25" i="7"/>
  <c r="DA25" i="7"/>
  <c r="GS25" i="7"/>
  <c r="DN25" i="7"/>
  <c r="AI25" i="7"/>
  <c r="EA25" i="7"/>
  <c r="AV25" i="7"/>
  <c r="EN25" i="7"/>
  <c r="CG25" i="7"/>
  <c r="FY25" i="7"/>
  <c r="CT25" i="7"/>
  <c r="GL25" i="7"/>
  <c r="DG25" i="7"/>
  <c r="AB25" i="7"/>
  <c r="DT25" i="7"/>
  <c r="AO25" i="7"/>
  <c r="EG25" i="7"/>
  <c r="BB25" i="7"/>
  <c r="ET25" i="7"/>
  <c r="CM25" i="7"/>
  <c r="GE25" i="7"/>
  <c r="CZ25" i="7"/>
  <c r="GR25" i="7"/>
  <c r="DM25" i="7"/>
  <c r="AH25" i="7"/>
  <c r="DZ25" i="7"/>
  <c r="AU25" i="7"/>
  <c r="EM25" i="7"/>
  <c r="BH25" i="7"/>
  <c r="EZ25" i="7"/>
  <c r="CS25" i="7"/>
  <c r="GK25" i="7"/>
  <c r="DF25" i="7"/>
  <c r="AA25" i="7"/>
  <c r="DS25" i="7"/>
  <c r="AN25" i="7"/>
  <c r="EF25" i="7"/>
  <c r="BA25" i="7"/>
  <c r="ES25" i="7"/>
  <c r="BN25" i="7"/>
  <c r="FF25" i="7"/>
  <c r="CY25" i="7"/>
  <c r="GQ25" i="7"/>
  <c r="DL25" i="7"/>
  <c r="AG25" i="7"/>
  <c r="DY25" i="7"/>
  <c r="AT25" i="7"/>
  <c r="EL25" i="7"/>
  <c r="BG25" i="7"/>
  <c r="EY25" i="7"/>
  <c r="BT25" i="7"/>
  <c r="FL25" i="7"/>
  <c r="DE25" i="7"/>
  <c r="Z25" i="7"/>
  <c r="DR25" i="7"/>
  <c r="AM25" i="7"/>
  <c r="EE25" i="7"/>
  <c r="AZ25" i="7"/>
  <c r="ER25" i="7"/>
  <c r="BM25" i="7"/>
  <c r="FE25" i="7"/>
  <c r="BZ25" i="7"/>
  <c r="FR25" i="7"/>
  <c r="DK25" i="7"/>
  <c r="AF25" i="7"/>
  <c r="DX25" i="7"/>
  <c r="AS25" i="7"/>
  <c r="EK25" i="7"/>
  <c r="BF25" i="7"/>
  <c r="EX25" i="7"/>
  <c r="BS25" i="7"/>
  <c r="FK25" i="7"/>
  <c r="CF25" i="7"/>
  <c r="FX25" i="7"/>
  <c r="DQ25" i="7"/>
  <c r="AL25" i="7"/>
  <c r="ED25" i="7"/>
  <c r="AY25" i="7"/>
  <c r="EQ25" i="7"/>
  <c r="BL25" i="7"/>
  <c r="FD25" i="7"/>
  <c r="BY25" i="7"/>
  <c r="FQ25" i="7"/>
  <c r="CL25" i="7"/>
  <c r="GD25" i="7"/>
  <c r="AE25" i="7"/>
  <c r="DW25" i="7"/>
  <c r="AR25" i="7"/>
  <c r="EJ25" i="7"/>
  <c r="BE25" i="7"/>
  <c r="EW25" i="7"/>
  <c r="BR25" i="7"/>
  <c r="FJ25" i="7"/>
  <c r="CE25" i="7"/>
  <c r="FW25" i="7"/>
  <c r="CR25" i="7"/>
  <c r="GJ25" i="7"/>
  <c r="O25" i="7"/>
  <c r="AK25" i="7"/>
  <c r="EC25" i="7"/>
  <c r="AX25" i="7"/>
  <c r="EP25" i="7"/>
  <c r="BK25" i="7"/>
  <c r="FC25" i="7"/>
  <c r="BX25" i="7"/>
  <c r="FP25" i="7"/>
  <c r="CK25" i="7"/>
  <c r="GC25" i="7"/>
  <c r="CX25" i="7"/>
  <c r="GP25" i="7"/>
  <c r="N25" i="7"/>
  <c r="AQ25" i="7"/>
  <c r="EI25" i="7"/>
  <c r="BD25" i="7"/>
  <c r="EV25" i="7"/>
  <c r="BQ25" i="7"/>
  <c r="FI25" i="7"/>
  <c r="CD25" i="7"/>
  <c r="FV25" i="7"/>
  <c r="CQ25" i="7"/>
  <c r="GI25" i="7"/>
  <c r="DD25" i="7"/>
  <c r="AW25" i="7"/>
  <c r="EO25" i="7"/>
  <c r="BJ25" i="7"/>
  <c r="FB25" i="7"/>
  <c r="BW25" i="7"/>
  <c r="FO25" i="7"/>
  <c r="CJ25" i="7"/>
  <c r="GB25" i="7"/>
  <c r="CW25" i="7"/>
  <c r="GO25" i="7"/>
  <c r="DJ25" i="7"/>
  <c r="BC25" i="7"/>
  <c r="EU25" i="7"/>
  <c r="BP25" i="7"/>
  <c r="FH25" i="7"/>
  <c r="CC25" i="7"/>
  <c r="FU25" i="7"/>
  <c r="CP25" i="7"/>
  <c r="GH25" i="7"/>
  <c r="DC25" i="7"/>
  <c r="GU25" i="7"/>
  <c r="DP25" i="7"/>
  <c r="BI25" i="7"/>
  <c r="FA25" i="7"/>
  <c r="BV25" i="7"/>
  <c r="FN25" i="7"/>
  <c r="CI25" i="7"/>
  <c r="GA25" i="7"/>
  <c r="CV25" i="7"/>
  <c r="GN25" i="7"/>
  <c r="DI25" i="7"/>
  <c r="AD25" i="7"/>
  <c r="DV25" i="7"/>
  <c r="BO25" i="7"/>
  <c r="FG25" i="7"/>
  <c r="CB25" i="7"/>
  <c r="FT25" i="7"/>
  <c r="CO25" i="7"/>
  <c r="GG25" i="7"/>
  <c r="DB25" i="7"/>
  <c r="GT25" i="7"/>
  <c r="DO25" i="7"/>
  <c r="AJ25" i="7"/>
  <c r="EB25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1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1" i="7"/>
  <c r="J21" i="7"/>
  <c r="P21" i="7"/>
  <c r="V21" i="7"/>
  <c r="W21" i="7"/>
  <c r="K21" i="7"/>
  <c r="L21" i="7"/>
  <c r="Q21" i="7"/>
  <c r="R21" i="7"/>
  <c r="X21" i="7"/>
  <c r="M21" i="7"/>
  <c r="S21" i="7"/>
  <c r="Y21" i="7"/>
  <c r="N21" i="7"/>
  <c r="T21" i="7"/>
  <c r="I21" i="7"/>
  <c r="O21" i="7"/>
  <c r="CE21" i="7"/>
  <c r="FW21" i="7"/>
  <c r="CR21" i="7"/>
  <c r="GJ21" i="7"/>
  <c r="DK21" i="7"/>
  <c r="AF21" i="7"/>
  <c r="DX21" i="7"/>
  <c r="AS21" i="7"/>
  <c r="EK21" i="7"/>
  <c r="BF21" i="7"/>
  <c r="EX21" i="7"/>
  <c r="CK21" i="7"/>
  <c r="GC21" i="7"/>
  <c r="CX21" i="7"/>
  <c r="GP21" i="7"/>
  <c r="DQ21" i="7"/>
  <c r="AL21" i="7"/>
  <c r="ED21" i="7"/>
  <c r="AY21" i="7"/>
  <c r="EQ21" i="7"/>
  <c r="BL21" i="7"/>
  <c r="FD21" i="7"/>
  <c r="CQ21" i="7"/>
  <c r="GI21" i="7"/>
  <c r="DD21" i="7"/>
  <c r="AE21" i="7"/>
  <c r="DW21" i="7"/>
  <c r="AR21" i="7"/>
  <c r="EJ21" i="7"/>
  <c r="BE21" i="7"/>
  <c r="EW21" i="7"/>
  <c r="BR21" i="7"/>
  <c r="FJ21" i="7"/>
  <c r="CW21" i="7"/>
  <c r="GO21" i="7"/>
  <c r="DJ21" i="7"/>
  <c r="AK21" i="7"/>
  <c r="EC21" i="7"/>
  <c r="AX21" i="7"/>
  <c r="EP21" i="7"/>
  <c r="BK21" i="7"/>
  <c r="FC21" i="7"/>
  <c r="BX21" i="7"/>
  <c r="FP21" i="7"/>
  <c r="DC21" i="7"/>
  <c r="GU21" i="7"/>
  <c r="DP21" i="7"/>
  <c r="AQ21" i="7"/>
  <c r="EI21" i="7"/>
  <c r="BD21" i="7"/>
  <c r="EV21" i="7"/>
  <c r="BQ21" i="7"/>
  <c r="FI21" i="7"/>
  <c r="CD21" i="7"/>
  <c r="FV21" i="7"/>
  <c r="DI21" i="7"/>
  <c r="AD21" i="7"/>
  <c r="DV21" i="7"/>
  <c r="AW21" i="7"/>
  <c r="EO21" i="7"/>
  <c r="BJ21" i="7"/>
  <c r="FB21" i="7"/>
  <c r="BW21" i="7"/>
  <c r="FO21" i="7"/>
  <c r="CJ21" i="7"/>
  <c r="GB21" i="7"/>
  <c r="DO21" i="7"/>
  <c r="AJ21" i="7"/>
  <c r="EB21" i="7"/>
  <c r="BC21" i="7"/>
  <c r="EU21" i="7"/>
  <c r="BP21" i="7"/>
  <c r="FH21" i="7"/>
  <c r="CC21" i="7"/>
  <c r="FU21" i="7"/>
  <c r="CP21" i="7"/>
  <c r="GH21" i="7"/>
  <c r="AC21" i="7"/>
  <c r="DU21" i="7"/>
  <c r="AP21" i="7"/>
  <c r="EH21" i="7"/>
  <c r="BI21" i="7"/>
  <c r="FA21" i="7"/>
  <c r="BV21" i="7"/>
  <c r="FN21" i="7"/>
  <c r="CI21" i="7"/>
  <c r="GA21" i="7"/>
  <c r="CV21" i="7"/>
  <c r="GN21" i="7"/>
  <c r="AI21" i="7"/>
  <c r="EA21" i="7"/>
  <c r="AV21" i="7"/>
  <c r="EN21" i="7"/>
  <c r="BO21" i="7"/>
  <c r="FG21" i="7"/>
  <c r="CB21" i="7"/>
  <c r="FT21" i="7"/>
  <c r="CO21" i="7"/>
  <c r="GG21" i="7"/>
  <c r="DB21" i="7"/>
  <c r="GT21" i="7"/>
  <c r="AO21" i="7"/>
  <c r="EG21" i="7"/>
  <c r="BB21" i="7"/>
  <c r="ET21" i="7"/>
  <c r="BU21" i="7"/>
  <c r="FM21" i="7"/>
  <c r="CH21" i="7"/>
  <c r="FZ21" i="7"/>
  <c r="CU21" i="7"/>
  <c r="GM21" i="7"/>
  <c r="DH21" i="7"/>
  <c r="AU21" i="7"/>
  <c r="EM21" i="7"/>
  <c r="BH21" i="7"/>
  <c r="EZ21" i="7"/>
  <c r="CA21" i="7"/>
  <c r="FS21" i="7"/>
  <c r="CN21" i="7"/>
  <c r="GF21" i="7"/>
  <c r="DA21" i="7"/>
  <c r="GS21" i="7"/>
  <c r="DN21" i="7"/>
  <c r="BA21" i="7"/>
  <c r="ES21" i="7"/>
  <c r="BN21" i="7"/>
  <c r="FF21" i="7"/>
  <c r="CG21" i="7"/>
  <c r="FY21" i="7"/>
  <c r="CT21" i="7"/>
  <c r="GL21" i="7"/>
  <c r="DG21" i="7"/>
  <c r="AB21" i="7"/>
  <c r="DT21" i="7"/>
  <c r="BG21" i="7"/>
  <c r="EY21" i="7"/>
  <c r="BT21" i="7"/>
  <c r="FL21" i="7"/>
  <c r="CM21" i="7"/>
  <c r="GE21" i="7"/>
  <c r="CZ21" i="7"/>
  <c r="GR21" i="7"/>
  <c r="DM21" i="7"/>
  <c r="AH21" i="7"/>
  <c r="DZ21" i="7"/>
  <c r="BM21" i="7"/>
  <c r="FE21" i="7"/>
  <c r="BZ21" i="7"/>
  <c r="FR21" i="7"/>
  <c r="CS21" i="7"/>
  <c r="GK21" i="7"/>
  <c r="DF21" i="7"/>
  <c r="AA21" i="7"/>
  <c r="DS21" i="7"/>
  <c r="AN21" i="7"/>
  <c r="EF21" i="7"/>
  <c r="BS21" i="7"/>
  <c r="FK21" i="7"/>
  <c r="CF21" i="7"/>
  <c r="FX21" i="7"/>
  <c r="CY21" i="7"/>
  <c r="GQ21" i="7"/>
  <c r="DL21" i="7"/>
  <c r="AG21" i="7"/>
  <c r="DY21" i="7"/>
  <c r="AT21" i="7"/>
  <c r="EL21" i="7"/>
  <c r="BY21" i="7"/>
  <c r="FQ21" i="7"/>
  <c r="CL21" i="7"/>
  <c r="GD21" i="7"/>
  <c r="DE21" i="7"/>
  <c r="Z21" i="7"/>
  <c r="DR21" i="7"/>
  <c r="AM21" i="7"/>
  <c r="EE21" i="7"/>
  <c r="AZ21" i="7"/>
  <c r="ER21" i="7"/>
  <c r="J8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8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8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8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2" i="7"/>
  <c r="J12" i="7"/>
  <c r="K12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4" i="7"/>
  <c r="DV24" i="7"/>
  <c r="AE24" i="7"/>
  <c r="DW24" i="7"/>
  <c r="AF24" i="7"/>
  <c r="DX24" i="7"/>
  <c r="AG24" i="7"/>
  <c r="DY24" i="7"/>
  <c r="AH24" i="7"/>
  <c r="DZ24" i="7"/>
  <c r="EM24" i="7"/>
  <c r="DU24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4" i="7"/>
  <c r="EB24" i="7"/>
  <c r="AK24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4" i="7"/>
  <c r="EH24" i="7"/>
  <c r="AQ24" i="7"/>
  <c r="EI24" i="7"/>
  <c r="AR24" i="7"/>
  <c r="EJ24" i="7"/>
  <c r="AS24" i="7"/>
  <c r="EK24" i="7"/>
  <c r="AT24" i="7"/>
  <c r="EL24" i="7"/>
  <c r="AO24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4" i="7"/>
  <c r="ET24" i="7"/>
  <c r="BC24" i="7"/>
  <c r="EU24" i="7"/>
  <c r="BD24" i="7"/>
  <c r="EV24" i="7"/>
  <c r="BE24" i="7"/>
  <c r="EW24" i="7"/>
  <c r="BF24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4" i="7"/>
  <c r="EZ24" i="7"/>
  <c r="BI24" i="7"/>
  <c r="FA24" i="7"/>
  <c r="BJ24" i="7"/>
  <c r="FB24" i="7"/>
  <c r="BK24" i="7"/>
  <c r="FC24" i="7"/>
  <c r="BL24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4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4" i="7"/>
  <c r="FL24" i="7"/>
  <c r="BU24" i="7"/>
  <c r="FM24" i="7"/>
  <c r="BV24" i="7"/>
  <c r="FN24" i="7"/>
  <c r="BW24" i="7"/>
  <c r="FO24" i="7"/>
  <c r="BX24" i="7"/>
  <c r="FP24" i="7"/>
  <c r="K24" i="7"/>
  <c r="FQ24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4" i="7"/>
  <c r="FX24" i="7"/>
  <c r="CG24" i="7"/>
  <c r="FY24" i="7"/>
  <c r="CH24" i="7"/>
  <c r="FZ24" i="7"/>
  <c r="CI24" i="7"/>
  <c r="GA24" i="7"/>
  <c r="CJ24" i="7"/>
  <c r="GB24" i="7"/>
  <c r="CE24" i="7"/>
  <c r="EA24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4" i="7"/>
  <c r="GD24" i="7"/>
  <c r="CM24" i="7"/>
  <c r="GE24" i="7"/>
  <c r="CN24" i="7"/>
  <c r="GF24" i="7"/>
  <c r="CO24" i="7"/>
  <c r="GG24" i="7"/>
  <c r="CP24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4" i="7"/>
  <c r="GJ24" i="7"/>
  <c r="CS24" i="7"/>
  <c r="GK24" i="7"/>
  <c r="CT24" i="7"/>
  <c r="GL24" i="7"/>
  <c r="CU24" i="7"/>
  <c r="GM24" i="7"/>
  <c r="CV24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4" i="7"/>
  <c r="GP24" i="7"/>
  <c r="CY24" i="7"/>
  <c r="GQ24" i="7"/>
  <c r="CZ24" i="7"/>
  <c r="GR24" i="7"/>
  <c r="DA24" i="7"/>
  <c r="GS24" i="7"/>
  <c r="DB24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4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4" i="7"/>
  <c r="DP24" i="7"/>
  <c r="Y24" i="7"/>
  <c r="DQ24" i="7"/>
  <c r="Z24" i="7"/>
  <c r="DR24" i="7"/>
  <c r="AA24" i="7"/>
  <c r="DS24" i="7"/>
  <c r="AB24" i="7"/>
  <c r="DT24" i="7"/>
  <c r="DC24" i="7"/>
  <c r="CK24" i="7"/>
  <c r="ES56" i="7"/>
  <c r="S24" i="7"/>
  <c r="DF24" i="7"/>
  <c r="FI24" i="7"/>
  <c r="GH24" i="7"/>
  <c r="FE24" i="7"/>
  <c r="CF56" i="7"/>
  <c r="AW24" i="7"/>
  <c r="DL24" i="7"/>
  <c r="FU24" i="7"/>
  <c r="GN24" i="7"/>
  <c r="GO24" i="7"/>
  <c r="AW56" i="7"/>
  <c r="BO24" i="7"/>
  <c r="ED24" i="7"/>
  <c r="P24" i="7"/>
  <c r="GT24" i="7"/>
  <c r="AC24" i="7"/>
  <c r="EQ56" i="7"/>
  <c r="CA24" i="7"/>
  <c r="EP24" i="7"/>
  <c r="V24" i="7"/>
  <c r="AI24" i="7"/>
  <c r="BM24" i="7"/>
  <c r="BM56" i="7"/>
  <c r="DE24" i="7"/>
  <c r="FH24" i="7"/>
  <c r="AN24" i="7"/>
  <c r="BS24" i="7"/>
  <c r="CW24" i="7"/>
  <c r="DK24" i="7"/>
  <c r="FT24" i="7"/>
  <c r="AZ24" i="7"/>
  <c r="FW24" i="7"/>
  <c r="EG24" i="7"/>
  <c r="EC24" i="7"/>
  <c r="O24" i="7"/>
  <c r="BR24" i="7"/>
  <c r="BY24" i="7"/>
  <c r="CQ24" i="7"/>
  <c r="R24" i="7"/>
  <c r="EO24" i="7"/>
  <c r="U24" i="7"/>
  <c r="CD24" i="7"/>
  <c r="DI24" i="7"/>
  <c r="FK24" i="7"/>
  <c r="AV24" i="7"/>
  <c r="FG24" i="7"/>
  <c r="AM24" i="7"/>
  <c r="DH24" i="7"/>
  <c r="ES24" i="7"/>
  <c r="GU24" i="7"/>
  <c r="GH56" i="7"/>
  <c r="BZ24" i="7"/>
  <c r="FS24" i="7"/>
  <c r="AY24" i="7"/>
  <c r="DN24" i="7"/>
  <c r="GC24" i="7"/>
  <c r="W24" i="7"/>
  <c r="DU56" i="7"/>
  <c r="DD24" i="7"/>
  <c r="N24" i="7"/>
  <c r="BQ24" i="7"/>
  <c r="EF24" i="7"/>
  <c r="AU24" i="7"/>
  <c r="BG24" i="7"/>
  <c r="BH56" i="7"/>
  <c r="DJ24" i="7"/>
  <c r="T24" i="7"/>
  <c r="CC24" i="7"/>
  <c r="ER24" i="7"/>
  <c r="DO24" i="7"/>
  <c r="K56" i="7"/>
  <c r="EN24" i="7"/>
  <c r="AL24" i="7"/>
  <c r="DG24" i="7"/>
  <c r="EX24" i="7"/>
  <c r="EY24" i="7"/>
  <c r="EW56" i="7"/>
  <c r="FF24" i="7"/>
  <c r="AX24" i="7"/>
  <c r="DM24" i="7"/>
  <c r="FD24" i="7"/>
  <c r="GI24" i="7"/>
  <c r="CJ56" i="7"/>
  <c r="FR24" i="7"/>
  <c r="BP24" i="7"/>
  <c r="EE24" i="7"/>
  <c r="FJ24" i="7"/>
  <c r="Q24" i="7"/>
  <c r="W56" i="7"/>
  <c r="M24" i="7"/>
  <c r="CB24" i="7"/>
  <c r="EQ24" i="7"/>
  <c r="FV24" i="7"/>
  <c r="BA24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59" i="7"/>
  <c r="J25" i="7"/>
  <c r="M59" i="7"/>
  <c r="L59" i="7"/>
  <c r="K59" i="7"/>
  <c r="L25" i="7"/>
  <c r="K25" i="7"/>
  <c r="M25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3" i="7"/>
  <c r="DX23" i="7"/>
  <c r="AA23" i="7"/>
  <c r="DS23" i="7"/>
  <c r="V23" i="7"/>
  <c r="DN23" i="7"/>
  <c r="Q23" i="7"/>
  <c r="DI23" i="7"/>
  <c r="M23" i="7"/>
  <c r="DD23" i="7"/>
  <c r="GQ23" i="7"/>
  <c r="DK23" i="7"/>
  <c r="AL23" i="7"/>
  <c r="ED23" i="7"/>
  <c r="AG23" i="7"/>
  <c r="DY23" i="7"/>
  <c r="AB23" i="7"/>
  <c r="DT23" i="7"/>
  <c r="W23" i="7"/>
  <c r="DO23" i="7"/>
  <c r="AE23" i="7"/>
  <c r="DV23" i="7"/>
  <c r="X23" i="7"/>
  <c r="EC23" i="7"/>
  <c r="AR23" i="7"/>
  <c r="EJ23" i="7"/>
  <c r="AM23" i="7"/>
  <c r="EE23" i="7"/>
  <c r="AH23" i="7"/>
  <c r="DZ23" i="7"/>
  <c r="AC23" i="7"/>
  <c r="DU23" i="7"/>
  <c r="AW23" i="7"/>
  <c r="EN23" i="7"/>
  <c r="AP23" i="7"/>
  <c r="EU23" i="7"/>
  <c r="AX23" i="7"/>
  <c r="EP23" i="7"/>
  <c r="AS23" i="7"/>
  <c r="EK23" i="7"/>
  <c r="AN23" i="7"/>
  <c r="EF23" i="7"/>
  <c r="AI23" i="7"/>
  <c r="EA23" i="7"/>
  <c r="BO23" i="7"/>
  <c r="FF23" i="7"/>
  <c r="BH23" i="7"/>
  <c r="FM23" i="7"/>
  <c r="BD23" i="7"/>
  <c r="EV23" i="7"/>
  <c r="AY23" i="7"/>
  <c r="EQ23" i="7"/>
  <c r="AT23" i="7"/>
  <c r="EL23" i="7"/>
  <c r="AO23" i="7"/>
  <c r="EG23" i="7"/>
  <c r="CG23" i="7"/>
  <c r="FX23" i="7"/>
  <c r="BZ23" i="7"/>
  <c r="GE23" i="7"/>
  <c r="BJ23" i="7"/>
  <c r="FB23" i="7"/>
  <c r="BE23" i="7"/>
  <c r="EW23" i="7"/>
  <c r="AZ23" i="7"/>
  <c r="ER23" i="7"/>
  <c r="AU23" i="7"/>
  <c r="EM23" i="7"/>
  <c r="CY23" i="7"/>
  <c r="GP23" i="7"/>
  <c r="CR23" i="7"/>
  <c r="L23" i="7"/>
  <c r="BP23" i="7"/>
  <c r="FH23" i="7"/>
  <c r="BK23" i="7"/>
  <c r="FC23" i="7"/>
  <c r="BF23" i="7"/>
  <c r="EX23" i="7"/>
  <c r="BA23" i="7"/>
  <c r="ES23" i="7"/>
  <c r="DQ23" i="7"/>
  <c r="S23" i="7"/>
  <c r="DJ23" i="7"/>
  <c r="AD23" i="7"/>
  <c r="BV23" i="7"/>
  <c r="FN23" i="7"/>
  <c r="BQ23" i="7"/>
  <c r="FI23" i="7"/>
  <c r="BL23" i="7"/>
  <c r="FD23" i="7"/>
  <c r="BG23" i="7"/>
  <c r="EY23" i="7"/>
  <c r="EI23" i="7"/>
  <c r="AK23" i="7"/>
  <c r="EB23" i="7"/>
  <c r="AV23" i="7"/>
  <c r="CB23" i="7"/>
  <c r="FT23" i="7"/>
  <c r="BW23" i="7"/>
  <c r="FO23" i="7"/>
  <c r="BR23" i="7"/>
  <c r="FJ23" i="7"/>
  <c r="BM23" i="7"/>
  <c r="FE23" i="7"/>
  <c r="FA23" i="7"/>
  <c r="BC23" i="7"/>
  <c r="ET23" i="7"/>
  <c r="BN23" i="7"/>
  <c r="CH23" i="7"/>
  <c r="FZ23" i="7"/>
  <c r="CC23" i="7"/>
  <c r="FU23" i="7"/>
  <c r="BX23" i="7"/>
  <c r="FP23" i="7"/>
  <c r="BS23" i="7"/>
  <c r="FK23" i="7"/>
  <c r="FS23" i="7"/>
  <c r="BU23" i="7"/>
  <c r="FL23" i="7"/>
  <c r="CF23" i="7"/>
  <c r="CN23" i="7"/>
  <c r="GF23" i="7"/>
  <c r="CI23" i="7"/>
  <c r="GA23" i="7"/>
  <c r="CD23" i="7"/>
  <c r="FV23" i="7"/>
  <c r="BY23" i="7"/>
  <c r="FQ23" i="7"/>
  <c r="GK23" i="7"/>
  <c r="CM23" i="7"/>
  <c r="GD23" i="7"/>
  <c r="CX23" i="7"/>
  <c r="CT23" i="7"/>
  <c r="GL23" i="7"/>
  <c r="CO23" i="7"/>
  <c r="GG23" i="7"/>
  <c r="CJ23" i="7"/>
  <c r="GB23" i="7"/>
  <c r="CE23" i="7"/>
  <c r="FW23" i="7"/>
  <c r="R23" i="7"/>
  <c r="DE23" i="7"/>
  <c r="Y23" i="7"/>
  <c r="DP23" i="7"/>
  <c r="CZ23" i="7"/>
  <c r="GR23" i="7"/>
  <c r="CU23" i="7"/>
  <c r="GM23" i="7"/>
  <c r="CP23" i="7"/>
  <c r="GH23" i="7"/>
  <c r="CK23" i="7"/>
  <c r="GC23" i="7"/>
  <c r="AJ23" i="7"/>
  <c r="DW23" i="7"/>
  <c r="AQ23" i="7"/>
  <c r="EH23" i="7"/>
  <c r="N23" i="7"/>
  <c r="DF23" i="7"/>
  <c r="DA23" i="7"/>
  <c r="GS23" i="7"/>
  <c r="CV23" i="7"/>
  <c r="GN23" i="7"/>
  <c r="CQ23" i="7"/>
  <c r="GI23" i="7"/>
  <c r="BB23" i="7"/>
  <c r="EO23" i="7"/>
  <c r="BI23" i="7"/>
  <c r="EZ23" i="7"/>
  <c r="T23" i="7"/>
  <c r="DL23" i="7"/>
  <c r="O23" i="7"/>
  <c r="DG23" i="7"/>
  <c r="DB23" i="7"/>
  <c r="GT23" i="7"/>
  <c r="CW23" i="7"/>
  <c r="GO23" i="7"/>
  <c r="BT23" i="7"/>
  <c r="FG23" i="7"/>
  <c r="CA23" i="7"/>
  <c r="FR23" i="7"/>
  <c r="Z23" i="7"/>
  <c r="DR23" i="7"/>
  <c r="U23" i="7"/>
  <c r="DM23" i="7"/>
  <c r="P23" i="7"/>
  <c r="DH23" i="7"/>
  <c r="DC23" i="7"/>
  <c r="GU23" i="7"/>
  <c r="CL23" i="7"/>
  <c r="FY23" i="7"/>
  <c r="CS23" i="7"/>
  <c r="GJ23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0" i="7"/>
  <c r="DN20" i="7"/>
  <c r="Q20" i="7"/>
  <c r="DI20" i="7"/>
  <c r="L20" i="7"/>
  <c r="DD20" i="7"/>
  <c r="M20" i="7"/>
  <c r="DE20" i="7"/>
  <c r="N20" i="7"/>
  <c r="DF20" i="7"/>
  <c r="O20" i="7"/>
  <c r="DG20" i="7"/>
  <c r="AB20" i="7"/>
  <c r="AH20" i="7"/>
  <c r="DZ20" i="7"/>
  <c r="AC20" i="7"/>
  <c r="DU20" i="7"/>
  <c r="X20" i="7"/>
  <c r="DP20" i="7"/>
  <c r="Y20" i="7"/>
  <c r="DQ20" i="7"/>
  <c r="Z20" i="7"/>
  <c r="DR20" i="7"/>
  <c r="AN20" i="7"/>
  <c r="AT20" i="7"/>
  <c r="EL20" i="7"/>
  <c r="AO20" i="7"/>
  <c r="EG20" i="7"/>
  <c r="AJ20" i="7"/>
  <c r="EB20" i="7"/>
  <c r="AK20" i="7"/>
  <c r="EC20" i="7"/>
  <c r="AL20" i="7"/>
  <c r="ED20" i="7"/>
  <c r="AM20" i="7"/>
  <c r="EE20" i="7"/>
  <c r="AZ20" i="7"/>
  <c r="ER20" i="7"/>
  <c r="AU20" i="7"/>
  <c r="EM20" i="7"/>
  <c r="AP20" i="7"/>
  <c r="EH20" i="7"/>
  <c r="AQ20" i="7"/>
  <c r="EI20" i="7"/>
  <c r="AR20" i="7"/>
  <c r="EJ20" i="7"/>
  <c r="AS20" i="7"/>
  <c r="BF20" i="7"/>
  <c r="EX20" i="7"/>
  <c r="BA20" i="7"/>
  <c r="ES20" i="7"/>
  <c r="AV20" i="7"/>
  <c r="EN20" i="7"/>
  <c r="AW20" i="7"/>
  <c r="EO20" i="7"/>
  <c r="AX20" i="7"/>
  <c r="BL20" i="7"/>
  <c r="FD20" i="7"/>
  <c r="BG20" i="7"/>
  <c r="EY20" i="7"/>
  <c r="BB20" i="7"/>
  <c r="ET20" i="7"/>
  <c r="BC20" i="7"/>
  <c r="EU20" i="7"/>
  <c r="BD20" i="7"/>
  <c r="EV20" i="7"/>
  <c r="BE20" i="7"/>
  <c r="EW20" i="7"/>
  <c r="BR20" i="7"/>
  <c r="FJ20" i="7"/>
  <c r="BM20" i="7"/>
  <c r="BX20" i="7"/>
  <c r="FP20" i="7"/>
  <c r="BS20" i="7"/>
  <c r="FK20" i="7"/>
  <c r="BN20" i="7"/>
  <c r="CD20" i="7"/>
  <c r="FV20" i="7"/>
  <c r="BY20" i="7"/>
  <c r="FQ20" i="7"/>
  <c r="BT20" i="7"/>
  <c r="FL20" i="7"/>
  <c r="BU20" i="7"/>
  <c r="FM20" i="7"/>
  <c r="BV20" i="7"/>
  <c r="FN20" i="7"/>
  <c r="BW20" i="7"/>
  <c r="FO20" i="7"/>
  <c r="CJ20" i="7"/>
  <c r="GB20" i="7"/>
  <c r="CE20" i="7"/>
  <c r="FW20" i="7"/>
  <c r="BZ20" i="7"/>
  <c r="FR20" i="7"/>
  <c r="CA20" i="7"/>
  <c r="FS20" i="7"/>
  <c r="CB20" i="7"/>
  <c r="FT20" i="7"/>
  <c r="CC20" i="7"/>
  <c r="FU20" i="7"/>
  <c r="CP20" i="7"/>
  <c r="GH20" i="7"/>
  <c r="CK20" i="7"/>
  <c r="GC20" i="7"/>
  <c r="CF20" i="7"/>
  <c r="FX20" i="7"/>
  <c r="CG20" i="7"/>
  <c r="FY20" i="7"/>
  <c r="CH20" i="7"/>
  <c r="FZ20" i="7"/>
  <c r="CI20" i="7"/>
  <c r="CV20" i="7"/>
  <c r="GN20" i="7"/>
  <c r="CQ20" i="7"/>
  <c r="GI20" i="7"/>
  <c r="CL20" i="7"/>
  <c r="GD20" i="7"/>
  <c r="CM20" i="7"/>
  <c r="GE20" i="7"/>
  <c r="CN20" i="7"/>
  <c r="GF20" i="7"/>
  <c r="DB20" i="7"/>
  <c r="GT20" i="7"/>
  <c r="CW20" i="7"/>
  <c r="GO20" i="7"/>
  <c r="CR20" i="7"/>
  <c r="GJ20" i="7"/>
  <c r="CS20" i="7"/>
  <c r="GK20" i="7"/>
  <c r="CT20" i="7"/>
  <c r="GL20" i="7"/>
  <c r="CU20" i="7"/>
  <c r="GM20" i="7"/>
  <c r="P20" i="7"/>
  <c r="DH20" i="7"/>
  <c r="K20" i="7"/>
  <c r="DC20" i="7"/>
  <c r="GU20" i="7"/>
  <c r="CX20" i="7"/>
  <c r="GP20" i="7"/>
  <c r="CY20" i="7"/>
  <c r="GQ20" i="7"/>
  <c r="CZ20" i="7"/>
  <c r="GR20" i="7"/>
  <c r="DA20" i="7"/>
  <c r="GS20" i="7"/>
  <c r="AI20" i="7"/>
  <c r="DW20" i="7"/>
  <c r="BK20" i="7"/>
  <c r="DO20" i="7"/>
  <c r="FA20" i="7"/>
  <c r="BQ20" i="7"/>
  <c r="EA20" i="7"/>
  <c r="FG20" i="7"/>
  <c r="CO20" i="7"/>
  <c r="FE20" i="7"/>
  <c r="T20" i="7"/>
  <c r="DM20" i="7"/>
  <c r="R20" i="7"/>
  <c r="AF20" i="7"/>
  <c r="DS20" i="7"/>
  <c r="AD20" i="7"/>
  <c r="BJ20" i="7"/>
  <c r="DY20" i="7"/>
  <c r="BH20" i="7"/>
  <c r="BP20" i="7"/>
  <c r="EK20" i="7"/>
  <c r="DJ20" i="7"/>
  <c r="DL20" i="7"/>
  <c r="EQ20" i="7"/>
  <c r="DV20" i="7"/>
  <c r="DX20" i="7"/>
  <c r="FC20" i="7"/>
  <c r="EZ20" i="7"/>
  <c r="EP20" i="7"/>
  <c r="FI20" i="7"/>
  <c r="FF20" i="7"/>
  <c r="FB20" i="7"/>
  <c r="GA20" i="7"/>
  <c r="S20" i="7"/>
  <c r="FH20" i="7"/>
  <c r="GG20" i="7"/>
  <c r="AE20" i="7"/>
  <c r="U20" i="7"/>
  <c r="DT20" i="7"/>
  <c r="BI20" i="7"/>
  <c r="AA20" i="7"/>
  <c r="EF20" i="7"/>
  <c r="BO20" i="7"/>
  <c r="AG20" i="7"/>
  <c r="W20" i="7"/>
  <c r="DK20" i="7"/>
  <c r="AY20" i="7"/>
  <c r="J46" i="7"/>
  <c r="J11" i="7"/>
  <c r="K11" i="7"/>
  <c r="K46" i="7"/>
  <c r="M46" i="7"/>
  <c r="N46" i="7"/>
  <c r="O46" i="7"/>
  <c r="L46" i="7"/>
  <c r="L11" i="7"/>
  <c r="O11" i="7"/>
  <c r="N11" i="7"/>
  <c r="M11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2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2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2" i="7"/>
  <c r="ER61" i="7"/>
  <c r="DY61" i="7"/>
  <c r="GG61" i="7"/>
  <c r="GT61" i="7"/>
  <c r="EF61" i="7"/>
  <c r="K22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7" i="7"/>
  <c r="L12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2" i="7"/>
  <c r="EA12" i="7"/>
  <c r="AP12" i="7"/>
  <c r="EH12" i="7"/>
  <c r="BC12" i="7"/>
  <c r="EU12" i="7"/>
  <c r="BJ12" i="7"/>
  <c r="FB12" i="7"/>
  <c r="BQ12" i="7"/>
  <c r="FI12" i="7"/>
  <c r="BX12" i="7"/>
  <c r="FP12" i="7"/>
  <c r="AO12" i="7"/>
  <c r="EG12" i="7"/>
  <c r="AV12" i="7"/>
  <c r="EN12" i="7"/>
  <c r="BI12" i="7"/>
  <c r="FA12" i="7"/>
  <c r="BP12" i="7"/>
  <c r="FH12" i="7"/>
  <c r="AU12" i="7"/>
  <c r="EM12" i="7"/>
  <c r="BB12" i="7"/>
  <c r="ET12" i="7"/>
  <c r="BO12" i="7"/>
  <c r="FG12" i="7"/>
  <c r="BV12" i="7"/>
  <c r="FN12" i="7"/>
  <c r="CC12" i="7"/>
  <c r="FU12" i="7"/>
  <c r="CJ12" i="7"/>
  <c r="GB12" i="7"/>
  <c r="BA12" i="7"/>
  <c r="ES12" i="7"/>
  <c r="BH12" i="7"/>
  <c r="EZ12" i="7"/>
  <c r="BU12" i="7"/>
  <c r="FM12" i="7"/>
  <c r="BG12" i="7"/>
  <c r="EY12" i="7"/>
  <c r="BN12" i="7"/>
  <c r="FF12" i="7"/>
  <c r="CA12" i="7"/>
  <c r="FS12" i="7"/>
  <c r="CH12" i="7"/>
  <c r="FZ12" i="7"/>
  <c r="CO12" i="7"/>
  <c r="GG12" i="7"/>
  <c r="CV12" i="7"/>
  <c r="GN12" i="7"/>
  <c r="BM12" i="7"/>
  <c r="FE12" i="7"/>
  <c r="BT12" i="7"/>
  <c r="FL12" i="7"/>
  <c r="CG12" i="7"/>
  <c r="FY12" i="7"/>
  <c r="CN12" i="7"/>
  <c r="GF12" i="7"/>
  <c r="CU12" i="7"/>
  <c r="GM12" i="7"/>
  <c r="DB12" i="7"/>
  <c r="GT12" i="7"/>
  <c r="BS12" i="7"/>
  <c r="FK12" i="7"/>
  <c r="BZ12" i="7"/>
  <c r="FR12" i="7"/>
  <c r="CM12" i="7"/>
  <c r="GE12" i="7"/>
  <c r="CT12" i="7"/>
  <c r="GL12" i="7"/>
  <c r="DA12" i="7"/>
  <c r="GS12" i="7"/>
  <c r="DH12" i="7"/>
  <c r="BY12" i="7"/>
  <c r="FQ12" i="7"/>
  <c r="CF12" i="7"/>
  <c r="FX12" i="7"/>
  <c r="CS12" i="7"/>
  <c r="GK12" i="7"/>
  <c r="CZ12" i="7"/>
  <c r="GR12" i="7"/>
  <c r="DG12" i="7"/>
  <c r="V12" i="7"/>
  <c r="DN12" i="7"/>
  <c r="CE12" i="7"/>
  <c r="FW12" i="7"/>
  <c r="CL12" i="7"/>
  <c r="GD12" i="7"/>
  <c r="CY12" i="7"/>
  <c r="GQ12" i="7"/>
  <c r="DF12" i="7"/>
  <c r="CK12" i="7"/>
  <c r="GC12" i="7"/>
  <c r="CR12" i="7"/>
  <c r="GJ12" i="7"/>
  <c r="DE12" i="7"/>
  <c r="T12" i="7"/>
  <c r="DL12" i="7"/>
  <c r="AA12" i="7"/>
  <c r="DS12" i="7"/>
  <c r="AH12" i="7"/>
  <c r="DZ12" i="7"/>
  <c r="CQ12" i="7"/>
  <c r="GI12" i="7"/>
  <c r="CX12" i="7"/>
  <c r="GP12" i="7"/>
  <c r="DK12" i="7"/>
  <c r="Z12" i="7"/>
  <c r="DR12" i="7"/>
  <c r="AG12" i="7"/>
  <c r="DY12" i="7"/>
  <c r="AN12" i="7"/>
  <c r="EF12" i="7"/>
  <c r="CW12" i="7"/>
  <c r="GO12" i="7"/>
  <c r="DD12" i="7"/>
  <c r="Y12" i="7"/>
  <c r="DQ12" i="7"/>
  <c r="AF12" i="7"/>
  <c r="DX12" i="7"/>
  <c r="AM12" i="7"/>
  <c r="EE12" i="7"/>
  <c r="AT12" i="7"/>
  <c r="EL12" i="7"/>
  <c r="DC12" i="7"/>
  <c r="GU12" i="7"/>
  <c r="DJ12" i="7"/>
  <c r="AE12" i="7"/>
  <c r="DW12" i="7"/>
  <c r="AL12" i="7"/>
  <c r="ED12" i="7"/>
  <c r="AS12" i="7"/>
  <c r="EK12" i="7"/>
  <c r="AZ12" i="7"/>
  <c r="ER12" i="7"/>
  <c r="DI12" i="7"/>
  <c r="X12" i="7"/>
  <c r="DP12" i="7"/>
  <c r="AK12" i="7"/>
  <c r="EC12" i="7"/>
  <c r="AR12" i="7"/>
  <c r="EJ12" i="7"/>
  <c r="AY12" i="7"/>
  <c r="EQ12" i="7"/>
  <c r="AC12" i="7"/>
  <c r="DU12" i="7"/>
  <c r="AJ12" i="7"/>
  <c r="EB12" i="7"/>
  <c r="AW12" i="7"/>
  <c r="EO12" i="7"/>
  <c r="BD12" i="7"/>
  <c r="EV12" i="7"/>
  <c r="BK12" i="7"/>
  <c r="FC12" i="7"/>
  <c r="BR12" i="7"/>
  <c r="FJ12" i="7"/>
  <c r="FT12" i="7"/>
  <c r="FD12" i="7"/>
  <c r="N12" i="7"/>
  <c r="U12" i="7"/>
  <c r="FV12" i="7"/>
  <c r="O12" i="7"/>
  <c r="BE12" i="7"/>
  <c r="GH12" i="7"/>
  <c r="P12" i="7"/>
  <c r="BW12" i="7"/>
  <c r="CI12" i="7"/>
  <c r="DM12" i="7"/>
  <c r="EW12" i="7"/>
  <c r="W12" i="7"/>
  <c r="FO12" i="7"/>
  <c r="DO12" i="7"/>
  <c r="GA12" i="7"/>
  <c r="AD12" i="7"/>
  <c r="AB12" i="7"/>
  <c r="DV12" i="7"/>
  <c r="BF12" i="7"/>
  <c r="AQ12" i="7"/>
  <c r="BL12" i="7"/>
  <c r="EI12" i="7"/>
  <c r="CD12" i="7"/>
  <c r="Q12" i="7"/>
  <c r="AX12" i="7"/>
  <c r="CP12" i="7"/>
  <c r="R12" i="7"/>
  <c r="CB12" i="7"/>
  <c r="DT12" i="7"/>
  <c r="M12" i="7"/>
  <c r="EP12" i="7"/>
  <c r="EX12" i="7"/>
  <c r="S12" i="7"/>
  <c r="J57" i="7"/>
  <c r="K57" i="7"/>
  <c r="J23" i="7"/>
  <c r="K23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2" i="2"/>
  <c r="BN19" i="2"/>
  <c r="BN17" i="2"/>
  <c r="BN12" i="2"/>
  <c r="BN27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6" i="2"/>
  <c r="H36" i="2"/>
  <c r="H35" i="2"/>
  <c r="H37" i="2"/>
  <c r="V35" i="2"/>
  <c r="V37" i="2"/>
  <c r="V36" i="2"/>
  <c r="T37" i="2"/>
  <c r="T36" i="2"/>
  <c r="T35" i="2"/>
  <c r="O37" i="2"/>
  <c r="O36" i="2"/>
  <c r="O35" i="2"/>
  <c r="G6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2" i="2"/>
  <c r="BL17" i="2"/>
  <c r="BL27" i="2"/>
  <c r="AD225" i="1"/>
  <c r="AD164" i="1"/>
  <c r="AD168" i="1"/>
  <c r="AC170" i="1"/>
  <c r="AC156" i="1"/>
  <c r="AJ25" i="2"/>
  <c r="AC231" i="1"/>
  <c r="BL13" i="2"/>
  <c r="AD239" i="1"/>
  <c r="AC236" i="1"/>
  <c r="AC150" i="1"/>
  <c r="AC122" i="1"/>
  <c r="AD123" i="1"/>
  <c r="AC102" i="1"/>
  <c r="BL19" i="2"/>
  <c r="BL12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6" i="2"/>
  <c r="AH27" i="2"/>
  <c r="BO16" i="2"/>
  <c r="BO5" i="2"/>
  <c r="BO8" i="2"/>
  <c r="AJ10" i="2"/>
  <c r="AJ17" i="2"/>
  <c r="AH17" i="2"/>
  <c r="AH19" i="2"/>
  <c r="BO25" i="2"/>
  <c r="AJ33" i="2"/>
  <c r="AJ19" i="2"/>
  <c r="BO10" i="2"/>
  <c r="BN22" i="2"/>
  <c r="AJ5" i="2"/>
  <c r="AG29" i="2"/>
  <c r="BO53" i="5"/>
  <c r="CY6" i="2"/>
  <c r="CY5" i="2"/>
  <c r="AE22" i="2"/>
  <c r="AI27" i="2"/>
  <c r="AI18" i="2"/>
  <c r="BO46" i="5"/>
  <c r="AI14" i="2"/>
  <c r="AH7" i="2"/>
  <c r="AJ22" i="2"/>
  <c r="BO30" i="2"/>
  <c r="AE16" i="2"/>
  <c r="AF31" i="2"/>
  <c r="AF22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5" i="2"/>
  <c r="BO10" i="5"/>
  <c r="AF2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2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9" i="2"/>
  <c r="AH30" i="2"/>
  <c r="AF9" i="2"/>
  <c r="BN6" i="2"/>
  <c r="BO20" i="2"/>
  <c r="BO42" i="5"/>
  <c r="BO7" i="2"/>
  <c r="BO3" i="2"/>
  <c r="BO21" i="5"/>
  <c r="AJ12" i="2"/>
  <c r="AI32" i="2"/>
  <c r="AG13" i="2"/>
  <c r="AI25" i="2"/>
  <c r="AE4" i="2"/>
  <c r="AI8" i="2"/>
  <c r="AI24" i="2"/>
  <c r="AG32" i="2"/>
  <c r="AC28" i="2"/>
  <c r="AC3" i="2"/>
  <c r="AC17" i="2"/>
  <c r="AG27" i="2"/>
  <c r="AI28" i="2"/>
  <c r="AI3" i="2"/>
  <c r="AG28" i="2"/>
  <c r="AC25" i="2"/>
  <c r="AE7" i="2"/>
  <c r="AE31" i="2"/>
  <c r="AI2" i="2"/>
  <c r="AI23" i="2"/>
  <c r="AE26" i="2"/>
  <c r="AC4" i="2"/>
  <c r="AC29" i="2"/>
  <c r="AC20" i="2"/>
  <c r="AE17" i="2"/>
  <c r="AE2" i="2"/>
  <c r="AI11" i="2"/>
  <c r="AF19" i="2"/>
  <c r="AE6" i="2"/>
  <c r="AI16" i="2"/>
  <c r="AE10" i="2"/>
  <c r="AG12" i="2"/>
  <c r="AG24" i="2"/>
  <c r="AE30" i="2"/>
  <c r="AI5" i="2"/>
  <c r="AC14" i="2"/>
  <c r="AE25" i="2"/>
  <c r="AC32" i="2"/>
  <c r="AI6" i="2"/>
  <c r="AG26" i="2"/>
  <c r="AE18" i="2"/>
  <c r="AE13" i="2"/>
  <c r="AE11" i="2"/>
  <c r="AI10" i="2"/>
  <c r="AF27" i="2"/>
  <c r="AE8" i="2"/>
  <c r="AI15" i="2"/>
  <c r="AE23" i="2"/>
  <c r="AC22" i="2"/>
  <c r="AC7" i="2"/>
  <c r="AE28" i="2"/>
  <c r="AE19" i="2"/>
  <c r="AI29" i="2"/>
  <c r="AI30" i="2"/>
  <c r="AE27" i="2"/>
  <c r="AE29" i="2"/>
  <c r="AF17" i="2"/>
  <c r="AC11" i="2"/>
  <c r="AG31" i="2"/>
  <c r="AI12" i="2"/>
  <c r="AI20" i="2"/>
  <c r="AG17" i="2"/>
  <c r="AC13" i="2"/>
  <c r="AI31" i="2"/>
  <c r="AE20" i="2"/>
  <c r="AE24" i="2"/>
  <c r="AG11" i="2"/>
  <c r="AI33" i="2"/>
  <c r="AE12" i="2"/>
  <c r="AE15" i="2"/>
  <c r="AC30" i="2"/>
  <c r="AI26" i="2"/>
  <c r="AI4" i="2"/>
  <c r="AC18" i="2"/>
  <c r="AI7" i="2"/>
  <c r="AE3" i="2"/>
  <c r="AG7" i="2"/>
  <c r="AI22" i="2"/>
  <c r="AC6" i="2"/>
  <c r="AC2" i="2"/>
  <c r="AC10" i="2"/>
  <c r="AC16" i="2"/>
  <c r="AG2" i="2"/>
  <c r="AI17" i="2"/>
  <c r="AI9" i="2"/>
  <c r="AC33" i="2"/>
  <c r="AC21" i="2"/>
  <c r="AC9" i="2"/>
  <c r="AG33" i="2"/>
  <c r="AG8" i="2"/>
  <c r="AI19" i="2"/>
  <c r="AC24" i="2"/>
  <c r="AE14" i="2"/>
  <c r="AG10" i="2"/>
  <c r="AG4" i="2"/>
  <c r="AG30" i="2"/>
  <c r="AC15" i="2"/>
  <c r="AC26" i="2"/>
  <c r="AG14" i="2"/>
  <c r="AE32" i="2"/>
  <c r="AG15" i="2"/>
  <c r="AE33" i="2"/>
  <c r="AG25" i="2"/>
  <c r="AG21" i="2"/>
  <c r="AG23" i="2"/>
  <c r="AC5" i="2"/>
  <c r="AC19" i="2"/>
  <c r="AC31" i="2"/>
  <c r="AC12" i="2"/>
  <c r="AE5" i="2"/>
  <c r="AG20" i="2"/>
  <c r="AG19" i="2"/>
  <c r="AG16" i="2"/>
  <c r="AE21" i="2"/>
  <c r="AH6" i="2"/>
  <c r="AG22" i="2"/>
  <c r="AC27" i="2"/>
  <c r="AC8" i="2"/>
  <c r="AC23" i="2"/>
  <c r="AJ2" i="2"/>
  <c r="AG6" i="2"/>
  <c r="AG3" i="2"/>
  <c r="AG18" i="2"/>
  <c r="AI21" i="2"/>
  <c r="AG9" i="2"/>
  <c r="AE9" i="2"/>
  <c r="AH23" i="2"/>
  <c r="BX31" i="2"/>
  <c r="J4" i="2"/>
  <c r="G4" i="2"/>
  <c r="J8" i="2"/>
  <c r="G8" i="2"/>
  <c r="J22" i="2"/>
  <c r="BX13" i="2"/>
  <c r="J13" i="2"/>
  <c r="BV30" i="2"/>
  <c r="X13" i="2"/>
  <c r="BX30" i="2"/>
  <c r="BX27" i="2"/>
  <c r="J19" i="2"/>
  <c r="X19" i="2"/>
  <c r="X8" i="2"/>
  <c r="X24" i="2"/>
  <c r="BV27" i="2"/>
  <c r="J2" i="2"/>
  <c r="BV24" i="2"/>
  <c r="BX24" i="2"/>
  <c r="X20" i="2"/>
  <c r="BV26" i="2"/>
  <c r="X10" i="2"/>
  <c r="X33" i="2"/>
  <c r="BX18" i="2"/>
  <c r="BW31" i="2"/>
  <c r="AH15" i="2"/>
  <c r="BX16" i="2"/>
  <c r="X16" i="2"/>
  <c r="BW21" i="2"/>
  <c r="X23" i="2"/>
  <c r="BV21" i="2"/>
  <c r="BX23" i="2"/>
  <c r="BX33" i="2"/>
  <c r="BX26" i="2"/>
  <c r="X4" i="2"/>
  <c r="X9" i="2"/>
  <c r="BO29" i="2"/>
  <c r="X12" i="2"/>
  <c r="BX17" i="2"/>
  <c r="BX29" i="2"/>
  <c r="BX21" i="2"/>
  <c r="X28" i="2"/>
  <c r="BX25" i="2"/>
  <c r="BX28" i="2"/>
  <c r="BX4" i="2"/>
  <c r="X29" i="2"/>
  <c r="J27" i="2"/>
  <c r="X31" i="2"/>
  <c r="X26" i="2"/>
  <c r="BV9" i="2"/>
  <c r="BX9" i="2"/>
  <c r="BW24" i="2"/>
  <c r="BV10" i="2"/>
  <c r="BV17" i="2"/>
  <c r="BW17" i="2"/>
  <c r="BV16" i="2"/>
  <c r="BV25" i="2"/>
  <c r="BV33" i="2"/>
  <c r="X5" i="2"/>
  <c r="BX10" i="2"/>
  <c r="BV4" i="2"/>
  <c r="X17" i="2"/>
  <c r="X30" i="2"/>
  <c r="BW29" i="2"/>
  <c r="BX12" i="2"/>
  <c r="BX15" i="2"/>
  <c r="BX19" i="2"/>
  <c r="BV19" i="2"/>
  <c r="BV2" i="2"/>
  <c r="X25" i="2"/>
  <c r="BX22" i="2"/>
  <c r="X22" i="2"/>
  <c r="BX8" i="2"/>
  <c r="BX7" i="2"/>
  <c r="J15" i="2"/>
  <c r="E15" i="2" s="1"/>
  <c r="X32" i="2"/>
  <c r="BV29" i="2"/>
  <c r="AF23" i="2"/>
  <c r="AF21" i="2"/>
  <c r="AJ13" i="2"/>
  <c r="AF13" i="2"/>
  <c r="AF12" i="2"/>
  <c r="BN33" i="2"/>
  <c r="AF14" i="2"/>
  <c r="AH20" i="2"/>
  <c r="BV31" i="2"/>
  <c r="P12" i="2"/>
  <c r="BV28" i="2"/>
  <c r="BV7" i="2"/>
  <c r="X11" i="2"/>
  <c r="BX11" i="2"/>
  <c r="J21" i="2"/>
  <c r="X21" i="2"/>
  <c r="J6" i="2"/>
  <c r="X3" i="2"/>
  <c r="BX3" i="2"/>
  <c r="X6" i="2"/>
  <c r="P21" i="2"/>
  <c r="BW13" i="2"/>
  <c r="BX6" i="2"/>
  <c r="P8" i="2"/>
  <c r="X15" i="2"/>
  <c r="P9" i="2"/>
  <c r="X27" i="2"/>
  <c r="P16" i="2"/>
  <c r="P28" i="2"/>
  <c r="P10" i="2"/>
  <c r="X2" i="2"/>
  <c r="P20" i="2"/>
  <c r="P7" i="2"/>
  <c r="X7" i="2"/>
  <c r="P11" i="2"/>
  <c r="P33" i="2"/>
  <c r="BV15" i="2"/>
  <c r="BV13" i="2"/>
  <c r="BV3" i="2"/>
  <c r="BV12" i="2"/>
  <c r="BV6" i="2"/>
  <c r="BV32" i="2"/>
  <c r="BX2" i="2"/>
  <c r="BW8" i="2"/>
  <c r="BV20" i="2"/>
  <c r="BV22" i="2"/>
  <c r="BV23" i="2"/>
  <c r="BW25" i="2"/>
  <c r="BW30" i="2"/>
  <c r="BV8" i="2"/>
  <c r="BW5" i="2"/>
  <c r="BV5" i="2"/>
  <c r="BV11" i="2"/>
  <c r="BW26" i="2"/>
  <c r="BW23" i="2"/>
  <c r="BW18" i="2"/>
  <c r="BV18" i="2"/>
  <c r="BX5" i="2"/>
  <c r="AH16" i="2"/>
  <c r="X18" i="2"/>
  <c r="P3" i="2"/>
  <c r="BX20" i="2"/>
  <c r="J10" i="2"/>
  <c r="BW12" i="2"/>
  <c r="J24" i="2"/>
  <c r="P23" i="2"/>
  <c r="BX32" i="2"/>
  <c r="BW19" i="2"/>
  <c r="P19" i="2"/>
  <c r="J11" i="2"/>
  <c r="BW11" i="2"/>
  <c r="BW9" i="2"/>
  <c r="J5" i="2"/>
  <c r="P5" i="2"/>
  <c r="BW22" i="2"/>
  <c r="P22" i="2"/>
  <c r="J23" i="2"/>
  <c r="J31" i="2"/>
  <c r="J28" i="2"/>
  <c r="BW27" i="2"/>
  <c r="J26" i="2"/>
  <c r="P26" i="2"/>
  <c r="P13" i="2"/>
  <c r="BW7" i="2"/>
  <c r="BW28" i="2"/>
  <c r="J29" i="2"/>
  <c r="J20" i="2"/>
  <c r="J9" i="2"/>
  <c r="P31" i="2"/>
  <c r="P27" i="2"/>
  <c r="BW10" i="2"/>
  <c r="J32" i="2"/>
  <c r="BW3" i="2"/>
  <c r="J16" i="2"/>
  <c r="P29" i="2"/>
  <c r="BW4" i="2"/>
  <c r="P15" i="2"/>
  <c r="J18" i="2"/>
  <c r="J3" i="2"/>
  <c r="J7" i="2"/>
  <c r="P18" i="2"/>
  <c r="J33" i="2"/>
  <c r="J17" i="2"/>
  <c r="J25" i="2"/>
  <c r="BW15" i="2"/>
  <c r="P24" i="2"/>
  <c r="BW33" i="2"/>
  <c r="P4" i="2"/>
  <c r="J12" i="2"/>
  <c r="P30" i="2"/>
  <c r="P25" i="2"/>
  <c r="P6" i="2"/>
  <c r="P2" i="2"/>
  <c r="BW2" i="2"/>
  <c r="J30" i="2"/>
  <c r="BW20" i="2"/>
  <c r="BW6" i="2"/>
  <c r="P32" i="2"/>
  <c r="BW16" i="2"/>
  <c r="BW32" i="2"/>
  <c r="P17" i="2"/>
  <c r="BH4" i="2"/>
  <c r="BH20" i="2"/>
  <c r="BH3" i="2"/>
  <c r="BH21" i="2"/>
  <c r="BH11" i="2"/>
  <c r="BH15" i="2"/>
  <c r="BH18" i="2"/>
  <c r="BH28" i="2"/>
  <c r="BH31" i="2"/>
  <c r="BH22" i="2"/>
  <c r="BH12" i="2"/>
  <c r="BH29" i="2"/>
  <c r="BH5" i="2"/>
  <c r="BH23" i="2"/>
  <c r="BH19" i="2"/>
  <c r="BH2" i="2"/>
  <c r="BH10" i="2"/>
  <c r="BH30" i="2"/>
  <c r="BH25" i="2"/>
  <c r="BH13" i="2"/>
  <c r="BH24" i="2"/>
  <c r="BH33" i="2"/>
  <c r="BH27" i="2"/>
  <c r="BH6" i="2"/>
  <c r="BH8" i="2"/>
  <c r="BH7" i="2"/>
  <c r="BH26" i="2"/>
  <c r="BH16" i="2"/>
  <c r="BH32" i="2"/>
  <c r="BH17" i="2"/>
  <c r="BH9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27" i="2"/>
  <c r="AL27" i="2" s="1"/>
  <c r="AH13" i="2"/>
  <c r="AL13" i="2" s="1"/>
  <c r="BO15" i="2"/>
  <c r="BL23" i="2"/>
  <c r="BN23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2" i="2"/>
  <c r="AL19" i="2"/>
  <c r="AL17" i="2"/>
  <c r="AP1009" i="1"/>
  <c r="AP990" i="1"/>
  <c r="AP855" i="1"/>
  <c r="AP989" i="1"/>
  <c r="AP1012" i="1"/>
  <c r="BZ16" i="2"/>
  <c r="AO1113" i="1"/>
  <c r="BZ19" i="2"/>
  <c r="BZ18" i="2"/>
  <c r="BZ6" i="2"/>
  <c r="BZ4" i="2"/>
  <c r="BZ3" i="2"/>
  <c r="BZ25" i="2"/>
  <c r="CJ12" i="2"/>
  <c r="CJ9" i="2"/>
  <c r="CJ17" i="2"/>
  <c r="BZ13" i="2"/>
  <c r="BZ2" i="2"/>
  <c r="BZ22" i="2"/>
  <c r="CI13" i="2"/>
  <c r="CI8" i="2"/>
  <c r="CJ26" i="2"/>
  <c r="BZ20" i="2"/>
  <c r="BZ9" i="2"/>
  <c r="BZ5" i="2"/>
  <c r="BZ30" i="2"/>
  <c r="BZ12" i="2"/>
  <c r="BZ27" i="2"/>
  <c r="BZ31" i="2"/>
  <c r="BZ8" i="2"/>
  <c r="BZ15" i="2"/>
  <c r="BZ17" i="2"/>
  <c r="BZ24" i="2"/>
  <c r="BZ32" i="2"/>
  <c r="BZ29" i="2"/>
  <c r="BZ10" i="2"/>
  <c r="BZ11" i="2"/>
  <c r="BZ23" i="2"/>
  <c r="BZ28" i="2"/>
  <c r="BZ33" i="2"/>
  <c r="BZ7" i="2"/>
  <c r="BZ26" i="2"/>
  <c r="BZ21" i="2"/>
  <c r="AO958" i="1"/>
  <c r="CJ22" i="2"/>
  <c r="CI19" i="2"/>
  <c r="CI6" i="2"/>
  <c r="CJ25" i="2"/>
  <c r="CI7" i="2"/>
  <c r="CJ4" i="2"/>
  <c r="CJ16" i="2"/>
  <c r="CI12" i="2"/>
  <c r="CI4" i="2"/>
  <c r="CI14" i="2"/>
  <c r="CI22" i="2"/>
  <c r="CJ23" i="2"/>
  <c r="CJ19" i="2"/>
  <c r="CJ13" i="2"/>
  <c r="CI30" i="2"/>
  <c r="CI15" i="2"/>
  <c r="CI27" i="2"/>
  <c r="CJ29" i="2"/>
  <c r="CJ18" i="2"/>
  <c r="CJ6" i="2"/>
  <c r="AP762" i="1"/>
  <c r="CI5" i="2"/>
  <c r="CI28" i="2"/>
  <c r="CJ2" i="2"/>
  <c r="CJ27" i="2"/>
  <c r="CI3" i="2"/>
  <c r="CI16" i="2"/>
  <c r="CJ3" i="2"/>
  <c r="CI23" i="2"/>
  <c r="CI24" i="2"/>
  <c r="CJ21" i="2"/>
  <c r="CI18" i="2"/>
  <c r="CI32" i="2"/>
  <c r="CI11" i="2"/>
  <c r="CJ8" i="2"/>
  <c r="CI10" i="2"/>
  <c r="CJ33" i="2"/>
  <c r="CJ11" i="2"/>
  <c r="CI17" i="2"/>
  <c r="CI2" i="2"/>
  <c r="CJ5" i="2"/>
  <c r="CI31" i="2"/>
  <c r="CI20" i="2"/>
  <c r="CJ20" i="2"/>
  <c r="CI29" i="2"/>
  <c r="CJ32" i="2"/>
  <c r="CJ24" i="2"/>
  <c r="CI25" i="2"/>
  <c r="CJ7" i="2"/>
  <c r="CI33" i="2"/>
  <c r="CJ10" i="2"/>
  <c r="CJ30" i="2"/>
  <c r="CJ28" i="2"/>
  <c r="CI26" i="2"/>
  <c r="CI21" i="2"/>
  <c r="CI9" i="2"/>
  <c r="CJ14" i="2"/>
  <c r="CJ15" i="2"/>
  <c r="CJ31" i="2"/>
  <c r="E26" i="2"/>
  <c r="BK22" i="2"/>
  <c r="E27" i="2"/>
  <c r="E33" i="2"/>
  <c r="E31" i="2"/>
  <c r="BK8" i="2"/>
  <c r="E3" i="2"/>
  <c r="E20" i="2"/>
  <c r="E23" i="2"/>
  <c r="E24" i="2"/>
  <c r="E25" i="2"/>
  <c r="E18" i="2"/>
  <c r="E29" i="2"/>
  <c r="E10" i="2"/>
  <c r="E2" i="2"/>
  <c r="E30" i="2"/>
  <c r="E12" i="2"/>
  <c r="E17" i="2"/>
  <c r="E28" i="2"/>
  <c r="E5" i="2"/>
  <c r="E7" i="2"/>
  <c r="E16" i="2"/>
  <c r="E9" i="2"/>
  <c r="E11" i="2"/>
  <c r="E13" i="2"/>
  <c r="BK4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13" i="2"/>
  <c r="AK27" i="2"/>
  <c r="AK2" i="2"/>
  <c r="AK17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2" i="2"/>
  <c r="BN4" i="2"/>
  <c r="BN18" i="2"/>
  <c r="BO18" i="2"/>
  <c r="BN31" i="2"/>
  <c r="BN5" i="2"/>
  <c r="BN8" i="2"/>
  <c r="BO24" i="2"/>
  <c r="BN9" i="2"/>
  <c r="BO22" i="2"/>
  <c r="BN11" i="2"/>
  <c r="BN25" i="2"/>
  <c r="BO12" i="2"/>
  <c r="BO26" i="2"/>
  <c r="BN26" i="2"/>
  <c r="BN32" i="2"/>
  <c r="BO4" i="2"/>
  <c r="BN21" i="2"/>
  <c r="BN24" i="2"/>
  <c r="BN10" i="2"/>
  <c r="BO31" i="2"/>
  <c r="BO28" i="2"/>
  <c r="BO11" i="2"/>
  <c r="BO21" i="2"/>
  <c r="BN3" i="2"/>
  <c r="BN28" i="2"/>
  <c r="BO9" i="2"/>
  <c r="BO33" i="2"/>
  <c r="BN30" i="2"/>
  <c r="BO13" i="2"/>
  <c r="BO14" i="2"/>
  <c r="BN29" i="2"/>
  <c r="BO23" i="2"/>
  <c r="BN7" i="2"/>
  <c r="BN20" i="2"/>
  <c r="BN16" i="2"/>
  <c r="BO2" i="2"/>
  <c r="BO27" i="2"/>
  <c r="BO19" i="2"/>
  <c r="BO17" i="2"/>
  <c r="BN1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6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6" i="2"/>
  <c r="BM6" i="2"/>
  <c r="AP25" i="2"/>
  <c r="BL25" i="2"/>
  <c r="BM22" i="2"/>
  <c r="BL3" i="2"/>
  <c r="BL15" i="2"/>
  <c r="BM25" i="2"/>
  <c r="BM16" i="2"/>
  <c r="BM3" i="2"/>
  <c r="BL29" i="2"/>
  <c r="BL28" i="2"/>
  <c r="BM26" i="2"/>
  <c r="BL33" i="2"/>
  <c r="BM20" i="2"/>
  <c r="BM7" i="2"/>
  <c r="BL30" i="2"/>
  <c r="BM24" i="2"/>
  <c r="BM33" i="2"/>
  <c r="BM8" i="2"/>
  <c r="BL18" i="2"/>
  <c r="BM29" i="2"/>
  <c r="BM9" i="2"/>
  <c r="BM5" i="2"/>
  <c r="BL26" i="2"/>
  <c r="BM21" i="2"/>
  <c r="BL7" i="2"/>
  <c r="BL11" i="2"/>
  <c r="BL16" i="2"/>
  <c r="BM28" i="2"/>
  <c r="BM4" i="2"/>
  <c r="BM10" i="2"/>
  <c r="BM31" i="2"/>
  <c r="BM15" i="2"/>
  <c r="BL24" i="2"/>
  <c r="BL10" i="2"/>
  <c r="BM18" i="2"/>
  <c r="BL20" i="2"/>
  <c r="BM32" i="2"/>
  <c r="BL32" i="2"/>
  <c r="BL4" i="2"/>
  <c r="BM30" i="2"/>
  <c r="BL8" i="2"/>
  <c r="BL5" i="2"/>
  <c r="BM11" i="2"/>
  <c r="BM12" i="2"/>
  <c r="BM23" i="2"/>
  <c r="BL6" i="2"/>
  <c r="BL21" i="2"/>
  <c r="BM13" i="2"/>
  <c r="BL9" i="2"/>
  <c r="BM27" i="2"/>
  <c r="BM14" i="2"/>
  <c r="BM2" i="2"/>
  <c r="BM19" i="2"/>
  <c r="BL22" i="2"/>
  <c r="BL31" i="2"/>
  <c r="BM17" i="2"/>
  <c r="AP6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7" i="2"/>
  <c r="AF5" i="2"/>
  <c r="AH21" i="2"/>
  <c r="AP27" i="2"/>
  <c r="AF10" i="2"/>
  <c r="AO25" i="2"/>
  <c r="AF8" i="2"/>
  <c r="AH10" i="2"/>
  <c r="AK10" i="2" s="1"/>
  <c r="AF11" i="2"/>
  <c r="AP19" i="2"/>
  <c r="AH5" i="2"/>
  <c r="AK5" i="2" s="1"/>
  <c r="AF15" i="2"/>
  <c r="AO19" i="2"/>
  <c r="AJ16" i="2"/>
  <c r="AK16" i="2" s="1"/>
  <c r="AJ15" i="2"/>
  <c r="AK15" i="2" s="1"/>
  <c r="AP17" i="2"/>
  <c r="AF25" i="2"/>
  <c r="AO21" i="2"/>
  <c r="AP33" i="2"/>
  <c r="AO8" i="2"/>
  <c r="AJ8" i="2"/>
  <c r="AO17" i="2"/>
  <c r="AH25" i="2"/>
  <c r="AK25" i="2" s="1"/>
  <c r="AH4" i="2"/>
  <c r="AF33" i="2"/>
  <c r="AO10" i="2"/>
  <c r="AO5" i="2"/>
  <c r="AP5" i="2"/>
  <c r="AP10" i="2"/>
  <c r="AJ31" i="2"/>
  <c r="BP47" i="5"/>
  <c r="BP13" i="5"/>
  <c r="AO31" i="2"/>
  <c r="BP45" i="5"/>
  <c r="BP53" i="5"/>
  <c r="AF26" i="2"/>
  <c r="AF18" i="2"/>
  <c r="AJ9" i="2"/>
  <c r="AJ26" i="2"/>
  <c r="AW19" i="2"/>
  <c r="AW17" i="2"/>
  <c r="AW27" i="2"/>
  <c r="AW2" i="2"/>
  <c r="AW13" i="2"/>
  <c r="AW14" i="2"/>
  <c r="AH26" i="2"/>
  <c r="AF7" i="2"/>
  <c r="AP22" i="2"/>
  <c r="BP61" i="5"/>
  <c r="BP7" i="5"/>
  <c r="BP19" i="5"/>
  <c r="BP35" i="5"/>
  <c r="BP33" i="5"/>
  <c r="BP29" i="5"/>
  <c r="AO2" i="2"/>
  <c r="BP15" i="5"/>
  <c r="BP59" i="5"/>
  <c r="AP31" i="2"/>
  <c r="BP57" i="5"/>
  <c r="AH18" i="2"/>
  <c r="AF4" i="2"/>
  <c r="AJ6" i="2"/>
  <c r="AK6" i="2" s="1"/>
  <c r="BP21" i="5"/>
  <c r="E32" i="2"/>
  <c r="CY2" i="2"/>
  <c r="CZ5" i="2" s="1"/>
  <c r="AO6" i="2"/>
  <c r="AH31" i="2"/>
  <c r="AD20" i="2"/>
  <c r="BP20" i="2" s="1"/>
  <c r="AJ28" i="2"/>
  <c r="AH8" i="2"/>
  <c r="AP8" i="2"/>
  <c r="AH3" i="2"/>
  <c r="AP9" i="2"/>
  <c r="AJ20" i="2"/>
  <c r="AK20" i="2" s="1"/>
  <c r="DA5" i="2"/>
  <c r="DA6" i="2"/>
  <c r="AF16" i="2"/>
  <c r="AF28" i="2"/>
  <c r="CY3" i="2"/>
  <c r="DA3" i="2" s="1"/>
  <c r="AP2" i="2"/>
  <c r="AJ11" i="2"/>
  <c r="AF24" i="2"/>
  <c r="AJ30" i="2"/>
  <c r="AK30" i="2" s="1"/>
  <c r="AF20" i="2"/>
  <c r="AO7" i="2"/>
  <c r="AO11" i="2"/>
  <c r="AH11" i="2"/>
  <c r="AP11" i="2"/>
  <c r="AO30" i="2"/>
  <c r="AH28" i="2"/>
  <c r="AP30" i="2"/>
  <c r="AJ7" i="2"/>
  <c r="AK7" i="2" s="1"/>
  <c r="BP27" i="5"/>
  <c r="BP3" i="5"/>
  <c r="BP11" i="5"/>
  <c r="BP25" i="5"/>
  <c r="AD11" i="2"/>
  <c r="BP11" i="2" s="1"/>
  <c r="AF29" i="2"/>
  <c r="AF3" i="2"/>
  <c r="AO9" i="2"/>
  <c r="AO22" i="2"/>
  <c r="AH22" i="2"/>
  <c r="AW22" i="2" s="1"/>
  <c r="CS8" i="2"/>
  <c r="CS7" i="2"/>
  <c r="AF30" i="2"/>
  <c r="AJ4" i="2"/>
  <c r="AJ18" i="2"/>
  <c r="BP5" i="5"/>
  <c r="BP17" i="5"/>
  <c r="BP37" i="5"/>
  <c r="BP9" i="5"/>
  <c r="AH24" i="2"/>
  <c r="BP55" i="5"/>
  <c r="BP23" i="5"/>
  <c r="BP63" i="5"/>
  <c r="BP51" i="5"/>
  <c r="BP65" i="5"/>
  <c r="BP31" i="5"/>
  <c r="BP41" i="5"/>
  <c r="AO3" i="2"/>
  <c r="BP43" i="5"/>
  <c r="BP49" i="5"/>
  <c r="AH9" i="2"/>
  <c r="BP39" i="5"/>
  <c r="AP7" i="2"/>
  <c r="E21" i="2"/>
  <c r="BK5" i="2"/>
  <c r="BK21" i="2"/>
  <c r="BK23" i="2"/>
  <c r="BK10" i="2"/>
  <c r="BK3" i="2"/>
  <c r="BK13" i="2"/>
  <c r="BK7" i="2"/>
  <c r="BK18" i="2"/>
  <c r="BK20" i="2"/>
  <c r="BK33" i="2"/>
  <c r="BK16" i="2"/>
  <c r="BK31" i="2"/>
  <c r="BK32" i="2"/>
  <c r="BK9" i="2"/>
  <c r="BK29" i="2"/>
  <c r="BK2" i="2"/>
  <c r="BK12" i="2"/>
  <c r="BK24" i="2"/>
  <c r="BK25" i="2"/>
  <c r="BK28" i="2"/>
  <c r="BK17" i="2"/>
  <c r="BK6" i="2"/>
  <c r="BK11" i="2"/>
  <c r="BK30" i="2"/>
  <c r="BK15" i="2"/>
  <c r="BK26" i="2"/>
  <c r="BK27" i="2"/>
  <c r="K4" i="2"/>
  <c r="E4" i="2"/>
  <c r="BI19" i="2"/>
  <c r="E19" i="2"/>
  <c r="K22" i="2"/>
  <c r="E22" i="2"/>
  <c r="K8" i="2"/>
  <c r="E8" i="2"/>
  <c r="BJ8" i="2"/>
  <c r="AD22" i="2"/>
  <c r="BP22" i="2" s="1"/>
  <c r="BI4" i="2"/>
  <c r="BJ4" i="2"/>
  <c r="AD32" i="2"/>
  <c r="BP32" i="2" s="1"/>
  <c r="AD30" i="2"/>
  <c r="BP30" i="2" s="1"/>
  <c r="AF32" i="2"/>
  <c r="AD17" i="2"/>
  <c r="BP17" i="2" s="1"/>
  <c r="AD26" i="2"/>
  <c r="BP26" i="2" s="1"/>
  <c r="AD25" i="2"/>
  <c r="BP25" i="2" s="1"/>
  <c r="AO24" i="2"/>
  <c r="AD8" i="2"/>
  <c r="BP8" i="2" s="1"/>
  <c r="AD21" i="2"/>
  <c r="BP21" i="2" s="1"/>
  <c r="AD16" i="2"/>
  <c r="BP16" i="2" s="1"/>
  <c r="AH32" i="2"/>
  <c r="AD10" i="2"/>
  <c r="BP10" i="2" s="1"/>
  <c r="AD19" i="2"/>
  <c r="BP19" i="2" s="1"/>
  <c r="AD15" i="2"/>
  <c r="BP15" i="2" s="1"/>
  <c r="AD5" i="2"/>
  <c r="BP5" i="2" s="1"/>
  <c r="AD9" i="2"/>
  <c r="BP9" i="2" s="1"/>
  <c r="AD4" i="2"/>
  <c r="BP4" i="2" s="1"/>
  <c r="AD27" i="2"/>
  <c r="BP27" i="2" s="1"/>
  <c r="AD2" i="2"/>
  <c r="BP2" i="2" s="1"/>
  <c r="AD18" i="2"/>
  <c r="BP18" i="2" s="1"/>
  <c r="AD31" i="2"/>
  <c r="BP31" i="2" s="1"/>
  <c r="AD23" i="2"/>
  <c r="BP23" i="2" s="1"/>
  <c r="AD33" i="2"/>
  <c r="BP33" i="2" s="1"/>
  <c r="AD28" i="2"/>
  <c r="BP28" i="2" s="1"/>
  <c r="AD29" i="2"/>
  <c r="BP29" i="2" s="1"/>
  <c r="AD13" i="2"/>
  <c r="BP13" i="2" s="1"/>
  <c r="AD24" i="2"/>
  <c r="BP24" i="2" s="1"/>
  <c r="AD12" i="2"/>
  <c r="BP12" i="2" s="1"/>
  <c r="AJ32" i="2"/>
  <c r="AP12" i="2"/>
  <c r="AH12" i="2"/>
  <c r="AW12" i="2" s="1"/>
  <c r="AJ21" i="2"/>
  <c r="AO23" i="2"/>
  <c r="AJ23" i="2"/>
  <c r="AW23" i="2" s="1"/>
  <c r="AD7" i="2"/>
  <c r="BP7" i="2" s="1"/>
  <c r="AO29" i="2"/>
  <c r="AJ29" i="2"/>
  <c r="AK29" i="2" s="1"/>
  <c r="AJ3" i="2"/>
  <c r="AD3" i="2"/>
  <c r="BP3" i="2" s="1"/>
  <c r="AJ24" i="2"/>
  <c r="AD6" i="2"/>
  <c r="BP6" i="2" s="1"/>
  <c r="AH33" i="2"/>
  <c r="AK33" i="2" s="1"/>
  <c r="BI8" i="2"/>
  <c r="BY13" i="2"/>
  <c r="BY31" i="2"/>
  <c r="BJ22" i="2"/>
  <c r="BI22" i="2"/>
  <c r="BI28" i="2"/>
  <c r="K28" i="2"/>
  <c r="BI5" i="2"/>
  <c r="K5" i="2"/>
  <c r="BJ7" i="2"/>
  <c r="K7" i="2"/>
  <c r="BJ16" i="2"/>
  <c r="K16" i="2"/>
  <c r="BJ31" i="2"/>
  <c r="K31" i="2"/>
  <c r="BI6" i="2"/>
  <c r="K6" i="2"/>
  <c r="BI33" i="2"/>
  <c r="K33" i="2"/>
  <c r="BI10" i="2"/>
  <c r="K10" i="2"/>
  <c r="BI13" i="2"/>
  <c r="K13" i="2"/>
  <c r="BJ13" i="2"/>
  <c r="BI30" i="2"/>
  <c r="K30" i="2"/>
  <c r="BJ25" i="2"/>
  <c r="K25" i="2"/>
  <c r="BI18" i="2"/>
  <c r="K18" i="2"/>
  <c r="BJ20" i="2"/>
  <c r="K20" i="2"/>
  <c r="BI26" i="2"/>
  <c r="K26" i="2"/>
  <c r="BJ11" i="2"/>
  <c r="K11" i="2"/>
  <c r="BJ21" i="2"/>
  <c r="K21" i="2"/>
  <c r="BJ27" i="2"/>
  <c r="K27" i="2"/>
  <c r="BJ19" i="2"/>
  <c r="K19" i="2"/>
  <c r="BJ3" i="2"/>
  <c r="K3" i="2"/>
  <c r="BI9" i="2"/>
  <c r="K9" i="2"/>
  <c r="BJ23" i="2"/>
  <c r="K23" i="2"/>
  <c r="BJ24" i="2"/>
  <c r="K24" i="2"/>
  <c r="BJ12" i="2"/>
  <c r="K12" i="2"/>
  <c r="BI17" i="2"/>
  <c r="K17" i="2"/>
  <c r="BJ32" i="2"/>
  <c r="K32" i="2"/>
  <c r="BJ29" i="2"/>
  <c r="K29" i="2"/>
  <c r="BI15" i="2"/>
  <c r="K15" i="2"/>
  <c r="BJ2" i="2"/>
  <c r="K2" i="2"/>
  <c r="BI2" i="2"/>
  <c r="BY30" i="2"/>
  <c r="BY27" i="2"/>
  <c r="BY24" i="2"/>
  <c r="BI27" i="2"/>
  <c r="BY23" i="2"/>
  <c r="AP18" i="2"/>
  <c r="BY17" i="2"/>
  <c r="BY33" i="2"/>
  <c r="BY18" i="2"/>
  <c r="AP15" i="2"/>
  <c r="AO15" i="2"/>
  <c r="BY25" i="2"/>
  <c r="AP3" i="2"/>
  <c r="BY16" i="2"/>
  <c r="BJ15" i="2"/>
  <c r="AP4" i="2"/>
  <c r="BY7" i="2"/>
  <c r="AO26" i="2"/>
  <c r="AO4" i="2"/>
  <c r="BY28" i="2"/>
  <c r="AP23" i="2"/>
  <c r="BY4" i="2"/>
  <c r="BY26" i="2"/>
  <c r="BY21" i="2"/>
  <c r="AP29" i="2"/>
  <c r="BY29" i="2"/>
  <c r="BY9" i="2"/>
  <c r="BY22" i="2"/>
  <c r="BY19" i="2"/>
  <c r="BY10" i="2"/>
  <c r="BY15" i="2"/>
  <c r="BY8" i="2"/>
  <c r="BY12" i="2"/>
  <c r="BI21" i="2"/>
  <c r="BY11" i="2"/>
  <c r="AO28" i="2"/>
  <c r="AP21" i="2"/>
  <c r="AO32" i="2"/>
  <c r="AP20" i="2"/>
  <c r="AO20" i="2"/>
  <c r="AO13" i="2"/>
  <c r="BY3" i="2"/>
  <c r="AP28" i="2"/>
  <c r="BY6" i="2"/>
  <c r="AP26" i="2"/>
  <c r="AO33" i="2"/>
  <c r="AO18" i="2"/>
  <c r="AO12" i="2"/>
  <c r="AP16" i="2"/>
  <c r="AP14" i="2"/>
  <c r="AP24" i="2"/>
  <c r="AP13" i="2"/>
  <c r="AP32" i="2"/>
  <c r="BJ10" i="2"/>
  <c r="BJ6" i="2"/>
  <c r="BY2" i="2"/>
  <c r="BJ9" i="2"/>
  <c r="AO16" i="2"/>
  <c r="BY5" i="2"/>
  <c r="BY20" i="2"/>
  <c r="BI24" i="2"/>
  <c r="BI11" i="2"/>
  <c r="BI32" i="2"/>
  <c r="BI20" i="2"/>
  <c r="BJ5" i="2"/>
  <c r="BJ28" i="2"/>
  <c r="BY32" i="2"/>
  <c r="BI23" i="2"/>
  <c r="AO14" i="2"/>
  <c r="D2" i="9" s="1"/>
  <c r="U7" i="9" s="1"/>
  <c r="BI31" i="2"/>
  <c r="BJ26" i="2"/>
  <c r="BJ33" i="2"/>
  <c r="BI29" i="2"/>
  <c r="BI25" i="2"/>
  <c r="BI16" i="2"/>
  <c r="BJ30" i="2"/>
  <c r="BJ17" i="2"/>
  <c r="BJ18" i="2"/>
  <c r="BI3" i="2"/>
  <c r="BI7" i="2"/>
  <c r="BI12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27" i="2" l="1"/>
  <c r="AN27" i="2"/>
  <c r="AM17" i="2"/>
  <c r="AN17" i="2"/>
  <c r="AM19" i="2"/>
  <c r="AN19" i="2"/>
  <c r="AM13" i="2"/>
  <c r="AN13" i="2"/>
  <c r="AM2" i="2"/>
  <c r="AN2" i="2"/>
  <c r="AM14" i="2"/>
  <c r="AN14" i="2"/>
  <c r="AB4" i="2"/>
  <c r="AB22" i="2"/>
  <c r="AB31" i="2"/>
  <c r="AB28" i="2"/>
  <c r="AB11" i="2"/>
  <c r="AB6" i="2"/>
  <c r="AB19" i="2"/>
  <c r="AB32" i="2"/>
  <c r="AB13" i="2"/>
  <c r="AB16" i="2"/>
  <c r="AB15" i="2"/>
  <c r="AB23" i="2"/>
  <c r="AB7" i="2"/>
  <c r="AB10" i="2"/>
  <c r="AB9" i="2"/>
  <c r="AB12" i="2"/>
  <c r="AB26" i="2"/>
  <c r="AB18" i="2"/>
  <c r="AB21" i="2"/>
  <c r="AB30" i="2"/>
  <c r="AB3" i="2"/>
  <c r="AB5" i="2"/>
  <c r="AB17" i="2"/>
  <c r="AB20" i="2"/>
  <c r="AB2" i="2"/>
  <c r="AB27" i="2"/>
  <c r="AB25" i="2"/>
  <c r="AB8" i="2"/>
  <c r="AB29" i="2"/>
  <c r="AB24" i="2"/>
  <c r="AB33" i="2"/>
  <c r="CW11" i="2"/>
  <c r="AL9" i="2"/>
  <c r="AL28" i="2"/>
  <c r="AL8" i="2"/>
  <c r="AL32" i="2"/>
  <c r="AL31" i="2"/>
  <c r="AL21" i="2"/>
  <c r="AL26" i="2"/>
  <c r="AL3" i="2"/>
  <c r="AL4" i="2"/>
  <c r="AL11" i="2"/>
  <c r="AL24" i="2"/>
  <c r="AL18" i="2"/>
  <c r="AL16" i="2"/>
  <c r="AL10" i="2"/>
  <c r="AL12" i="2"/>
  <c r="AL15" i="2"/>
  <c r="AL29" i="2"/>
  <c r="AL30" i="2"/>
  <c r="AL25" i="2"/>
  <c r="AL5" i="2"/>
  <c r="AL20" i="2"/>
  <c r="AL22" i="2"/>
  <c r="AL33" i="2"/>
  <c r="AL7" i="2"/>
  <c r="AL23" i="2"/>
  <c r="AL6" i="2"/>
  <c r="BO36" i="2"/>
  <c r="BN35" i="2"/>
  <c r="BO35" i="2"/>
  <c r="BR30" i="2"/>
  <c r="BS30" i="2" s="1"/>
  <c r="BR3" i="2"/>
  <c r="BS3" i="2" s="1"/>
  <c r="BR5" i="2"/>
  <c r="BS5" i="2" s="1"/>
  <c r="BR32" i="2"/>
  <c r="BS32" i="2" s="1"/>
  <c r="BR26" i="2"/>
  <c r="BS26" i="2" s="1"/>
  <c r="BN37" i="2"/>
  <c r="BR19" i="2"/>
  <c r="BS19" i="2" s="1"/>
  <c r="BR25" i="2"/>
  <c r="BS25" i="2" s="1"/>
  <c r="BR8" i="2"/>
  <c r="BS8" i="2" s="1"/>
  <c r="BR7" i="2"/>
  <c r="BS7" i="2" s="1"/>
  <c r="BR28" i="2"/>
  <c r="BS28" i="2" s="1"/>
  <c r="BN36" i="2"/>
  <c r="BR23" i="2"/>
  <c r="BS23" i="2" s="1"/>
  <c r="BR4" i="2"/>
  <c r="BS4" i="2" s="1"/>
  <c r="BR22" i="2"/>
  <c r="BS22" i="2" s="1"/>
  <c r="BR18" i="2"/>
  <c r="BS18" i="2" s="1"/>
  <c r="BR13" i="2"/>
  <c r="BS13" i="2" s="1"/>
  <c r="BR20" i="2"/>
  <c r="BS20" i="2" s="1"/>
  <c r="BR11" i="2"/>
  <c r="BS11" i="2" s="1"/>
  <c r="BR6" i="2"/>
  <c r="BS6" i="2" s="1"/>
  <c r="BR2" i="2"/>
  <c r="BR10" i="2"/>
  <c r="BS10" i="2" s="1"/>
  <c r="BO37" i="2"/>
  <c r="BR17" i="2"/>
  <c r="BS17" i="2" s="1"/>
  <c r="BR16" i="2"/>
  <c r="BS16" i="2" s="1"/>
  <c r="BR15" i="2"/>
  <c r="BS15" i="2" s="1"/>
  <c r="BR33" i="2"/>
  <c r="BS33" i="2" s="1"/>
  <c r="BR21" i="2"/>
  <c r="BS21" i="2" s="1"/>
  <c r="BR29" i="2"/>
  <c r="BS29" i="2" s="1"/>
  <c r="BR31" i="2"/>
  <c r="BS31" i="2" s="1"/>
  <c r="BR9" i="2"/>
  <c r="BS9" i="2" s="1"/>
  <c r="BR12" i="2"/>
  <c r="BS12" i="2" s="1"/>
  <c r="BR24" i="2"/>
  <c r="BS24" i="2" s="1"/>
  <c r="BR27" i="2"/>
  <c r="BS27" i="2" s="1"/>
  <c r="BL35" i="2"/>
  <c r="BL36" i="2"/>
  <c r="BL37" i="2"/>
  <c r="BM35" i="2"/>
  <c r="BM36" i="2"/>
  <c r="BM37" i="2"/>
  <c r="CK9" i="2"/>
  <c r="CL9" i="2" s="1"/>
  <c r="CK12" i="2"/>
  <c r="CL12" i="2" s="1"/>
  <c r="CK8" i="2"/>
  <c r="CL8" i="2" s="1"/>
  <c r="CK17" i="2"/>
  <c r="CL17" i="2" s="1"/>
  <c r="CK7" i="2"/>
  <c r="CL7" i="2" s="1"/>
  <c r="CK13" i="2"/>
  <c r="CL13" i="2" s="1"/>
  <c r="CK26" i="2"/>
  <c r="CL26" i="2" s="1"/>
  <c r="CK2" i="2"/>
  <c r="CL2" i="2" s="1"/>
  <c r="BV37" i="2"/>
  <c r="BZ14" i="2"/>
  <c r="BZ37" i="2" s="1"/>
  <c r="CK25" i="2"/>
  <c r="CL25" i="2" s="1"/>
  <c r="CK23" i="2"/>
  <c r="CL23" i="2" s="1"/>
  <c r="CK16" i="2"/>
  <c r="CL16" i="2" s="1"/>
  <c r="CK19" i="2"/>
  <c r="CL19" i="2" s="1"/>
  <c r="CK6" i="2"/>
  <c r="CL6" i="2" s="1"/>
  <c r="CK27" i="2"/>
  <c r="CL27" i="2" s="1"/>
  <c r="CK22" i="2"/>
  <c r="CL22" i="2" s="1"/>
  <c r="CK4" i="2"/>
  <c r="CL4" i="2" s="1"/>
  <c r="CK15" i="2"/>
  <c r="CL15" i="2" s="1"/>
  <c r="CK14" i="2"/>
  <c r="CL14" i="2" s="1"/>
  <c r="CK30" i="2"/>
  <c r="CL30" i="2" s="1"/>
  <c r="CK10" i="2"/>
  <c r="CL10" i="2" s="1"/>
  <c r="CK3" i="2"/>
  <c r="CL3" i="2" s="1"/>
  <c r="CK20" i="2"/>
  <c r="CL20" i="2" s="1"/>
  <c r="CK11" i="2"/>
  <c r="CL11" i="2" s="1"/>
  <c r="CK24" i="2"/>
  <c r="CL24" i="2" s="1"/>
  <c r="CK29" i="2"/>
  <c r="CL29" i="2" s="1"/>
  <c r="CK32" i="2"/>
  <c r="CL32" i="2" s="1"/>
  <c r="CK18" i="2"/>
  <c r="CL18" i="2" s="1"/>
  <c r="CK21" i="2"/>
  <c r="CL21" i="2" s="1"/>
  <c r="CK31" i="2"/>
  <c r="CL31" i="2" s="1"/>
  <c r="CK5" i="2"/>
  <c r="CL5" i="2" s="1"/>
  <c r="CK33" i="2"/>
  <c r="CL33" i="2" s="1"/>
  <c r="CK28" i="2"/>
  <c r="CL28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1" i="2"/>
  <c r="AK9" i="2"/>
  <c r="AK31" i="2"/>
  <c r="AK21" i="2"/>
  <c r="AK28" i="2"/>
  <c r="AK3" i="2"/>
  <c r="AK18" i="2"/>
  <c r="AK4" i="2"/>
  <c r="AK24" i="2"/>
  <c r="AK8" i="2"/>
  <c r="AK26" i="2"/>
  <c r="AK32" i="2"/>
  <c r="AK22" i="2"/>
  <c r="AK23" i="2"/>
  <c r="AK12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30" i="2"/>
  <c r="AV30" i="2" s="1"/>
  <c r="AQ5" i="2"/>
  <c r="AQ33" i="2"/>
  <c r="AR31" i="2"/>
  <c r="AV31" i="2" s="1"/>
  <c r="AQ10" i="2"/>
  <c r="AR19" i="2"/>
  <c r="AV19" i="2" s="1"/>
  <c r="AR28" i="2"/>
  <c r="AV28" i="2" s="1"/>
  <c r="AQ15" i="2"/>
  <c r="AQ29" i="2"/>
  <c r="AQ30" i="2"/>
  <c r="AR9" i="2"/>
  <c r="AV9" i="2" s="1"/>
  <c r="AQ24" i="2"/>
  <c r="AR5" i="2"/>
  <c r="AV5" i="2" s="1"/>
  <c r="AR26" i="2"/>
  <c r="AV26" i="2" s="1"/>
  <c r="AR15" i="2"/>
  <c r="AV15" i="2" s="1"/>
  <c r="AQ3" i="2"/>
  <c r="AR11" i="2"/>
  <c r="AV11" i="2" s="1"/>
  <c r="AR6" i="2"/>
  <c r="AQ16" i="2"/>
  <c r="AQ13" i="2"/>
  <c r="AR29" i="2"/>
  <c r="AV29" i="2" s="1"/>
  <c r="AR8" i="2"/>
  <c r="AV8" i="2" s="1"/>
  <c r="AQ2" i="2"/>
  <c r="AQ11" i="2"/>
  <c r="AQ17" i="2"/>
  <c r="AQ25" i="2"/>
  <c r="AQ22" i="2"/>
  <c r="AQ7" i="2"/>
  <c r="AQ23" i="2"/>
  <c r="AQ9" i="2"/>
  <c r="AQ8" i="2"/>
  <c r="AR27" i="2"/>
  <c r="AV27" i="2" s="1"/>
  <c r="AR32" i="2"/>
  <c r="AV32" i="2" s="1"/>
  <c r="AR21" i="2"/>
  <c r="AV21" i="2" s="1"/>
  <c r="AR23" i="2"/>
  <c r="AV23" i="2" s="1"/>
  <c r="AR12" i="2"/>
  <c r="AV12" i="2" s="1"/>
  <c r="AR33" i="2"/>
  <c r="AV33" i="2" s="1"/>
  <c r="AQ32" i="2"/>
  <c r="AQ28" i="2"/>
  <c r="AQ21" i="2"/>
  <c r="AR24" i="2"/>
  <c r="AV24" i="2" s="1"/>
  <c r="AQ31" i="2"/>
  <c r="AQ27" i="2"/>
  <c r="AR2" i="2"/>
  <c r="AV2" i="2" s="1"/>
  <c r="AR22" i="2"/>
  <c r="AV22" i="2" s="1"/>
  <c r="AR17" i="2"/>
  <c r="AV17" i="2" s="1"/>
  <c r="AQ20" i="2"/>
  <c r="AR20" i="2"/>
  <c r="AV20" i="2" s="1"/>
  <c r="AR18" i="2"/>
  <c r="AV18" i="2" s="1"/>
  <c r="AR13" i="2"/>
  <c r="AV13" i="2" s="1"/>
  <c r="AQ6" i="2"/>
  <c r="BQ6" i="2" s="1"/>
  <c r="AQ4" i="2"/>
  <c r="AQ26" i="2"/>
  <c r="AR16" i="2"/>
  <c r="AV16" i="2" s="1"/>
  <c r="AR25" i="2"/>
  <c r="AV25" i="2" s="1"/>
  <c r="AQ12" i="2"/>
  <c r="AR4" i="2"/>
  <c r="AV4" i="2" s="1"/>
  <c r="AQ18" i="2"/>
  <c r="AR7" i="2"/>
  <c r="AV7" i="2" s="1"/>
  <c r="AR10" i="2"/>
  <c r="AV10" i="2" s="1"/>
  <c r="AQ19" i="2"/>
  <c r="AW6" i="2"/>
  <c r="AR14" i="2"/>
  <c r="AW16" i="2"/>
  <c r="AW10" i="2"/>
  <c r="AW5" i="2"/>
  <c r="AW21" i="2"/>
  <c r="AW25" i="2"/>
  <c r="AW8" i="2"/>
  <c r="AW15" i="2"/>
  <c r="AT33" i="2"/>
  <c r="AS8" i="2"/>
  <c r="AW33" i="2"/>
  <c r="AW31" i="2"/>
  <c r="AW9" i="2"/>
  <c r="AW11" i="2"/>
  <c r="AW26" i="2"/>
  <c r="AW18" i="2"/>
  <c r="AW32" i="2"/>
  <c r="AW4" i="2"/>
  <c r="AW7" i="2"/>
  <c r="AW24" i="2"/>
  <c r="AW30" i="2"/>
  <c r="AW3" i="2"/>
  <c r="AW29" i="2"/>
  <c r="AW20" i="2"/>
  <c r="AW28" i="2"/>
  <c r="CR18" i="2"/>
  <c r="CZ6" i="2"/>
  <c r="CY4" i="2"/>
  <c r="DA4" i="2" s="1"/>
  <c r="AS22" i="2"/>
  <c r="BP67" i="5"/>
  <c r="AT4" i="2"/>
  <c r="AT8" i="2"/>
  <c r="BK14" i="2"/>
  <c r="BK36" i="2" s="1"/>
  <c r="AT22" i="2"/>
  <c r="K14" i="2"/>
  <c r="E14" i="2"/>
  <c r="E35" i="2" s="1"/>
  <c r="AT12" i="2"/>
  <c r="AD14" i="2"/>
  <c r="AS4" i="2"/>
  <c r="AQ14" i="2"/>
  <c r="AT20" i="2"/>
  <c r="AT16" i="2"/>
  <c r="AT28" i="2"/>
  <c r="AS31" i="2"/>
  <c r="AT31" i="2"/>
  <c r="AS2" i="2"/>
  <c r="AT2" i="2"/>
  <c r="AS24" i="2"/>
  <c r="AT24" i="2"/>
  <c r="AS21" i="2"/>
  <c r="AT21" i="2"/>
  <c r="AS30" i="2"/>
  <c r="AT30" i="2"/>
  <c r="AS17" i="2"/>
  <c r="AT17" i="2"/>
  <c r="AS19" i="2"/>
  <c r="AT19" i="2"/>
  <c r="AT18" i="2"/>
  <c r="AT13" i="2"/>
  <c r="AS6" i="2"/>
  <c r="AT6" i="2"/>
  <c r="AS7" i="2"/>
  <c r="AT7" i="2"/>
  <c r="AS10" i="2"/>
  <c r="AT10" i="2"/>
  <c r="AS5" i="2"/>
  <c r="AT5" i="2"/>
  <c r="AT32" i="2"/>
  <c r="AS3" i="2"/>
  <c r="AT3" i="2"/>
  <c r="AT15" i="2"/>
  <c r="AS23" i="2"/>
  <c r="AT23" i="2"/>
  <c r="AS11" i="2"/>
  <c r="AT11" i="2"/>
  <c r="AS29" i="2"/>
  <c r="AT29" i="2"/>
  <c r="AS9" i="2"/>
  <c r="AT9" i="2"/>
  <c r="AS27" i="2"/>
  <c r="AT27" i="2"/>
  <c r="AT26" i="2"/>
  <c r="AS25" i="2"/>
  <c r="AT25" i="2"/>
  <c r="AS16" i="2"/>
  <c r="AS28" i="2"/>
  <c r="AS15" i="2"/>
  <c r="AS18" i="2"/>
  <c r="AS13" i="2"/>
  <c r="AS33" i="2"/>
  <c r="AS12" i="2"/>
  <c r="AS26" i="2"/>
  <c r="AS32" i="2"/>
  <c r="AS20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5" i="2" l="1"/>
  <c r="AN5" i="2"/>
  <c r="AM32" i="2"/>
  <c r="AN32" i="2"/>
  <c r="AM30" i="2"/>
  <c r="AN30" i="2"/>
  <c r="AM28" i="2"/>
  <c r="AN28" i="2"/>
  <c r="AM29" i="2"/>
  <c r="AN29" i="2"/>
  <c r="AM9" i="2"/>
  <c r="AN9" i="2"/>
  <c r="AM15" i="2"/>
  <c r="AN15" i="2"/>
  <c r="AM8" i="2"/>
  <c r="AN8" i="2"/>
  <c r="AM12" i="2"/>
  <c r="AN12" i="2"/>
  <c r="AM10" i="2"/>
  <c r="AN10" i="2"/>
  <c r="AM16" i="2"/>
  <c r="AN16" i="2"/>
  <c r="AM18" i="2"/>
  <c r="AN18" i="2"/>
  <c r="AM24" i="2"/>
  <c r="AN24" i="2"/>
  <c r="AM25" i="2"/>
  <c r="AN25" i="2"/>
  <c r="AM6" i="2"/>
  <c r="AN6" i="2"/>
  <c r="AM11" i="2"/>
  <c r="AN11" i="2"/>
  <c r="AM23" i="2"/>
  <c r="AN23" i="2"/>
  <c r="AM4" i="2"/>
  <c r="AN4" i="2"/>
  <c r="AM7" i="2"/>
  <c r="AN7" i="2"/>
  <c r="AM3" i="2"/>
  <c r="AN3" i="2"/>
  <c r="AM33" i="2"/>
  <c r="AN33" i="2"/>
  <c r="AM26" i="2"/>
  <c r="AN26" i="2"/>
  <c r="AM22" i="2"/>
  <c r="AN22" i="2"/>
  <c r="AM21" i="2"/>
  <c r="AN21" i="2"/>
  <c r="AM20" i="2"/>
  <c r="AN20" i="2"/>
  <c r="AM31" i="2"/>
  <c r="AN31" i="2"/>
  <c r="BR14" i="2"/>
  <c r="BR37" i="2" s="1"/>
  <c r="AB14" i="2"/>
  <c r="CX7" i="2"/>
  <c r="CW9" i="2" s="1"/>
  <c r="CX10" i="2" s="1"/>
  <c r="BS2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0" i="2"/>
  <c r="BQ20" i="2"/>
  <c r="AU8" i="2"/>
  <c r="BQ8" i="2"/>
  <c r="AU19" i="2"/>
  <c r="BQ19" i="2"/>
  <c r="AU23" i="2"/>
  <c r="BQ23" i="2"/>
  <c r="AU27" i="2"/>
  <c r="BQ27" i="2"/>
  <c r="AU22" i="2"/>
  <c r="BQ22" i="2"/>
  <c r="AU18" i="2"/>
  <c r="BQ18" i="2"/>
  <c r="AU31" i="2"/>
  <c r="BQ31" i="2"/>
  <c r="AU25" i="2"/>
  <c r="BQ25" i="2"/>
  <c r="AU30" i="2"/>
  <c r="BQ30" i="2"/>
  <c r="AU17" i="2"/>
  <c r="BQ17" i="2"/>
  <c r="AU29" i="2"/>
  <c r="BQ29" i="2"/>
  <c r="AU12" i="2"/>
  <c r="BQ12" i="2"/>
  <c r="AU21" i="2"/>
  <c r="BQ21" i="2"/>
  <c r="AU11" i="2"/>
  <c r="BQ11" i="2"/>
  <c r="AU15" i="2"/>
  <c r="BQ15" i="2"/>
  <c r="AU28" i="2"/>
  <c r="BQ28" i="2"/>
  <c r="AU2" i="2"/>
  <c r="BQ2" i="2"/>
  <c r="AU32" i="2"/>
  <c r="BQ32" i="2"/>
  <c r="AU24" i="2"/>
  <c r="BQ24" i="2"/>
  <c r="AU26" i="2"/>
  <c r="BQ26" i="2"/>
  <c r="AU10" i="2"/>
  <c r="BQ10" i="2"/>
  <c r="AU4" i="2"/>
  <c r="BQ4" i="2"/>
  <c r="AU13" i="2"/>
  <c r="BQ13" i="2"/>
  <c r="AU16" i="2"/>
  <c r="BQ16" i="2"/>
  <c r="AU33" i="2"/>
  <c r="BQ33" i="2"/>
  <c r="AU7" i="2"/>
  <c r="BQ7" i="2"/>
  <c r="AU5" i="2"/>
  <c r="BQ5" i="2"/>
  <c r="AU9" i="2"/>
  <c r="BQ9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6" i="2"/>
  <c r="AR35" i="2"/>
  <c r="AR37" i="2"/>
  <c r="AR36" i="2"/>
  <c r="AU6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<sst xmlns="http://schemas.openxmlformats.org/spreadsheetml/2006/main" count="5364" uniqueCount="751">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</sst>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1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1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0.19090909090909092</c:v>
                </c:pt>
                <c:pt idx="1">
                  <c:v>0.32727272727272727</c:v>
                </c:pt>
                <c:pt idx="2">
                  <c:v>0.24545454545454545</c:v>
                </c:pt>
                <c:pt idx="3">
                  <c:v>0.17272727272727273</c:v>
                </c:pt>
                <c:pt idx="4">
                  <c:v>5.4545454545454543E-2</c:v>
                </c:pt>
                <c:pt idx="5">
                  <c:v>9.0909090909090905E-3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0.18181818181818182</c:v>
                </c:pt>
                <c:pt idx="1">
                  <c:v>0.37272727272727274</c:v>
                </c:pt>
                <c:pt idx="2">
                  <c:v>0.24545454545454545</c:v>
                </c:pt>
                <c:pt idx="3">
                  <c:v>0.11818181818181818</c:v>
                </c:pt>
                <c:pt idx="4">
                  <c:v>8.1818181818181818E-2</c:v>
                </c:pt>
                <c:pt idx="5">
                  <c:v>0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0.18636363636363637</c:v>
                </c:pt>
                <c:pt idx="1">
                  <c:v>0.35</c:v>
                </c:pt>
                <c:pt idx="2">
                  <c:v>0.24545454545454545</c:v>
                </c:pt>
                <c:pt idx="3">
                  <c:v>0.14545454545454545</c:v>
                </c:pt>
                <c:pt idx="4">
                  <c:v>6.8181818181818177E-2</c:v>
                </c:pt>
                <c:pt idx="5">
                  <c:v>4.5454545454545452E-3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08" workbookViewId="0">
      <selection activeCell="AL130" sqref="AL130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110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47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61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38</v>
      </c>
      <c r="BP5" s="57"/>
      <c r="BR5" s="2">
        <v>0</v>
      </c>
      <c r="BS5" s="110" cm="1">
        <f t="array" ref="BS5">SUM(--(ABS($F$3:$F$1315 - $J$3:$J$1315) = 0)) -(((32*82)/2) - $BD$4)</f>
        <v>21</v>
      </c>
      <c r="BT5" s="111">
        <f>$BS5/$BD$4</f>
        <v>0.19090909090909092</v>
      </c>
      <c r="BU5" s="112" cm="1">
        <f t="array" ref="BU5">SUM(--(ABS($G$3:$G$1315 - $K$3:$K$1315) = 0)) -(((32*82)/2) - $BD$4)</f>
        <v>20</v>
      </c>
      <c r="BV5" s="113">
        <f>$BU5/$BD$4</f>
        <v>0.18181818181818182</v>
      </c>
      <c r="BW5" s="109">
        <f t="shared" ref="BW5:BW15" si="5">BS5+BU5</f>
        <v>41</v>
      </c>
      <c r="BX5" s="114">
        <f t="shared" ref="BX5:BX15" si="6">(BS5+BU5)/($BD$4*2)</f>
        <v>0.18636363636363637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49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12</v>
      </c>
      <c r="BP6" s="57"/>
      <c r="BR6" s="2">
        <v>1</v>
      </c>
      <c r="BS6" s="110" cm="1">
        <f t="array" ref="BS6">SUM(--(ABS($F$3:$F$1315 - $J$3:$J$1315) = $BR6))</f>
        <v>36</v>
      </c>
      <c r="BT6" s="111">
        <f t="shared" ref="BT6:BT15" si="7">$BS6/$BD$4</f>
        <v>0.32727272727272727</v>
      </c>
      <c r="BU6" s="112" cm="1">
        <f t="array" ref="BU6">SUM(--(ABS($G$3:$G$1315 - $K$3:$K$1315) = $BR6))</f>
        <v>41</v>
      </c>
      <c r="BV6" s="113">
        <f t="shared" ref="BV6:BV15" si="8">$BU6/$BD$4</f>
        <v>0.37272727272727274</v>
      </c>
      <c r="BW6" s="109">
        <f t="shared" si="5"/>
        <v>77</v>
      </c>
      <c r="BX6" s="114">
        <f t="shared" si="6"/>
        <v>0.35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0.55454545454545456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7</v>
      </c>
      <c r="BP7" s="57"/>
      <c r="BR7" s="2">
        <v>2</v>
      </c>
      <c r="BS7" s="110" cm="1">
        <f t="array" ref="BS7">SUM(--(ABS($F$3:$F$1315 - $J$3:$J$1315) = $BR7))</f>
        <v>27</v>
      </c>
      <c r="BT7" s="111">
        <f t="shared" si="7"/>
        <v>0.24545454545454545</v>
      </c>
      <c r="BU7" s="112" cm="1">
        <f t="array" ref="BU7">SUM(--(ABS($G$3:$G$1315 - $K$3:$K$1315) = $BR7))</f>
        <v>27</v>
      </c>
      <c r="BV7" s="113">
        <f t="shared" si="8"/>
        <v>0.24545454545454545</v>
      </c>
      <c r="BW7" s="109">
        <f t="shared" si="5"/>
        <v>54</v>
      </c>
      <c r="BX7" s="114">
        <f t="shared" si="6"/>
        <v>0.24545454545454545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19</v>
      </c>
      <c r="BT8" s="111">
        <f t="shared" si="7"/>
        <v>0.17272727272727273</v>
      </c>
      <c r="BU8" s="112" cm="1">
        <f t="array" ref="BU8">SUM(--(ABS($G$3:$G$1315 - $K$3:$K$1315) = $BR8))</f>
        <v>13</v>
      </c>
      <c r="BV8" s="113">
        <f t="shared" si="8"/>
        <v>0.11818181818181818</v>
      </c>
      <c r="BW8" s="109">
        <f t="shared" si="5"/>
        <v>32</v>
      </c>
      <c r="BX8" s="114">
        <f t="shared" si="6"/>
        <v>0.14545454545454545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52.699999999999967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6</v>
      </c>
      <c r="BT9" s="111">
        <f t="shared" si="7"/>
        <v>5.4545454545454543E-2</v>
      </c>
      <c r="BU9" s="112" cm="1">
        <f t="array" ref="BU9">SUM(--(ABS($G$3:$G$1315 - $K$3:$K$1315) = $BR9))</f>
        <v>9</v>
      </c>
      <c r="BV9" s="113">
        <f t="shared" si="8"/>
        <v>8.1818181818181818E-2</v>
      </c>
      <c r="BW9" s="109">
        <f t="shared" si="5"/>
        <v>15</v>
      </c>
      <c r="BX9" s="114">
        <f t="shared" si="6"/>
        <v>6.8181818181818177E-2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0.47909090909090879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9.0909090909090905E-3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4.5454545454545452E-3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48.800000000000004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61-38-11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9.0909090909090905E-3</v>
      </c>
      <c r="BU11" s="112" cm="1">
        <f t="array" ref="BU11">SUM(--(ABS($G$3:$G$1315 - $K$3:$K$1315) = $BR11))</f>
        <v>1</v>
      </c>
      <c r="BV11" s="113">
        <f t="shared" si="8"/>
        <v>9.0909090909090905E-3</v>
      </c>
      <c r="BW11" s="109">
        <f t="shared" si="5"/>
        <v>2</v>
      </c>
      <c r="BX11" s="114">
        <f t="shared" si="6"/>
        <v>9.0909090909090905E-3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20</v>
      </c>
      <c r="BF12">
        <f>10/100</f>
        <v>0.1</v>
      </c>
      <c r="BK12" s="57"/>
      <c r="BL12" s="157" t="str">
        <f>_xlfn.CONCAT(TEXT(BM4, "0"),"-",TEXT(BM5, "0"),"-",TEXT(BM7+BM9+BM6+BM8, "0"))</f>
        <v>47-38-25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1.9000000000000001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1.6545454545454545</v>
      </c>
      <c r="BT16" s="156"/>
      <c r="BU16" s="156">
        <f>((BR5*BV5)+(BV6*BR6)+(BV7*BR7)+(BV8*BR8)+(BV9*BR9)+(BV10*BR10)+(BV11*BR11)+(BV12*BR12)+(BV13*BR13)+(BV14*BR14)+(BV15*BR15))</f>
        <v>1.5999999999999999</v>
      </c>
      <c r="BV16" s="156"/>
      <c r="BX16">
        <f>((BR5*BX5)+(BX6*BR6)+(BX7*BR7)+(BX8*BR8)+(BX9*BR9)+(BX10*BR10)+(BX11*BR11)+(BX12*BR12)+(BX13*BR13)+(BX14*BR14)+(BX15*BR15))</f>
        <v>1.627272727272727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58.459999999999965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0.53145454545454518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1-0-0</v>
      </c>
      <c r="AP98" s="2" t="str">
        <f>INDEX(Sheet5!$B$2:$AG$33, MATCH(Table2[[#This Row],[HomeTeam]],Sheet5!$A$2:$A$33, 0), MATCH(Table2[[#This Row],[AwayTeam]],Sheet5!$A$2:$A$33, 0))</f>
        <v>0-1-0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2"/>
      <c r="AV99" s="2"/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/>
      <c r="AV100" s="2"/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/>
      <c r="AV101" s="2"/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/>
      <c r="AV102" s="2"/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/>
      <c r="AV103" s="2"/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/>
      <c r="AV104" s="2"/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/>
      <c r="AV105" s="2"/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/>
      <c r="AV107" s="2"/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/>
      <c r="AV108" s="2"/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/>
      <c r="AV109" s="2"/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2"/>
      <c r="AV110" s="2"/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/>
      <c r="AV111" s="2"/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0-1-0</v>
      </c>
      <c r="AP128" s="2" t="str">
        <f>INDEX(Sheet5!$B$2:$AG$33, MATCH(Table2[[#This Row],[HomeTeam]],Sheet5!$A$2:$A$33, 0), MATCH(Table2[[#This Row],[AwayTeam]],Sheet5!$A$2:$A$33, 0))</f>
        <v>1-0-0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1-0-0</v>
      </c>
      <c r="AP296" s="2" t="str">
        <f>INDEX(Sheet5!$B$2:$AG$33, MATCH(Table2[[#This Row],[HomeTeam]],Sheet5!$A$2:$A$33, 0), MATCH(Table2[[#This Row],[AwayTeam]],Sheet5!$A$2:$A$33, 0))</f>
        <v>0-1-0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4" workbookViewId="0">
      <selection activeCell="A22" sqref="A22:XFD22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7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12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7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6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6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5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10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10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7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6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12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7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6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12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6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5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10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10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10</v>
      </c>
      <c r="AG23" s="145">
        <f>SUMIFS(Table2[NewPointsAway],Table2[GameDate], "&lt;=" &amp; $A23, Table2[AwayTeam], AG$1)+SUMIFS(Table2[NewPointsHome],Table2[GameDate], "&lt;=" &amp; $A23, Table2[HomeTeam], AG$1)</f>
        <v>10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7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6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6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12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7</v>
      </c>
      <c r="M24" s="145">
        <f>SUMIFS(Table2[NewPointsAway],Table2[GameDate], "&lt;=" &amp; $A24, Table2[AwayTeam], M$1)+SUMIFS(Table2[NewPointsHome],Table2[GameDate], "&lt;=" &amp; $A24, Table2[HomeTeam], M$1)</f>
        <v>8</v>
      </c>
      <c r="N24" s="145">
        <f>SUMIFS(Table2[NewPointsAway],Table2[GameDate], "&lt;=" &amp; $A24, Table2[AwayTeam], N$1)+SUMIFS(Table2[NewPointsHome],Table2[GameDate], "&lt;=" &amp; $A24, Table2[HomeTeam], N$1)</f>
        <v>6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12</v>
      </c>
      <c r="Q24" s="145">
        <f>SUMIFS(Table2[NewPointsAway],Table2[GameDate], "&lt;=" &amp; $A24, Table2[AwayTeam], Q$1)+SUMIFS(Table2[NewPointsHome],Table2[GameDate], "&lt;=" &amp; $A24, Table2[HomeTeam], Q$1)</f>
        <v>12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6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5</v>
      </c>
      <c r="V24" s="145">
        <f>SUMIFS(Table2[NewPointsAway],Table2[GameDate], "&lt;=" &amp; $A24, Table2[AwayTeam], V$1)+SUMIFS(Table2[NewPointsHome],Table2[GameDate], "&lt;=" &amp; $A24, Table2[HomeTeam], V$1)</f>
        <v>7</v>
      </c>
      <c r="W24" s="145">
        <f>SUMIFS(Table2[NewPointsAway],Table2[GameDate], "&lt;=" &amp; $A24, Table2[AwayTeam], W$1)+SUMIFS(Table2[NewPointsHome],Table2[GameDate], "&lt;=" &amp; $A24, Table2[HomeTeam], W$1)</f>
        <v>10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10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10</v>
      </c>
      <c r="AG24" s="145">
        <f>SUMIFS(Table2[NewPointsAway],Table2[GameDate], "&lt;=" &amp; $A24, Table2[AwayTeam], AG$1)+SUMIFS(Table2[NewPointsHome],Table2[GameDate], "&lt;=" &amp; $A24, Table2[HomeTeam], AG$1)</f>
        <v>10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7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6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6</v>
      </c>
      <c r="G25" s="145">
        <f>SUMIFS(Table2[NewPointsAway],Table2[GameDate], "&lt;=" &amp; $A25, Table2[AwayTeam], G$1)+SUMIFS(Table2[NewPointsHome],Table2[GameDate], "&lt;=" &amp; $A25, Table2[HomeTeam], G$1)</f>
        <v>3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12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7</v>
      </c>
      <c r="M25" s="145">
        <f>SUMIFS(Table2[NewPointsAway],Table2[GameDate], "&lt;=" &amp; $A25, Table2[AwayTeam], M$1)+SUMIFS(Table2[NewPointsHome],Table2[GameDate], "&lt;=" &amp; $A25, Table2[HomeTeam], M$1)</f>
        <v>8</v>
      </c>
      <c r="N25" s="145">
        <f>SUMIFS(Table2[NewPointsAway],Table2[GameDate], "&lt;=" &amp; $A25, Table2[AwayTeam], N$1)+SUMIFS(Table2[NewPointsHome],Table2[GameDate], "&lt;=" &amp; $A25, Table2[HomeTeam], N$1)</f>
        <v>6</v>
      </c>
      <c r="O25" s="145">
        <f>SUMIFS(Table2[NewPointsAway],Table2[GameDate], "&lt;=" &amp; $A25, Table2[AwayTeam], O$1)+SUMIFS(Table2[NewPointsHome],Table2[GameDate], "&lt;=" &amp; $A25, Table2[HomeTeam], O$1)</f>
        <v>7</v>
      </c>
      <c r="P25" s="145">
        <f>SUMIFS(Table2[NewPointsAway],Table2[GameDate], "&lt;=" &amp; $A25, Table2[AwayTeam], P$1)+SUMIFS(Table2[NewPointsHome],Table2[GameDate], "&lt;=" &amp; $A25, Table2[HomeTeam], P$1)</f>
        <v>12</v>
      </c>
      <c r="Q25" s="145">
        <f>SUMIFS(Table2[NewPointsAway],Table2[GameDate], "&lt;=" &amp; $A25, Table2[AwayTeam], Q$1)+SUMIFS(Table2[NewPointsHome],Table2[GameDate], "&lt;=" &amp; $A25, Table2[HomeTeam], Q$1)</f>
        <v>12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6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5</v>
      </c>
      <c r="V25" s="145">
        <f>SUMIFS(Table2[NewPointsAway],Table2[GameDate], "&lt;=" &amp; $A25, Table2[AwayTeam], V$1)+SUMIFS(Table2[NewPointsHome],Table2[GameDate], "&lt;=" &amp; $A25, Table2[HomeTeam], V$1)</f>
        <v>7</v>
      </c>
      <c r="W25" s="145">
        <f>SUMIFS(Table2[NewPointsAway],Table2[GameDate], "&lt;=" &amp; $A25, Table2[AwayTeam], W$1)+SUMIFS(Table2[NewPointsHome],Table2[GameDate], "&lt;=" &amp; $A25, Table2[HomeTeam], W$1)</f>
        <v>10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10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12</v>
      </c>
      <c r="AF25" s="145">
        <f>SUMIFS(Table2[NewPointsAway],Table2[GameDate], "&lt;=" &amp; $A25, Table2[AwayTeam], AF$1)+SUMIFS(Table2[NewPointsHome],Table2[GameDate], "&lt;=" &amp; $A25, Table2[HomeTeam], AF$1)</f>
        <v>10</v>
      </c>
      <c r="AG25" s="145">
        <f>SUMIFS(Table2[NewPointsAway],Table2[GameDate], "&lt;=" &amp; $A25, Table2[AwayTeam], AG$1)+SUMIFS(Table2[NewPointsHome],Table2[GameDate], "&lt;=" &amp; $A25, Table2[HomeTeam], AG$1)</f>
        <v>10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7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6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6</v>
      </c>
      <c r="G26" s="145">
        <f>SUMIFS(Table2[NewPointsAway],Table2[GameDate], "&lt;=" &amp; $A26, Table2[AwayTeam], G$1)+SUMIFS(Table2[NewPointsHome],Table2[GameDate], "&lt;=" &amp; $A26, Table2[HomeTeam], G$1)</f>
        <v>3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12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7</v>
      </c>
      <c r="M26" s="145">
        <f>SUMIFS(Table2[NewPointsAway],Table2[GameDate], "&lt;=" &amp; $A26, Table2[AwayTeam], M$1)+SUMIFS(Table2[NewPointsHome],Table2[GameDate], "&lt;=" &amp; $A26, Table2[HomeTeam], M$1)</f>
        <v>8</v>
      </c>
      <c r="N26" s="145">
        <f>SUMIFS(Table2[NewPointsAway],Table2[GameDate], "&lt;=" &amp; $A26, Table2[AwayTeam], N$1)+SUMIFS(Table2[NewPointsHome],Table2[GameDate], "&lt;=" &amp; $A26, Table2[HomeTeam], N$1)</f>
        <v>6</v>
      </c>
      <c r="O26" s="145">
        <f>SUMIFS(Table2[NewPointsAway],Table2[GameDate], "&lt;=" &amp; $A26, Table2[AwayTeam], O$1)+SUMIFS(Table2[NewPointsHome],Table2[GameDate], "&lt;=" &amp; $A26, Table2[HomeTeam], O$1)</f>
        <v>7</v>
      </c>
      <c r="P26" s="145">
        <f>SUMIFS(Table2[NewPointsAway],Table2[GameDate], "&lt;=" &amp; $A26, Table2[AwayTeam], P$1)+SUMIFS(Table2[NewPointsHome],Table2[GameDate], "&lt;=" &amp; $A26, Table2[HomeTeam], P$1)</f>
        <v>12</v>
      </c>
      <c r="Q26" s="145">
        <f>SUMIFS(Table2[NewPointsAway],Table2[GameDate], "&lt;=" &amp; $A26, Table2[AwayTeam], Q$1)+SUMIFS(Table2[NewPointsHome],Table2[GameDate], "&lt;=" &amp; $A26, Table2[HomeTeam], Q$1)</f>
        <v>12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6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5</v>
      </c>
      <c r="V26" s="145">
        <f>SUMIFS(Table2[NewPointsAway],Table2[GameDate], "&lt;=" &amp; $A26, Table2[AwayTeam], V$1)+SUMIFS(Table2[NewPointsHome],Table2[GameDate], "&lt;=" &amp; $A26, Table2[HomeTeam], V$1)</f>
        <v>7</v>
      </c>
      <c r="W26" s="145">
        <f>SUMIFS(Table2[NewPointsAway],Table2[GameDate], "&lt;=" &amp; $A26, Table2[AwayTeam], W$1)+SUMIFS(Table2[NewPointsHome],Table2[GameDate], "&lt;=" &amp; $A26, Table2[HomeTeam], W$1)</f>
        <v>10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10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12</v>
      </c>
      <c r="AF26" s="145">
        <f>SUMIFS(Table2[NewPointsAway],Table2[GameDate], "&lt;=" &amp; $A26, Table2[AwayTeam], AF$1)+SUMIFS(Table2[NewPointsHome],Table2[GameDate], "&lt;=" &amp; $A26, Table2[HomeTeam], AF$1)</f>
        <v>10</v>
      </c>
      <c r="AG26" s="145">
        <f>SUMIFS(Table2[NewPointsAway],Table2[GameDate], "&lt;=" &amp; $A26, Table2[AwayTeam], AG$1)+SUMIFS(Table2[NewPointsHome],Table2[GameDate], "&lt;=" &amp; $A26, Table2[HomeTeam], AG$1)</f>
        <v>10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7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6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6</v>
      </c>
      <c r="G27" s="145">
        <f>SUMIFS(Table2[NewPointsAway],Table2[GameDate], "&lt;=" &amp; $A27, Table2[AwayTeam], G$1)+SUMIFS(Table2[NewPointsHome],Table2[GameDate], "&lt;=" &amp; $A27, Table2[HomeTeam], G$1)</f>
        <v>3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12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7</v>
      </c>
      <c r="M27" s="145">
        <f>SUMIFS(Table2[NewPointsAway],Table2[GameDate], "&lt;=" &amp; $A27, Table2[AwayTeam], M$1)+SUMIFS(Table2[NewPointsHome],Table2[GameDate], "&lt;=" &amp; $A27, Table2[HomeTeam], M$1)</f>
        <v>8</v>
      </c>
      <c r="N27" s="145">
        <f>SUMIFS(Table2[NewPointsAway],Table2[GameDate], "&lt;=" &amp; $A27, Table2[AwayTeam], N$1)+SUMIFS(Table2[NewPointsHome],Table2[GameDate], "&lt;=" &amp; $A27, Table2[HomeTeam], N$1)</f>
        <v>6</v>
      </c>
      <c r="O27" s="145">
        <f>SUMIFS(Table2[NewPointsAway],Table2[GameDate], "&lt;=" &amp; $A27, Table2[AwayTeam], O$1)+SUMIFS(Table2[NewPointsHome],Table2[GameDate], "&lt;=" &amp; $A27, Table2[HomeTeam], O$1)</f>
        <v>7</v>
      </c>
      <c r="P27" s="145">
        <f>SUMIFS(Table2[NewPointsAway],Table2[GameDate], "&lt;=" &amp; $A27, Table2[AwayTeam], P$1)+SUMIFS(Table2[NewPointsHome],Table2[GameDate], "&lt;=" &amp; $A27, Table2[HomeTeam], P$1)</f>
        <v>12</v>
      </c>
      <c r="Q27" s="145">
        <f>SUMIFS(Table2[NewPointsAway],Table2[GameDate], "&lt;=" &amp; $A27, Table2[AwayTeam], Q$1)+SUMIFS(Table2[NewPointsHome],Table2[GameDate], "&lt;=" &amp; $A27, Table2[HomeTeam], Q$1)</f>
        <v>12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6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5</v>
      </c>
      <c r="V27" s="145">
        <f>SUMIFS(Table2[NewPointsAway],Table2[GameDate], "&lt;=" &amp; $A27, Table2[AwayTeam], V$1)+SUMIFS(Table2[NewPointsHome],Table2[GameDate], "&lt;=" &amp; $A27, Table2[HomeTeam], V$1)</f>
        <v>7</v>
      </c>
      <c r="W27" s="145">
        <f>SUMIFS(Table2[NewPointsAway],Table2[GameDate], "&lt;=" &amp; $A27, Table2[AwayTeam], W$1)+SUMIFS(Table2[NewPointsHome],Table2[GameDate], "&lt;=" &amp; $A27, Table2[HomeTeam], W$1)</f>
        <v>10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10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12</v>
      </c>
      <c r="AF27" s="145">
        <f>SUMIFS(Table2[NewPointsAway],Table2[GameDate], "&lt;=" &amp; $A27, Table2[AwayTeam], AF$1)+SUMIFS(Table2[NewPointsHome],Table2[GameDate], "&lt;=" &amp; $A27, Table2[HomeTeam], AF$1)</f>
        <v>10</v>
      </c>
      <c r="AG27" s="145">
        <f>SUMIFS(Table2[NewPointsAway],Table2[GameDate], "&lt;=" &amp; $A27, Table2[AwayTeam], AG$1)+SUMIFS(Table2[NewPointsHome],Table2[GameDate], "&lt;=" &amp; $A27, Table2[HomeTeam], AG$1)</f>
        <v>10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7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6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6</v>
      </c>
      <c r="G28" s="145">
        <f>SUMIFS(Table2[NewPointsAway],Table2[GameDate], "&lt;=" &amp; $A28, Table2[AwayTeam], G$1)+SUMIFS(Table2[NewPointsHome],Table2[GameDate], "&lt;=" &amp; $A28, Table2[HomeTeam], G$1)</f>
        <v>3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12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7</v>
      </c>
      <c r="M28" s="145">
        <f>SUMIFS(Table2[NewPointsAway],Table2[GameDate], "&lt;=" &amp; $A28, Table2[AwayTeam], M$1)+SUMIFS(Table2[NewPointsHome],Table2[GameDate], "&lt;=" &amp; $A28, Table2[HomeTeam], M$1)</f>
        <v>8</v>
      </c>
      <c r="N28" s="145">
        <f>SUMIFS(Table2[NewPointsAway],Table2[GameDate], "&lt;=" &amp; $A28, Table2[AwayTeam], N$1)+SUMIFS(Table2[NewPointsHome],Table2[GameDate], "&lt;=" &amp; $A28, Table2[HomeTeam], N$1)</f>
        <v>6</v>
      </c>
      <c r="O28" s="145">
        <f>SUMIFS(Table2[NewPointsAway],Table2[GameDate], "&lt;=" &amp; $A28, Table2[AwayTeam], O$1)+SUMIFS(Table2[NewPointsHome],Table2[GameDate], "&lt;=" &amp; $A28, Table2[HomeTeam], O$1)</f>
        <v>7</v>
      </c>
      <c r="P28" s="145">
        <f>SUMIFS(Table2[NewPointsAway],Table2[GameDate], "&lt;=" &amp; $A28, Table2[AwayTeam], P$1)+SUMIFS(Table2[NewPointsHome],Table2[GameDate], "&lt;=" &amp; $A28, Table2[HomeTeam], P$1)</f>
        <v>12</v>
      </c>
      <c r="Q28" s="145">
        <f>SUMIFS(Table2[NewPointsAway],Table2[GameDate], "&lt;=" &amp; $A28, Table2[AwayTeam], Q$1)+SUMIFS(Table2[NewPointsHome],Table2[GameDate], "&lt;=" &amp; $A28, Table2[HomeTeam], Q$1)</f>
        <v>12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6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5</v>
      </c>
      <c r="V28" s="145">
        <f>SUMIFS(Table2[NewPointsAway],Table2[GameDate], "&lt;=" &amp; $A28, Table2[AwayTeam], V$1)+SUMIFS(Table2[NewPointsHome],Table2[GameDate], "&lt;=" &amp; $A28, Table2[HomeTeam], V$1)</f>
        <v>7</v>
      </c>
      <c r="W28" s="145">
        <f>SUMIFS(Table2[NewPointsAway],Table2[GameDate], "&lt;=" &amp; $A28, Table2[AwayTeam], W$1)+SUMIFS(Table2[NewPointsHome],Table2[GameDate], "&lt;=" &amp; $A28, Table2[HomeTeam], W$1)</f>
        <v>10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10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12</v>
      </c>
      <c r="AF28" s="145">
        <f>SUMIFS(Table2[NewPointsAway],Table2[GameDate], "&lt;=" &amp; $A28, Table2[AwayTeam], AF$1)+SUMIFS(Table2[NewPointsHome],Table2[GameDate], "&lt;=" &amp; $A28, Table2[HomeTeam], AF$1)</f>
        <v>10</v>
      </c>
      <c r="AG28" s="145">
        <f>SUMIFS(Table2[NewPointsAway],Table2[GameDate], "&lt;=" &amp; $A28, Table2[AwayTeam], AG$1)+SUMIFS(Table2[NewPointsHome],Table2[GameDate], "&lt;=" &amp; $A28, Table2[HomeTeam], AG$1)</f>
        <v>10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7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6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6</v>
      </c>
      <c r="G29" s="145">
        <f>SUMIFS(Table2[NewPointsAway],Table2[GameDate], "&lt;=" &amp; $A29, Table2[AwayTeam], G$1)+SUMIFS(Table2[NewPointsHome],Table2[GameDate], "&lt;=" &amp; $A29, Table2[HomeTeam], G$1)</f>
        <v>3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12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7</v>
      </c>
      <c r="M29" s="145">
        <f>SUMIFS(Table2[NewPointsAway],Table2[GameDate], "&lt;=" &amp; $A29, Table2[AwayTeam], M$1)+SUMIFS(Table2[NewPointsHome],Table2[GameDate], "&lt;=" &amp; $A29, Table2[HomeTeam], M$1)</f>
        <v>8</v>
      </c>
      <c r="N29" s="145">
        <f>SUMIFS(Table2[NewPointsAway],Table2[GameDate], "&lt;=" &amp; $A29, Table2[AwayTeam], N$1)+SUMIFS(Table2[NewPointsHome],Table2[GameDate], "&lt;=" &amp; $A29, Table2[HomeTeam], N$1)</f>
        <v>6</v>
      </c>
      <c r="O29" s="145">
        <f>SUMIFS(Table2[NewPointsAway],Table2[GameDate], "&lt;=" &amp; $A29, Table2[AwayTeam], O$1)+SUMIFS(Table2[NewPointsHome],Table2[GameDate], "&lt;=" &amp; $A29, Table2[HomeTeam], O$1)</f>
        <v>7</v>
      </c>
      <c r="P29" s="145">
        <f>SUMIFS(Table2[NewPointsAway],Table2[GameDate], "&lt;=" &amp; $A29, Table2[AwayTeam], P$1)+SUMIFS(Table2[NewPointsHome],Table2[GameDate], "&lt;=" &amp; $A29, Table2[HomeTeam], P$1)</f>
        <v>12</v>
      </c>
      <c r="Q29" s="145">
        <f>SUMIFS(Table2[NewPointsAway],Table2[GameDate], "&lt;=" &amp; $A29, Table2[AwayTeam], Q$1)+SUMIFS(Table2[NewPointsHome],Table2[GameDate], "&lt;=" &amp; $A29, Table2[HomeTeam], Q$1)</f>
        <v>12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6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5</v>
      </c>
      <c r="V29" s="145">
        <f>SUMIFS(Table2[NewPointsAway],Table2[GameDate], "&lt;=" &amp; $A29, Table2[AwayTeam], V$1)+SUMIFS(Table2[NewPointsHome],Table2[GameDate], "&lt;=" &amp; $A29, Table2[HomeTeam], V$1)</f>
        <v>7</v>
      </c>
      <c r="W29" s="145">
        <f>SUMIFS(Table2[NewPointsAway],Table2[GameDate], "&lt;=" &amp; $A29, Table2[AwayTeam], W$1)+SUMIFS(Table2[NewPointsHome],Table2[GameDate], "&lt;=" &amp; $A29, Table2[HomeTeam], W$1)</f>
        <v>10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10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12</v>
      </c>
      <c r="AF29" s="145">
        <f>SUMIFS(Table2[NewPointsAway],Table2[GameDate], "&lt;=" &amp; $A29, Table2[AwayTeam], AF$1)+SUMIFS(Table2[NewPointsHome],Table2[GameDate], "&lt;=" &amp; $A29, Table2[HomeTeam], AF$1)</f>
        <v>10</v>
      </c>
      <c r="AG29" s="145">
        <f>SUMIFS(Table2[NewPointsAway],Table2[GameDate], "&lt;=" &amp; $A29, Table2[AwayTeam], AG$1)+SUMIFS(Table2[NewPointsHome],Table2[GameDate], "&lt;=" &amp; $A29, Table2[HomeTeam], AG$1)</f>
        <v>10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7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6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6</v>
      </c>
      <c r="G30" s="145">
        <f>SUMIFS(Table2[NewPointsAway],Table2[GameDate], "&lt;=" &amp; $A30, Table2[AwayTeam], G$1)+SUMIFS(Table2[NewPointsHome],Table2[GameDate], "&lt;=" &amp; $A30, Table2[HomeTeam], G$1)</f>
        <v>3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12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7</v>
      </c>
      <c r="M30" s="145">
        <f>SUMIFS(Table2[NewPointsAway],Table2[GameDate], "&lt;=" &amp; $A30, Table2[AwayTeam], M$1)+SUMIFS(Table2[NewPointsHome],Table2[GameDate], "&lt;=" &amp; $A30, Table2[HomeTeam], M$1)</f>
        <v>8</v>
      </c>
      <c r="N30" s="145">
        <f>SUMIFS(Table2[NewPointsAway],Table2[GameDate], "&lt;=" &amp; $A30, Table2[AwayTeam], N$1)+SUMIFS(Table2[NewPointsHome],Table2[GameDate], "&lt;=" &amp; $A30, Table2[HomeTeam], N$1)</f>
        <v>6</v>
      </c>
      <c r="O30" s="145">
        <f>SUMIFS(Table2[NewPointsAway],Table2[GameDate], "&lt;=" &amp; $A30, Table2[AwayTeam], O$1)+SUMIFS(Table2[NewPointsHome],Table2[GameDate], "&lt;=" &amp; $A30, Table2[HomeTeam], O$1)</f>
        <v>7</v>
      </c>
      <c r="P30" s="145">
        <f>SUMIFS(Table2[NewPointsAway],Table2[GameDate], "&lt;=" &amp; $A30, Table2[AwayTeam], P$1)+SUMIFS(Table2[NewPointsHome],Table2[GameDate], "&lt;=" &amp; $A30, Table2[HomeTeam], P$1)</f>
        <v>12</v>
      </c>
      <c r="Q30" s="145">
        <f>SUMIFS(Table2[NewPointsAway],Table2[GameDate], "&lt;=" &amp; $A30, Table2[AwayTeam], Q$1)+SUMIFS(Table2[NewPointsHome],Table2[GameDate], "&lt;=" &amp; $A30, Table2[HomeTeam], Q$1)</f>
        <v>12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6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5</v>
      </c>
      <c r="V30" s="145">
        <f>SUMIFS(Table2[NewPointsAway],Table2[GameDate], "&lt;=" &amp; $A30, Table2[AwayTeam], V$1)+SUMIFS(Table2[NewPointsHome],Table2[GameDate], "&lt;=" &amp; $A30, Table2[HomeTeam], V$1)</f>
        <v>7</v>
      </c>
      <c r="W30" s="145">
        <f>SUMIFS(Table2[NewPointsAway],Table2[GameDate], "&lt;=" &amp; $A30, Table2[AwayTeam], W$1)+SUMIFS(Table2[NewPointsHome],Table2[GameDate], "&lt;=" &amp; $A30, Table2[HomeTeam], W$1)</f>
        <v>10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10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12</v>
      </c>
      <c r="AF30" s="145">
        <f>SUMIFS(Table2[NewPointsAway],Table2[GameDate], "&lt;=" &amp; $A30, Table2[AwayTeam], AF$1)+SUMIFS(Table2[NewPointsHome],Table2[GameDate], "&lt;=" &amp; $A30, Table2[HomeTeam], AF$1)</f>
        <v>10</v>
      </c>
      <c r="AG30" s="145">
        <f>SUMIFS(Table2[NewPointsAway],Table2[GameDate], "&lt;=" &amp; $A30, Table2[AwayTeam], AG$1)+SUMIFS(Table2[NewPointsHome],Table2[GameDate], "&lt;=" &amp; $A30, Table2[HomeTeam], AG$1)</f>
        <v>10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7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6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6</v>
      </c>
      <c r="G31" s="145">
        <f>SUMIFS(Table2[NewPointsAway],Table2[GameDate], "&lt;=" &amp; $A31, Table2[AwayTeam], G$1)+SUMIFS(Table2[NewPointsHome],Table2[GameDate], "&lt;=" &amp; $A31, Table2[HomeTeam], G$1)</f>
        <v>3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12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7</v>
      </c>
      <c r="M31" s="145">
        <f>SUMIFS(Table2[NewPointsAway],Table2[GameDate], "&lt;=" &amp; $A31, Table2[AwayTeam], M$1)+SUMIFS(Table2[NewPointsHome],Table2[GameDate], "&lt;=" &amp; $A31, Table2[HomeTeam], M$1)</f>
        <v>8</v>
      </c>
      <c r="N31" s="145">
        <f>SUMIFS(Table2[NewPointsAway],Table2[GameDate], "&lt;=" &amp; $A31, Table2[AwayTeam], N$1)+SUMIFS(Table2[NewPointsHome],Table2[GameDate], "&lt;=" &amp; $A31, Table2[HomeTeam], N$1)</f>
        <v>6</v>
      </c>
      <c r="O31" s="145">
        <f>SUMIFS(Table2[NewPointsAway],Table2[GameDate], "&lt;=" &amp; $A31, Table2[AwayTeam], O$1)+SUMIFS(Table2[NewPointsHome],Table2[GameDate], "&lt;=" &amp; $A31, Table2[HomeTeam], O$1)</f>
        <v>7</v>
      </c>
      <c r="P31" s="145">
        <f>SUMIFS(Table2[NewPointsAway],Table2[GameDate], "&lt;=" &amp; $A31, Table2[AwayTeam], P$1)+SUMIFS(Table2[NewPointsHome],Table2[GameDate], "&lt;=" &amp; $A31, Table2[HomeTeam], P$1)</f>
        <v>12</v>
      </c>
      <c r="Q31" s="145">
        <f>SUMIFS(Table2[NewPointsAway],Table2[GameDate], "&lt;=" &amp; $A31, Table2[AwayTeam], Q$1)+SUMIFS(Table2[NewPointsHome],Table2[GameDate], "&lt;=" &amp; $A31, Table2[HomeTeam], Q$1)</f>
        <v>12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6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5</v>
      </c>
      <c r="V31" s="145">
        <f>SUMIFS(Table2[NewPointsAway],Table2[GameDate], "&lt;=" &amp; $A31, Table2[AwayTeam], V$1)+SUMIFS(Table2[NewPointsHome],Table2[GameDate], "&lt;=" &amp; $A31, Table2[HomeTeam], V$1)</f>
        <v>7</v>
      </c>
      <c r="W31" s="145">
        <f>SUMIFS(Table2[NewPointsAway],Table2[GameDate], "&lt;=" &amp; $A31, Table2[AwayTeam], W$1)+SUMIFS(Table2[NewPointsHome],Table2[GameDate], "&lt;=" &amp; $A31, Table2[HomeTeam], W$1)</f>
        <v>10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10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12</v>
      </c>
      <c r="AF31" s="145">
        <f>SUMIFS(Table2[NewPointsAway],Table2[GameDate], "&lt;=" &amp; $A31, Table2[AwayTeam], AF$1)+SUMIFS(Table2[NewPointsHome],Table2[GameDate], "&lt;=" &amp; $A31, Table2[HomeTeam], AF$1)</f>
        <v>10</v>
      </c>
      <c r="AG31" s="145">
        <f>SUMIFS(Table2[NewPointsAway],Table2[GameDate], "&lt;=" &amp; $A31, Table2[AwayTeam], AG$1)+SUMIFS(Table2[NewPointsHome],Table2[GameDate], "&lt;=" &amp; $A31, Table2[HomeTeam], AG$1)</f>
        <v>10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7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6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6</v>
      </c>
      <c r="G32" s="145">
        <f>SUMIFS(Table2[NewPointsAway],Table2[GameDate], "&lt;=" &amp; $A32, Table2[AwayTeam], G$1)+SUMIFS(Table2[NewPointsHome],Table2[GameDate], "&lt;=" &amp; $A32, Table2[HomeTeam], G$1)</f>
        <v>3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12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7</v>
      </c>
      <c r="M32" s="145">
        <f>SUMIFS(Table2[NewPointsAway],Table2[GameDate], "&lt;=" &amp; $A32, Table2[AwayTeam], M$1)+SUMIFS(Table2[NewPointsHome],Table2[GameDate], "&lt;=" &amp; $A32, Table2[HomeTeam], M$1)</f>
        <v>8</v>
      </c>
      <c r="N32" s="145">
        <f>SUMIFS(Table2[NewPointsAway],Table2[GameDate], "&lt;=" &amp; $A32, Table2[AwayTeam], N$1)+SUMIFS(Table2[NewPointsHome],Table2[GameDate], "&lt;=" &amp; $A32, Table2[HomeTeam], N$1)</f>
        <v>6</v>
      </c>
      <c r="O32" s="145">
        <f>SUMIFS(Table2[NewPointsAway],Table2[GameDate], "&lt;=" &amp; $A32, Table2[AwayTeam], O$1)+SUMIFS(Table2[NewPointsHome],Table2[GameDate], "&lt;=" &amp; $A32, Table2[HomeTeam], O$1)</f>
        <v>7</v>
      </c>
      <c r="P32" s="145">
        <f>SUMIFS(Table2[NewPointsAway],Table2[GameDate], "&lt;=" &amp; $A32, Table2[AwayTeam], P$1)+SUMIFS(Table2[NewPointsHome],Table2[GameDate], "&lt;=" &amp; $A32, Table2[HomeTeam], P$1)</f>
        <v>12</v>
      </c>
      <c r="Q32" s="145">
        <f>SUMIFS(Table2[NewPointsAway],Table2[GameDate], "&lt;=" &amp; $A32, Table2[AwayTeam], Q$1)+SUMIFS(Table2[NewPointsHome],Table2[GameDate], "&lt;=" &amp; $A32, Table2[HomeTeam], Q$1)</f>
        <v>12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6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5</v>
      </c>
      <c r="V32" s="145">
        <f>SUMIFS(Table2[NewPointsAway],Table2[GameDate], "&lt;=" &amp; $A32, Table2[AwayTeam], V$1)+SUMIFS(Table2[NewPointsHome],Table2[GameDate], "&lt;=" &amp; $A32, Table2[HomeTeam], V$1)</f>
        <v>7</v>
      </c>
      <c r="W32" s="145">
        <f>SUMIFS(Table2[NewPointsAway],Table2[GameDate], "&lt;=" &amp; $A32, Table2[AwayTeam], W$1)+SUMIFS(Table2[NewPointsHome],Table2[GameDate], "&lt;=" &amp; $A32, Table2[HomeTeam], W$1)</f>
        <v>10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10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12</v>
      </c>
      <c r="AF32" s="145">
        <f>SUMIFS(Table2[NewPointsAway],Table2[GameDate], "&lt;=" &amp; $A32, Table2[AwayTeam], AF$1)+SUMIFS(Table2[NewPointsHome],Table2[GameDate], "&lt;=" &amp; $A32, Table2[HomeTeam], AF$1)</f>
        <v>10</v>
      </c>
      <c r="AG32" s="145">
        <f>SUMIFS(Table2[NewPointsAway],Table2[GameDate], "&lt;=" &amp; $A32, Table2[AwayTeam], AG$1)+SUMIFS(Table2[NewPointsHome],Table2[GameDate], "&lt;=" &amp; $A32, Table2[HomeTeam], AG$1)</f>
        <v>10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7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6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6</v>
      </c>
      <c r="G33" s="145">
        <f>SUMIFS(Table2[NewPointsAway],Table2[GameDate], "&lt;=" &amp; $A33, Table2[AwayTeam], G$1)+SUMIFS(Table2[NewPointsHome],Table2[GameDate], "&lt;=" &amp; $A33, Table2[HomeTeam], G$1)</f>
        <v>3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12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7</v>
      </c>
      <c r="M33" s="145">
        <f>SUMIFS(Table2[NewPointsAway],Table2[GameDate], "&lt;=" &amp; $A33, Table2[AwayTeam], M$1)+SUMIFS(Table2[NewPointsHome],Table2[GameDate], "&lt;=" &amp; $A33, Table2[HomeTeam], M$1)</f>
        <v>8</v>
      </c>
      <c r="N33" s="145">
        <f>SUMIFS(Table2[NewPointsAway],Table2[GameDate], "&lt;=" &amp; $A33, Table2[AwayTeam], N$1)+SUMIFS(Table2[NewPointsHome],Table2[GameDate], "&lt;=" &amp; $A33, Table2[HomeTeam], N$1)</f>
        <v>6</v>
      </c>
      <c r="O33" s="145">
        <f>SUMIFS(Table2[NewPointsAway],Table2[GameDate], "&lt;=" &amp; $A33, Table2[AwayTeam], O$1)+SUMIFS(Table2[NewPointsHome],Table2[GameDate], "&lt;=" &amp; $A33, Table2[HomeTeam], O$1)</f>
        <v>7</v>
      </c>
      <c r="P33" s="145">
        <f>SUMIFS(Table2[NewPointsAway],Table2[GameDate], "&lt;=" &amp; $A33, Table2[AwayTeam], P$1)+SUMIFS(Table2[NewPointsHome],Table2[GameDate], "&lt;=" &amp; $A33, Table2[HomeTeam], P$1)</f>
        <v>12</v>
      </c>
      <c r="Q33" s="145">
        <f>SUMIFS(Table2[NewPointsAway],Table2[GameDate], "&lt;=" &amp; $A33, Table2[AwayTeam], Q$1)+SUMIFS(Table2[NewPointsHome],Table2[GameDate], "&lt;=" &amp; $A33, Table2[HomeTeam], Q$1)</f>
        <v>12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6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5</v>
      </c>
      <c r="V33" s="145">
        <f>SUMIFS(Table2[NewPointsAway],Table2[GameDate], "&lt;=" &amp; $A33, Table2[AwayTeam], V$1)+SUMIFS(Table2[NewPointsHome],Table2[GameDate], "&lt;=" &amp; $A33, Table2[HomeTeam], V$1)</f>
        <v>7</v>
      </c>
      <c r="W33" s="145">
        <f>SUMIFS(Table2[NewPointsAway],Table2[GameDate], "&lt;=" &amp; $A33, Table2[AwayTeam], W$1)+SUMIFS(Table2[NewPointsHome],Table2[GameDate], "&lt;=" &amp; $A33, Table2[HomeTeam], W$1)</f>
        <v>10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10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12</v>
      </c>
      <c r="AF33" s="145">
        <f>SUMIFS(Table2[NewPointsAway],Table2[GameDate], "&lt;=" &amp; $A33, Table2[AwayTeam], AF$1)+SUMIFS(Table2[NewPointsHome],Table2[GameDate], "&lt;=" &amp; $A33, Table2[HomeTeam], AF$1)</f>
        <v>10</v>
      </c>
      <c r="AG33" s="145">
        <f>SUMIFS(Table2[NewPointsAway],Table2[GameDate], "&lt;=" &amp; $A33, Table2[AwayTeam], AG$1)+SUMIFS(Table2[NewPointsHome],Table2[GameDate], "&lt;=" &amp; $A33, Table2[HomeTeam], AG$1)</f>
        <v>10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7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6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6</v>
      </c>
      <c r="G34" s="145">
        <f>SUMIFS(Table2[NewPointsAway],Table2[GameDate], "&lt;=" &amp; $A34, Table2[AwayTeam], G$1)+SUMIFS(Table2[NewPointsHome],Table2[GameDate], "&lt;=" &amp; $A34, Table2[HomeTeam], G$1)</f>
        <v>3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12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7</v>
      </c>
      <c r="M34" s="145">
        <f>SUMIFS(Table2[NewPointsAway],Table2[GameDate], "&lt;=" &amp; $A34, Table2[AwayTeam], M$1)+SUMIFS(Table2[NewPointsHome],Table2[GameDate], "&lt;=" &amp; $A34, Table2[HomeTeam], M$1)</f>
        <v>8</v>
      </c>
      <c r="N34" s="145">
        <f>SUMIFS(Table2[NewPointsAway],Table2[GameDate], "&lt;=" &amp; $A34, Table2[AwayTeam], N$1)+SUMIFS(Table2[NewPointsHome],Table2[GameDate], "&lt;=" &amp; $A34, Table2[HomeTeam], N$1)</f>
        <v>6</v>
      </c>
      <c r="O34" s="145">
        <f>SUMIFS(Table2[NewPointsAway],Table2[GameDate], "&lt;=" &amp; $A34, Table2[AwayTeam], O$1)+SUMIFS(Table2[NewPointsHome],Table2[GameDate], "&lt;=" &amp; $A34, Table2[HomeTeam], O$1)</f>
        <v>7</v>
      </c>
      <c r="P34" s="145">
        <f>SUMIFS(Table2[NewPointsAway],Table2[GameDate], "&lt;=" &amp; $A34, Table2[AwayTeam], P$1)+SUMIFS(Table2[NewPointsHome],Table2[GameDate], "&lt;=" &amp; $A34, Table2[HomeTeam], P$1)</f>
        <v>12</v>
      </c>
      <c r="Q34" s="145">
        <f>SUMIFS(Table2[NewPointsAway],Table2[GameDate], "&lt;=" &amp; $A34, Table2[AwayTeam], Q$1)+SUMIFS(Table2[NewPointsHome],Table2[GameDate], "&lt;=" &amp; $A34, Table2[HomeTeam], Q$1)</f>
        <v>12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6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5</v>
      </c>
      <c r="V34" s="145">
        <f>SUMIFS(Table2[NewPointsAway],Table2[GameDate], "&lt;=" &amp; $A34, Table2[AwayTeam], V$1)+SUMIFS(Table2[NewPointsHome],Table2[GameDate], "&lt;=" &amp; $A34, Table2[HomeTeam], V$1)</f>
        <v>7</v>
      </c>
      <c r="W34" s="145">
        <f>SUMIFS(Table2[NewPointsAway],Table2[GameDate], "&lt;=" &amp; $A34, Table2[AwayTeam], W$1)+SUMIFS(Table2[NewPointsHome],Table2[GameDate], "&lt;=" &amp; $A34, Table2[HomeTeam], W$1)</f>
        <v>10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10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12</v>
      </c>
      <c r="AF34" s="145">
        <f>SUMIFS(Table2[NewPointsAway],Table2[GameDate], "&lt;=" &amp; $A34, Table2[AwayTeam], AF$1)+SUMIFS(Table2[NewPointsHome],Table2[GameDate], "&lt;=" &amp; $A34, Table2[HomeTeam], AF$1)</f>
        <v>10</v>
      </c>
      <c r="AG34" s="145">
        <f>SUMIFS(Table2[NewPointsAway],Table2[GameDate], "&lt;=" &amp; $A34, Table2[AwayTeam], AG$1)+SUMIFS(Table2[NewPointsHome],Table2[GameDate], "&lt;=" &amp; $A34, Table2[HomeTeam], AG$1)</f>
        <v>10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7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6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6</v>
      </c>
      <c r="G35" s="145">
        <f>SUMIFS(Table2[NewPointsAway],Table2[GameDate], "&lt;=" &amp; $A35, Table2[AwayTeam], G$1)+SUMIFS(Table2[NewPointsHome],Table2[GameDate], "&lt;=" &amp; $A35, Table2[HomeTeam], G$1)</f>
        <v>3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12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7</v>
      </c>
      <c r="M35" s="145">
        <f>SUMIFS(Table2[NewPointsAway],Table2[GameDate], "&lt;=" &amp; $A35, Table2[AwayTeam], M$1)+SUMIFS(Table2[NewPointsHome],Table2[GameDate], "&lt;=" &amp; $A35, Table2[HomeTeam], M$1)</f>
        <v>8</v>
      </c>
      <c r="N35" s="145">
        <f>SUMIFS(Table2[NewPointsAway],Table2[GameDate], "&lt;=" &amp; $A35, Table2[AwayTeam], N$1)+SUMIFS(Table2[NewPointsHome],Table2[GameDate], "&lt;=" &amp; $A35, Table2[HomeTeam], N$1)</f>
        <v>6</v>
      </c>
      <c r="O35" s="145">
        <f>SUMIFS(Table2[NewPointsAway],Table2[GameDate], "&lt;=" &amp; $A35, Table2[AwayTeam], O$1)+SUMIFS(Table2[NewPointsHome],Table2[GameDate], "&lt;=" &amp; $A35, Table2[HomeTeam], O$1)</f>
        <v>7</v>
      </c>
      <c r="P35" s="145">
        <f>SUMIFS(Table2[NewPointsAway],Table2[GameDate], "&lt;=" &amp; $A35, Table2[AwayTeam], P$1)+SUMIFS(Table2[NewPointsHome],Table2[GameDate], "&lt;=" &amp; $A35, Table2[HomeTeam], P$1)</f>
        <v>12</v>
      </c>
      <c r="Q35" s="145">
        <f>SUMIFS(Table2[NewPointsAway],Table2[GameDate], "&lt;=" &amp; $A35, Table2[AwayTeam], Q$1)+SUMIFS(Table2[NewPointsHome],Table2[GameDate], "&lt;=" &amp; $A35, Table2[HomeTeam], Q$1)</f>
        <v>12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6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5</v>
      </c>
      <c r="V35" s="145">
        <f>SUMIFS(Table2[NewPointsAway],Table2[GameDate], "&lt;=" &amp; $A35, Table2[AwayTeam], V$1)+SUMIFS(Table2[NewPointsHome],Table2[GameDate], "&lt;=" &amp; $A35, Table2[HomeTeam], V$1)</f>
        <v>7</v>
      </c>
      <c r="W35" s="145">
        <f>SUMIFS(Table2[NewPointsAway],Table2[GameDate], "&lt;=" &amp; $A35, Table2[AwayTeam], W$1)+SUMIFS(Table2[NewPointsHome],Table2[GameDate], "&lt;=" &amp; $A35, Table2[HomeTeam], W$1)</f>
        <v>10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10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12</v>
      </c>
      <c r="AF35" s="145">
        <f>SUMIFS(Table2[NewPointsAway],Table2[GameDate], "&lt;=" &amp; $A35, Table2[AwayTeam], AF$1)+SUMIFS(Table2[NewPointsHome],Table2[GameDate], "&lt;=" &amp; $A35, Table2[HomeTeam], AF$1)</f>
        <v>10</v>
      </c>
      <c r="AG35" s="145">
        <f>SUMIFS(Table2[NewPointsAway],Table2[GameDate], "&lt;=" &amp; $A35, Table2[AwayTeam], AG$1)+SUMIFS(Table2[NewPointsHome],Table2[GameDate], "&lt;=" &amp; $A35, Table2[HomeTeam], AG$1)</f>
        <v>10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7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6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6</v>
      </c>
      <c r="G36" s="145">
        <f>SUMIFS(Table2[NewPointsAway],Table2[GameDate], "&lt;=" &amp; $A36, Table2[AwayTeam], G$1)+SUMIFS(Table2[NewPointsHome],Table2[GameDate], "&lt;=" &amp; $A36, Table2[HomeTeam], G$1)</f>
        <v>3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12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7</v>
      </c>
      <c r="M36" s="145">
        <f>SUMIFS(Table2[NewPointsAway],Table2[GameDate], "&lt;=" &amp; $A36, Table2[AwayTeam], M$1)+SUMIFS(Table2[NewPointsHome],Table2[GameDate], "&lt;=" &amp; $A36, Table2[HomeTeam], M$1)</f>
        <v>8</v>
      </c>
      <c r="N36" s="145">
        <f>SUMIFS(Table2[NewPointsAway],Table2[GameDate], "&lt;=" &amp; $A36, Table2[AwayTeam], N$1)+SUMIFS(Table2[NewPointsHome],Table2[GameDate], "&lt;=" &amp; $A36, Table2[HomeTeam], N$1)</f>
        <v>6</v>
      </c>
      <c r="O36" s="145">
        <f>SUMIFS(Table2[NewPointsAway],Table2[GameDate], "&lt;=" &amp; $A36, Table2[AwayTeam], O$1)+SUMIFS(Table2[NewPointsHome],Table2[GameDate], "&lt;=" &amp; $A36, Table2[HomeTeam], O$1)</f>
        <v>7</v>
      </c>
      <c r="P36" s="145">
        <f>SUMIFS(Table2[NewPointsAway],Table2[GameDate], "&lt;=" &amp; $A36, Table2[AwayTeam], P$1)+SUMIFS(Table2[NewPointsHome],Table2[GameDate], "&lt;=" &amp; $A36, Table2[HomeTeam], P$1)</f>
        <v>12</v>
      </c>
      <c r="Q36" s="145">
        <f>SUMIFS(Table2[NewPointsAway],Table2[GameDate], "&lt;=" &amp; $A36, Table2[AwayTeam], Q$1)+SUMIFS(Table2[NewPointsHome],Table2[GameDate], "&lt;=" &amp; $A36, Table2[HomeTeam], Q$1)</f>
        <v>12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6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5</v>
      </c>
      <c r="V36" s="145">
        <f>SUMIFS(Table2[NewPointsAway],Table2[GameDate], "&lt;=" &amp; $A36, Table2[AwayTeam], V$1)+SUMIFS(Table2[NewPointsHome],Table2[GameDate], "&lt;=" &amp; $A36, Table2[HomeTeam], V$1)</f>
        <v>7</v>
      </c>
      <c r="W36" s="145">
        <f>SUMIFS(Table2[NewPointsAway],Table2[GameDate], "&lt;=" &amp; $A36, Table2[AwayTeam], W$1)+SUMIFS(Table2[NewPointsHome],Table2[GameDate], "&lt;=" &amp; $A36, Table2[HomeTeam], W$1)</f>
        <v>10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10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12</v>
      </c>
      <c r="AF36" s="145">
        <f>SUMIFS(Table2[NewPointsAway],Table2[GameDate], "&lt;=" &amp; $A36, Table2[AwayTeam], AF$1)+SUMIFS(Table2[NewPointsHome],Table2[GameDate], "&lt;=" &amp; $A36, Table2[HomeTeam], AF$1)</f>
        <v>10</v>
      </c>
      <c r="AG36" s="145">
        <f>SUMIFS(Table2[NewPointsAway],Table2[GameDate], "&lt;=" &amp; $A36, Table2[AwayTeam], AG$1)+SUMIFS(Table2[NewPointsHome],Table2[GameDate], "&lt;=" &amp; $A36, Table2[HomeTeam], AG$1)</f>
        <v>10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7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6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6</v>
      </c>
      <c r="G37" s="145">
        <f>SUMIFS(Table2[NewPointsAway],Table2[GameDate], "&lt;=" &amp; $A37, Table2[AwayTeam], G$1)+SUMIFS(Table2[NewPointsHome],Table2[GameDate], "&lt;=" &amp; $A37, Table2[HomeTeam], G$1)</f>
        <v>3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12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7</v>
      </c>
      <c r="M37" s="145">
        <f>SUMIFS(Table2[NewPointsAway],Table2[GameDate], "&lt;=" &amp; $A37, Table2[AwayTeam], M$1)+SUMIFS(Table2[NewPointsHome],Table2[GameDate], "&lt;=" &amp; $A37, Table2[HomeTeam], M$1)</f>
        <v>8</v>
      </c>
      <c r="N37" s="145">
        <f>SUMIFS(Table2[NewPointsAway],Table2[GameDate], "&lt;=" &amp; $A37, Table2[AwayTeam], N$1)+SUMIFS(Table2[NewPointsHome],Table2[GameDate], "&lt;=" &amp; $A37, Table2[HomeTeam], N$1)</f>
        <v>6</v>
      </c>
      <c r="O37" s="145">
        <f>SUMIFS(Table2[NewPointsAway],Table2[GameDate], "&lt;=" &amp; $A37, Table2[AwayTeam], O$1)+SUMIFS(Table2[NewPointsHome],Table2[GameDate], "&lt;=" &amp; $A37, Table2[HomeTeam], O$1)</f>
        <v>7</v>
      </c>
      <c r="P37" s="145">
        <f>SUMIFS(Table2[NewPointsAway],Table2[GameDate], "&lt;=" &amp; $A37, Table2[AwayTeam], P$1)+SUMIFS(Table2[NewPointsHome],Table2[GameDate], "&lt;=" &amp; $A37, Table2[HomeTeam], P$1)</f>
        <v>12</v>
      </c>
      <c r="Q37" s="145">
        <f>SUMIFS(Table2[NewPointsAway],Table2[GameDate], "&lt;=" &amp; $A37, Table2[AwayTeam], Q$1)+SUMIFS(Table2[NewPointsHome],Table2[GameDate], "&lt;=" &amp; $A37, Table2[HomeTeam], Q$1)</f>
        <v>12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6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5</v>
      </c>
      <c r="V37" s="145">
        <f>SUMIFS(Table2[NewPointsAway],Table2[GameDate], "&lt;=" &amp; $A37, Table2[AwayTeam], V$1)+SUMIFS(Table2[NewPointsHome],Table2[GameDate], "&lt;=" &amp; $A37, Table2[HomeTeam], V$1)</f>
        <v>7</v>
      </c>
      <c r="W37" s="145">
        <f>SUMIFS(Table2[NewPointsAway],Table2[GameDate], "&lt;=" &amp; $A37, Table2[AwayTeam], W$1)+SUMIFS(Table2[NewPointsHome],Table2[GameDate], "&lt;=" &amp; $A37, Table2[HomeTeam], W$1)</f>
        <v>10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10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12</v>
      </c>
      <c r="AF37" s="145">
        <f>SUMIFS(Table2[NewPointsAway],Table2[GameDate], "&lt;=" &amp; $A37, Table2[AwayTeam], AF$1)+SUMIFS(Table2[NewPointsHome],Table2[GameDate], "&lt;=" &amp; $A37, Table2[HomeTeam], AF$1)</f>
        <v>10</v>
      </c>
      <c r="AG37" s="145">
        <f>SUMIFS(Table2[NewPointsAway],Table2[GameDate], "&lt;=" &amp; $A37, Table2[AwayTeam], AG$1)+SUMIFS(Table2[NewPointsHome],Table2[GameDate], "&lt;=" &amp; $A37, Table2[HomeTeam], AG$1)</f>
        <v>10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7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6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6</v>
      </c>
      <c r="G38" s="145">
        <f>SUMIFS(Table2[NewPointsAway],Table2[GameDate], "&lt;=" &amp; $A38, Table2[AwayTeam], G$1)+SUMIFS(Table2[NewPointsHome],Table2[GameDate], "&lt;=" &amp; $A38, Table2[HomeTeam], G$1)</f>
        <v>3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12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7</v>
      </c>
      <c r="M38" s="145">
        <f>SUMIFS(Table2[NewPointsAway],Table2[GameDate], "&lt;=" &amp; $A38, Table2[AwayTeam], M$1)+SUMIFS(Table2[NewPointsHome],Table2[GameDate], "&lt;=" &amp; $A38, Table2[HomeTeam], M$1)</f>
        <v>8</v>
      </c>
      <c r="N38" s="145">
        <f>SUMIFS(Table2[NewPointsAway],Table2[GameDate], "&lt;=" &amp; $A38, Table2[AwayTeam], N$1)+SUMIFS(Table2[NewPointsHome],Table2[GameDate], "&lt;=" &amp; $A38, Table2[HomeTeam], N$1)</f>
        <v>6</v>
      </c>
      <c r="O38" s="145">
        <f>SUMIFS(Table2[NewPointsAway],Table2[GameDate], "&lt;=" &amp; $A38, Table2[AwayTeam], O$1)+SUMIFS(Table2[NewPointsHome],Table2[GameDate], "&lt;=" &amp; $A38, Table2[HomeTeam], O$1)</f>
        <v>7</v>
      </c>
      <c r="P38" s="145">
        <f>SUMIFS(Table2[NewPointsAway],Table2[GameDate], "&lt;=" &amp; $A38, Table2[AwayTeam], P$1)+SUMIFS(Table2[NewPointsHome],Table2[GameDate], "&lt;=" &amp; $A38, Table2[HomeTeam], P$1)</f>
        <v>12</v>
      </c>
      <c r="Q38" s="145">
        <f>SUMIFS(Table2[NewPointsAway],Table2[GameDate], "&lt;=" &amp; $A38, Table2[AwayTeam], Q$1)+SUMIFS(Table2[NewPointsHome],Table2[GameDate], "&lt;=" &amp; $A38, Table2[HomeTeam], Q$1)</f>
        <v>12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6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5</v>
      </c>
      <c r="V38" s="145">
        <f>SUMIFS(Table2[NewPointsAway],Table2[GameDate], "&lt;=" &amp; $A38, Table2[AwayTeam], V$1)+SUMIFS(Table2[NewPointsHome],Table2[GameDate], "&lt;=" &amp; $A38, Table2[HomeTeam], V$1)</f>
        <v>7</v>
      </c>
      <c r="W38" s="145">
        <f>SUMIFS(Table2[NewPointsAway],Table2[GameDate], "&lt;=" &amp; $A38, Table2[AwayTeam], W$1)+SUMIFS(Table2[NewPointsHome],Table2[GameDate], "&lt;=" &amp; $A38, Table2[HomeTeam], W$1)</f>
        <v>10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10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12</v>
      </c>
      <c r="AF38" s="145">
        <f>SUMIFS(Table2[NewPointsAway],Table2[GameDate], "&lt;=" &amp; $A38, Table2[AwayTeam], AF$1)+SUMIFS(Table2[NewPointsHome],Table2[GameDate], "&lt;=" &amp; $A38, Table2[HomeTeam], AF$1)</f>
        <v>10</v>
      </c>
      <c r="AG38" s="145">
        <f>SUMIFS(Table2[NewPointsAway],Table2[GameDate], "&lt;=" &amp; $A38, Table2[AwayTeam], AG$1)+SUMIFS(Table2[NewPointsHome],Table2[GameDate], "&lt;=" &amp; $A38, Table2[HomeTeam], AG$1)</f>
        <v>10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7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6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6</v>
      </c>
      <c r="G39" s="145">
        <f>SUMIFS(Table2[NewPointsAway],Table2[GameDate], "&lt;=" &amp; $A39, Table2[AwayTeam], G$1)+SUMIFS(Table2[NewPointsHome],Table2[GameDate], "&lt;=" &amp; $A39, Table2[HomeTeam], G$1)</f>
        <v>3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12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7</v>
      </c>
      <c r="M39" s="145">
        <f>SUMIFS(Table2[NewPointsAway],Table2[GameDate], "&lt;=" &amp; $A39, Table2[AwayTeam], M$1)+SUMIFS(Table2[NewPointsHome],Table2[GameDate], "&lt;=" &amp; $A39, Table2[HomeTeam], M$1)</f>
        <v>8</v>
      </c>
      <c r="N39" s="145">
        <f>SUMIFS(Table2[NewPointsAway],Table2[GameDate], "&lt;=" &amp; $A39, Table2[AwayTeam], N$1)+SUMIFS(Table2[NewPointsHome],Table2[GameDate], "&lt;=" &amp; $A39, Table2[HomeTeam], N$1)</f>
        <v>6</v>
      </c>
      <c r="O39" s="145">
        <f>SUMIFS(Table2[NewPointsAway],Table2[GameDate], "&lt;=" &amp; $A39, Table2[AwayTeam], O$1)+SUMIFS(Table2[NewPointsHome],Table2[GameDate], "&lt;=" &amp; $A39, Table2[HomeTeam], O$1)</f>
        <v>7</v>
      </c>
      <c r="P39" s="145">
        <f>SUMIFS(Table2[NewPointsAway],Table2[GameDate], "&lt;=" &amp; $A39, Table2[AwayTeam], P$1)+SUMIFS(Table2[NewPointsHome],Table2[GameDate], "&lt;=" &amp; $A39, Table2[HomeTeam], P$1)</f>
        <v>12</v>
      </c>
      <c r="Q39" s="145">
        <f>SUMIFS(Table2[NewPointsAway],Table2[GameDate], "&lt;=" &amp; $A39, Table2[AwayTeam], Q$1)+SUMIFS(Table2[NewPointsHome],Table2[GameDate], "&lt;=" &amp; $A39, Table2[HomeTeam], Q$1)</f>
        <v>12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6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5</v>
      </c>
      <c r="V39" s="145">
        <f>SUMIFS(Table2[NewPointsAway],Table2[GameDate], "&lt;=" &amp; $A39, Table2[AwayTeam], V$1)+SUMIFS(Table2[NewPointsHome],Table2[GameDate], "&lt;=" &amp; $A39, Table2[HomeTeam], V$1)</f>
        <v>7</v>
      </c>
      <c r="W39" s="145">
        <f>SUMIFS(Table2[NewPointsAway],Table2[GameDate], "&lt;=" &amp; $A39, Table2[AwayTeam], W$1)+SUMIFS(Table2[NewPointsHome],Table2[GameDate], "&lt;=" &amp; $A39, Table2[HomeTeam], W$1)</f>
        <v>10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10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12</v>
      </c>
      <c r="AF39" s="145">
        <f>SUMIFS(Table2[NewPointsAway],Table2[GameDate], "&lt;=" &amp; $A39, Table2[AwayTeam], AF$1)+SUMIFS(Table2[NewPointsHome],Table2[GameDate], "&lt;=" &amp; $A39, Table2[HomeTeam], AF$1)</f>
        <v>10</v>
      </c>
      <c r="AG39" s="145">
        <f>SUMIFS(Table2[NewPointsAway],Table2[GameDate], "&lt;=" &amp; $A39, Table2[AwayTeam], AG$1)+SUMIFS(Table2[NewPointsHome],Table2[GameDate], "&lt;=" &amp; $A39, Table2[HomeTeam], AG$1)</f>
        <v>10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7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6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6</v>
      </c>
      <c r="G40" s="145">
        <f>SUMIFS(Table2[NewPointsAway],Table2[GameDate], "&lt;=" &amp; $A40, Table2[AwayTeam], G$1)+SUMIFS(Table2[NewPointsHome],Table2[GameDate], "&lt;=" &amp; $A40, Table2[HomeTeam], G$1)</f>
        <v>3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12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7</v>
      </c>
      <c r="M40" s="145">
        <f>SUMIFS(Table2[NewPointsAway],Table2[GameDate], "&lt;=" &amp; $A40, Table2[AwayTeam], M$1)+SUMIFS(Table2[NewPointsHome],Table2[GameDate], "&lt;=" &amp; $A40, Table2[HomeTeam], M$1)</f>
        <v>8</v>
      </c>
      <c r="N40" s="145">
        <f>SUMIFS(Table2[NewPointsAway],Table2[GameDate], "&lt;=" &amp; $A40, Table2[AwayTeam], N$1)+SUMIFS(Table2[NewPointsHome],Table2[GameDate], "&lt;=" &amp; $A40, Table2[HomeTeam], N$1)</f>
        <v>6</v>
      </c>
      <c r="O40" s="145">
        <f>SUMIFS(Table2[NewPointsAway],Table2[GameDate], "&lt;=" &amp; $A40, Table2[AwayTeam], O$1)+SUMIFS(Table2[NewPointsHome],Table2[GameDate], "&lt;=" &amp; $A40, Table2[HomeTeam], O$1)</f>
        <v>7</v>
      </c>
      <c r="P40" s="145">
        <f>SUMIFS(Table2[NewPointsAway],Table2[GameDate], "&lt;=" &amp; $A40, Table2[AwayTeam], P$1)+SUMIFS(Table2[NewPointsHome],Table2[GameDate], "&lt;=" &amp; $A40, Table2[HomeTeam], P$1)</f>
        <v>12</v>
      </c>
      <c r="Q40" s="145">
        <f>SUMIFS(Table2[NewPointsAway],Table2[GameDate], "&lt;=" &amp; $A40, Table2[AwayTeam], Q$1)+SUMIFS(Table2[NewPointsHome],Table2[GameDate], "&lt;=" &amp; $A40, Table2[HomeTeam], Q$1)</f>
        <v>12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6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5</v>
      </c>
      <c r="V40" s="145">
        <f>SUMIFS(Table2[NewPointsAway],Table2[GameDate], "&lt;=" &amp; $A40, Table2[AwayTeam], V$1)+SUMIFS(Table2[NewPointsHome],Table2[GameDate], "&lt;=" &amp; $A40, Table2[HomeTeam], V$1)</f>
        <v>7</v>
      </c>
      <c r="W40" s="145">
        <f>SUMIFS(Table2[NewPointsAway],Table2[GameDate], "&lt;=" &amp; $A40, Table2[AwayTeam], W$1)+SUMIFS(Table2[NewPointsHome],Table2[GameDate], "&lt;=" &amp; $A40, Table2[HomeTeam], W$1)</f>
        <v>10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10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12</v>
      </c>
      <c r="AF40" s="145">
        <f>SUMIFS(Table2[NewPointsAway],Table2[GameDate], "&lt;=" &amp; $A40, Table2[AwayTeam], AF$1)+SUMIFS(Table2[NewPointsHome],Table2[GameDate], "&lt;=" &amp; $A40, Table2[HomeTeam], AF$1)</f>
        <v>10</v>
      </c>
      <c r="AG40" s="145">
        <f>SUMIFS(Table2[NewPointsAway],Table2[GameDate], "&lt;=" &amp; $A40, Table2[AwayTeam], AG$1)+SUMIFS(Table2[NewPointsHome],Table2[GameDate], "&lt;=" &amp; $A40, Table2[HomeTeam], AG$1)</f>
        <v>10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7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6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6</v>
      </c>
      <c r="G41" s="145">
        <f>SUMIFS(Table2[NewPointsAway],Table2[GameDate], "&lt;=" &amp; $A41, Table2[AwayTeam], G$1)+SUMIFS(Table2[NewPointsHome],Table2[GameDate], "&lt;=" &amp; $A41, Table2[HomeTeam], G$1)</f>
        <v>3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12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7</v>
      </c>
      <c r="M41" s="145">
        <f>SUMIFS(Table2[NewPointsAway],Table2[GameDate], "&lt;=" &amp; $A41, Table2[AwayTeam], M$1)+SUMIFS(Table2[NewPointsHome],Table2[GameDate], "&lt;=" &amp; $A41, Table2[HomeTeam], M$1)</f>
        <v>8</v>
      </c>
      <c r="N41" s="145">
        <f>SUMIFS(Table2[NewPointsAway],Table2[GameDate], "&lt;=" &amp; $A41, Table2[AwayTeam], N$1)+SUMIFS(Table2[NewPointsHome],Table2[GameDate], "&lt;=" &amp; $A41, Table2[HomeTeam], N$1)</f>
        <v>6</v>
      </c>
      <c r="O41" s="145">
        <f>SUMIFS(Table2[NewPointsAway],Table2[GameDate], "&lt;=" &amp; $A41, Table2[AwayTeam], O$1)+SUMIFS(Table2[NewPointsHome],Table2[GameDate], "&lt;=" &amp; $A41, Table2[HomeTeam], O$1)</f>
        <v>7</v>
      </c>
      <c r="P41" s="145">
        <f>SUMIFS(Table2[NewPointsAway],Table2[GameDate], "&lt;=" &amp; $A41, Table2[AwayTeam], P$1)+SUMIFS(Table2[NewPointsHome],Table2[GameDate], "&lt;=" &amp; $A41, Table2[HomeTeam], P$1)</f>
        <v>12</v>
      </c>
      <c r="Q41" s="145">
        <f>SUMIFS(Table2[NewPointsAway],Table2[GameDate], "&lt;=" &amp; $A41, Table2[AwayTeam], Q$1)+SUMIFS(Table2[NewPointsHome],Table2[GameDate], "&lt;=" &amp; $A41, Table2[HomeTeam], Q$1)</f>
        <v>12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6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5</v>
      </c>
      <c r="V41" s="145">
        <f>SUMIFS(Table2[NewPointsAway],Table2[GameDate], "&lt;=" &amp; $A41, Table2[AwayTeam], V$1)+SUMIFS(Table2[NewPointsHome],Table2[GameDate], "&lt;=" &amp; $A41, Table2[HomeTeam], V$1)</f>
        <v>7</v>
      </c>
      <c r="W41" s="145">
        <f>SUMIFS(Table2[NewPointsAway],Table2[GameDate], "&lt;=" &amp; $A41, Table2[AwayTeam], W$1)+SUMIFS(Table2[NewPointsHome],Table2[GameDate], "&lt;=" &amp; $A41, Table2[HomeTeam], W$1)</f>
        <v>10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10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12</v>
      </c>
      <c r="AF41" s="145">
        <f>SUMIFS(Table2[NewPointsAway],Table2[GameDate], "&lt;=" &amp; $A41, Table2[AwayTeam], AF$1)+SUMIFS(Table2[NewPointsHome],Table2[GameDate], "&lt;=" &amp; $A41, Table2[HomeTeam], AF$1)</f>
        <v>10</v>
      </c>
      <c r="AG41" s="145">
        <f>SUMIFS(Table2[NewPointsAway],Table2[GameDate], "&lt;=" &amp; $A41, Table2[AwayTeam], AG$1)+SUMIFS(Table2[NewPointsHome],Table2[GameDate], "&lt;=" &amp; $A41, Table2[HomeTeam], AG$1)</f>
        <v>10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7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6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6</v>
      </c>
      <c r="G42" s="145">
        <f>SUMIFS(Table2[NewPointsAway],Table2[GameDate], "&lt;=" &amp; $A42, Table2[AwayTeam], G$1)+SUMIFS(Table2[NewPointsHome],Table2[GameDate], "&lt;=" &amp; $A42, Table2[HomeTeam], G$1)</f>
        <v>3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12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7</v>
      </c>
      <c r="M42" s="145">
        <f>SUMIFS(Table2[NewPointsAway],Table2[GameDate], "&lt;=" &amp; $A42, Table2[AwayTeam], M$1)+SUMIFS(Table2[NewPointsHome],Table2[GameDate], "&lt;=" &amp; $A42, Table2[HomeTeam], M$1)</f>
        <v>8</v>
      </c>
      <c r="N42" s="145">
        <f>SUMIFS(Table2[NewPointsAway],Table2[GameDate], "&lt;=" &amp; $A42, Table2[AwayTeam], N$1)+SUMIFS(Table2[NewPointsHome],Table2[GameDate], "&lt;=" &amp; $A42, Table2[HomeTeam], N$1)</f>
        <v>6</v>
      </c>
      <c r="O42" s="145">
        <f>SUMIFS(Table2[NewPointsAway],Table2[GameDate], "&lt;=" &amp; $A42, Table2[AwayTeam], O$1)+SUMIFS(Table2[NewPointsHome],Table2[GameDate], "&lt;=" &amp; $A42, Table2[HomeTeam], O$1)</f>
        <v>7</v>
      </c>
      <c r="P42" s="145">
        <f>SUMIFS(Table2[NewPointsAway],Table2[GameDate], "&lt;=" &amp; $A42, Table2[AwayTeam], P$1)+SUMIFS(Table2[NewPointsHome],Table2[GameDate], "&lt;=" &amp; $A42, Table2[HomeTeam], P$1)</f>
        <v>12</v>
      </c>
      <c r="Q42" s="145">
        <f>SUMIFS(Table2[NewPointsAway],Table2[GameDate], "&lt;=" &amp; $A42, Table2[AwayTeam], Q$1)+SUMIFS(Table2[NewPointsHome],Table2[GameDate], "&lt;=" &amp; $A42, Table2[HomeTeam], Q$1)</f>
        <v>12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6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5</v>
      </c>
      <c r="V42" s="145">
        <f>SUMIFS(Table2[NewPointsAway],Table2[GameDate], "&lt;=" &amp; $A42, Table2[AwayTeam], V$1)+SUMIFS(Table2[NewPointsHome],Table2[GameDate], "&lt;=" &amp; $A42, Table2[HomeTeam], V$1)</f>
        <v>7</v>
      </c>
      <c r="W42" s="145">
        <f>SUMIFS(Table2[NewPointsAway],Table2[GameDate], "&lt;=" &amp; $A42, Table2[AwayTeam], W$1)+SUMIFS(Table2[NewPointsHome],Table2[GameDate], "&lt;=" &amp; $A42, Table2[HomeTeam], W$1)</f>
        <v>10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10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12</v>
      </c>
      <c r="AF42" s="145">
        <f>SUMIFS(Table2[NewPointsAway],Table2[GameDate], "&lt;=" &amp; $A42, Table2[AwayTeam], AF$1)+SUMIFS(Table2[NewPointsHome],Table2[GameDate], "&lt;=" &amp; $A42, Table2[HomeTeam], AF$1)</f>
        <v>10</v>
      </c>
      <c r="AG42" s="145">
        <f>SUMIFS(Table2[NewPointsAway],Table2[GameDate], "&lt;=" &amp; $A42, Table2[AwayTeam], AG$1)+SUMIFS(Table2[NewPointsHome],Table2[GameDate], "&lt;=" &amp; $A42, Table2[HomeTeam], AG$1)</f>
        <v>10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7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6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6</v>
      </c>
      <c r="G43" s="145">
        <f>SUMIFS(Table2[NewPointsAway],Table2[GameDate], "&lt;=" &amp; $A43, Table2[AwayTeam], G$1)+SUMIFS(Table2[NewPointsHome],Table2[GameDate], "&lt;=" &amp; $A43, Table2[HomeTeam], G$1)</f>
        <v>3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12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7</v>
      </c>
      <c r="M43" s="145">
        <f>SUMIFS(Table2[NewPointsAway],Table2[GameDate], "&lt;=" &amp; $A43, Table2[AwayTeam], M$1)+SUMIFS(Table2[NewPointsHome],Table2[GameDate], "&lt;=" &amp; $A43, Table2[HomeTeam], M$1)</f>
        <v>8</v>
      </c>
      <c r="N43" s="145">
        <f>SUMIFS(Table2[NewPointsAway],Table2[GameDate], "&lt;=" &amp; $A43, Table2[AwayTeam], N$1)+SUMIFS(Table2[NewPointsHome],Table2[GameDate], "&lt;=" &amp; $A43, Table2[HomeTeam], N$1)</f>
        <v>6</v>
      </c>
      <c r="O43" s="145">
        <f>SUMIFS(Table2[NewPointsAway],Table2[GameDate], "&lt;=" &amp; $A43, Table2[AwayTeam], O$1)+SUMIFS(Table2[NewPointsHome],Table2[GameDate], "&lt;=" &amp; $A43, Table2[HomeTeam], O$1)</f>
        <v>7</v>
      </c>
      <c r="P43" s="145">
        <f>SUMIFS(Table2[NewPointsAway],Table2[GameDate], "&lt;=" &amp; $A43, Table2[AwayTeam], P$1)+SUMIFS(Table2[NewPointsHome],Table2[GameDate], "&lt;=" &amp; $A43, Table2[HomeTeam], P$1)</f>
        <v>12</v>
      </c>
      <c r="Q43" s="145">
        <f>SUMIFS(Table2[NewPointsAway],Table2[GameDate], "&lt;=" &amp; $A43, Table2[AwayTeam], Q$1)+SUMIFS(Table2[NewPointsHome],Table2[GameDate], "&lt;=" &amp; $A43, Table2[HomeTeam], Q$1)</f>
        <v>12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6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5</v>
      </c>
      <c r="V43" s="145">
        <f>SUMIFS(Table2[NewPointsAway],Table2[GameDate], "&lt;=" &amp; $A43, Table2[AwayTeam], V$1)+SUMIFS(Table2[NewPointsHome],Table2[GameDate], "&lt;=" &amp; $A43, Table2[HomeTeam], V$1)</f>
        <v>7</v>
      </c>
      <c r="W43" s="145">
        <f>SUMIFS(Table2[NewPointsAway],Table2[GameDate], "&lt;=" &amp; $A43, Table2[AwayTeam], W$1)+SUMIFS(Table2[NewPointsHome],Table2[GameDate], "&lt;=" &amp; $A43, Table2[HomeTeam], W$1)</f>
        <v>10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10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12</v>
      </c>
      <c r="AF43" s="145">
        <f>SUMIFS(Table2[NewPointsAway],Table2[GameDate], "&lt;=" &amp; $A43, Table2[AwayTeam], AF$1)+SUMIFS(Table2[NewPointsHome],Table2[GameDate], "&lt;=" &amp; $A43, Table2[HomeTeam], AF$1)</f>
        <v>10</v>
      </c>
      <c r="AG43" s="145">
        <f>SUMIFS(Table2[NewPointsAway],Table2[GameDate], "&lt;=" &amp; $A43, Table2[AwayTeam], AG$1)+SUMIFS(Table2[NewPointsHome],Table2[GameDate], "&lt;=" &amp; $A43, Table2[HomeTeam], AG$1)</f>
        <v>10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7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6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6</v>
      </c>
      <c r="G44" s="145">
        <f>SUMIFS(Table2[NewPointsAway],Table2[GameDate], "&lt;=" &amp; $A44, Table2[AwayTeam], G$1)+SUMIFS(Table2[NewPointsHome],Table2[GameDate], "&lt;=" &amp; $A44, Table2[HomeTeam], G$1)</f>
        <v>3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12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7</v>
      </c>
      <c r="M44" s="145">
        <f>SUMIFS(Table2[NewPointsAway],Table2[GameDate], "&lt;=" &amp; $A44, Table2[AwayTeam], M$1)+SUMIFS(Table2[NewPointsHome],Table2[GameDate], "&lt;=" &amp; $A44, Table2[HomeTeam], M$1)</f>
        <v>8</v>
      </c>
      <c r="N44" s="145">
        <f>SUMIFS(Table2[NewPointsAway],Table2[GameDate], "&lt;=" &amp; $A44, Table2[AwayTeam], N$1)+SUMIFS(Table2[NewPointsHome],Table2[GameDate], "&lt;=" &amp; $A44, Table2[HomeTeam], N$1)</f>
        <v>6</v>
      </c>
      <c r="O44" s="145">
        <f>SUMIFS(Table2[NewPointsAway],Table2[GameDate], "&lt;=" &amp; $A44, Table2[AwayTeam], O$1)+SUMIFS(Table2[NewPointsHome],Table2[GameDate], "&lt;=" &amp; $A44, Table2[HomeTeam], O$1)</f>
        <v>7</v>
      </c>
      <c r="P44" s="145">
        <f>SUMIFS(Table2[NewPointsAway],Table2[GameDate], "&lt;=" &amp; $A44, Table2[AwayTeam], P$1)+SUMIFS(Table2[NewPointsHome],Table2[GameDate], "&lt;=" &amp; $A44, Table2[HomeTeam], P$1)</f>
        <v>12</v>
      </c>
      <c r="Q44" s="145">
        <f>SUMIFS(Table2[NewPointsAway],Table2[GameDate], "&lt;=" &amp; $A44, Table2[AwayTeam], Q$1)+SUMIFS(Table2[NewPointsHome],Table2[GameDate], "&lt;=" &amp; $A44, Table2[HomeTeam], Q$1)</f>
        <v>12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6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5</v>
      </c>
      <c r="V44" s="145">
        <f>SUMIFS(Table2[NewPointsAway],Table2[GameDate], "&lt;=" &amp; $A44, Table2[AwayTeam], V$1)+SUMIFS(Table2[NewPointsHome],Table2[GameDate], "&lt;=" &amp; $A44, Table2[HomeTeam], V$1)</f>
        <v>7</v>
      </c>
      <c r="W44" s="145">
        <f>SUMIFS(Table2[NewPointsAway],Table2[GameDate], "&lt;=" &amp; $A44, Table2[AwayTeam], W$1)+SUMIFS(Table2[NewPointsHome],Table2[GameDate], "&lt;=" &amp; $A44, Table2[HomeTeam], W$1)</f>
        <v>10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10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12</v>
      </c>
      <c r="AF44" s="145">
        <f>SUMIFS(Table2[NewPointsAway],Table2[GameDate], "&lt;=" &amp; $A44, Table2[AwayTeam], AF$1)+SUMIFS(Table2[NewPointsHome],Table2[GameDate], "&lt;=" &amp; $A44, Table2[HomeTeam], AF$1)</f>
        <v>10</v>
      </c>
      <c r="AG44" s="145">
        <f>SUMIFS(Table2[NewPointsAway],Table2[GameDate], "&lt;=" &amp; $A44, Table2[AwayTeam], AG$1)+SUMIFS(Table2[NewPointsHome],Table2[GameDate], "&lt;=" &amp; $A44, Table2[HomeTeam], AG$1)</f>
        <v>10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7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6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6</v>
      </c>
      <c r="G45" s="145">
        <f>SUMIFS(Table2[NewPointsAway],Table2[GameDate], "&lt;=" &amp; $A45, Table2[AwayTeam], G$1)+SUMIFS(Table2[NewPointsHome],Table2[GameDate], "&lt;=" &amp; $A45, Table2[HomeTeam], G$1)</f>
        <v>3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12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7</v>
      </c>
      <c r="M45" s="145">
        <f>SUMIFS(Table2[NewPointsAway],Table2[GameDate], "&lt;=" &amp; $A45, Table2[AwayTeam], M$1)+SUMIFS(Table2[NewPointsHome],Table2[GameDate], "&lt;=" &amp; $A45, Table2[HomeTeam], M$1)</f>
        <v>8</v>
      </c>
      <c r="N45" s="145">
        <f>SUMIFS(Table2[NewPointsAway],Table2[GameDate], "&lt;=" &amp; $A45, Table2[AwayTeam], N$1)+SUMIFS(Table2[NewPointsHome],Table2[GameDate], "&lt;=" &amp; $A45, Table2[HomeTeam], N$1)</f>
        <v>6</v>
      </c>
      <c r="O45" s="145">
        <f>SUMIFS(Table2[NewPointsAway],Table2[GameDate], "&lt;=" &amp; $A45, Table2[AwayTeam], O$1)+SUMIFS(Table2[NewPointsHome],Table2[GameDate], "&lt;=" &amp; $A45, Table2[HomeTeam], O$1)</f>
        <v>7</v>
      </c>
      <c r="P45" s="145">
        <f>SUMIFS(Table2[NewPointsAway],Table2[GameDate], "&lt;=" &amp; $A45, Table2[AwayTeam], P$1)+SUMIFS(Table2[NewPointsHome],Table2[GameDate], "&lt;=" &amp; $A45, Table2[HomeTeam], P$1)</f>
        <v>12</v>
      </c>
      <c r="Q45" s="145">
        <f>SUMIFS(Table2[NewPointsAway],Table2[GameDate], "&lt;=" &amp; $A45, Table2[AwayTeam], Q$1)+SUMIFS(Table2[NewPointsHome],Table2[GameDate], "&lt;=" &amp; $A45, Table2[HomeTeam], Q$1)</f>
        <v>12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6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5</v>
      </c>
      <c r="V45" s="145">
        <f>SUMIFS(Table2[NewPointsAway],Table2[GameDate], "&lt;=" &amp; $A45, Table2[AwayTeam], V$1)+SUMIFS(Table2[NewPointsHome],Table2[GameDate], "&lt;=" &amp; $A45, Table2[HomeTeam], V$1)</f>
        <v>7</v>
      </c>
      <c r="W45" s="145">
        <f>SUMIFS(Table2[NewPointsAway],Table2[GameDate], "&lt;=" &amp; $A45, Table2[AwayTeam], W$1)+SUMIFS(Table2[NewPointsHome],Table2[GameDate], "&lt;=" &amp; $A45, Table2[HomeTeam], W$1)</f>
        <v>10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10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12</v>
      </c>
      <c r="AF45" s="145">
        <f>SUMIFS(Table2[NewPointsAway],Table2[GameDate], "&lt;=" &amp; $A45, Table2[AwayTeam], AF$1)+SUMIFS(Table2[NewPointsHome],Table2[GameDate], "&lt;=" &amp; $A45, Table2[HomeTeam], AF$1)</f>
        <v>10</v>
      </c>
      <c r="AG45" s="145">
        <f>SUMIFS(Table2[NewPointsAway],Table2[GameDate], "&lt;=" &amp; $A45, Table2[AwayTeam], AG$1)+SUMIFS(Table2[NewPointsHome],Table2[GameDate], "&lt;=" &amp; $A45, Table2[HomeTeam], AG$1)</f>
        <v>10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7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6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6</v>
      </c>
      <c r="G46" s="145">
        <f>SUMIFS(Table2[NewPointsAway],Table2[GameDate], "&lt;=" &amp; $A46, Table2[AwayTeam], G$1)+SUMIFS(Table2[NewPointsHome],Table2[GameDate], "&lt;=" &amp; $A46, Table2[HomeTeam], G$1)</f>
        <v>3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12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7</v>
      </c>
      <c r="M46" s="145">
        <f>SUMIFS(Table2[NewPointsAway],Table2[GameDate], "&lt;=" &amp; $A46, Table2[AwayTeam], M$1)+SUMIFS(Table2[NewPointsHome],Table2[GameDate], "&lt;=" &amp; $A46, Table2[HomeTeam], M$1)</f>
        <v>8</v>
      </c>
      <c r="N46" s="145">
        <f>SUMIFS(Table2[NewPointsAway],Table2[GameDate], "&lt;=" &amp; $A46, Table2[AwayTeam], N$1)+SUMIFS(Table2[NewPointsHome],Table2[GameDate], "&lt;=" &amp; $A46, Table2[HomeTeam], N$1)</f>
        <v>6</v>
      </c>
      <c r="O46" s="145">
        <f>SUMIFS(Table2[NewPointsAway],Table2[GameDate], "&lt;=" &amp; $A46, Table2[AwayTeam], O$1)+SUMIFS(Table2[NewPointsHome],Table2[GameDate], "&lt;=" &amp; $A46, Table2[HomeTeam], O$1)</f>
        <v>7</v>
      </c>
      <c r="P46" s="145">
        <f>SUMIFS(Table2[NewPointsAway],Table2[GameDate], "&lt;=" &amp; $A46, Table2[AwayTeam], P$1)+SUMIFS(Table2[NewPointsHome],Table2[GameDate], "&lt;=" &amp; $A46, Table2[HomeTeam], P$1)</f>
        <v>12</v>
      </c>
      <c r="Q46" s="145">
        <f>SUMIFS(Table2[NewPointsAway],Table2[GameDate], "&lt;=" &amp; $A46, Table2[AwayTeam], Q$1)+SUMIFS(Table2[NewPointsHome],Table2[GameDate], "&lt;=" &amp; $A46, Table2[HomeTeam], Q$1)</f>
        <v>12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6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5</v>
      </c>
      <c r="V46" s="145">
        <f>SUMIFS(Table2[NewPointsAway],Table2[GameDate], "&lt;=" &amp; $A46, Table2[AwayTeam], V$1)+SUMIFS(Table2[NewPointsHome],Table2[GameDate], "&lt;=" &amp; $A46, Table2[HomeTeam], V$1)</f>
        <v>7</v>
      </c>
      <c r="W46" s="145">
        <f>SUMIFS(Table2[NewPointsAway],Table2[GameDate], "&lt;=" &amp; $A46, Table2[AwayTeam], W$1)+SUMIFS(Table2[NewPointsHome],Table2[GameDate], "&lt;=" &amp; $A46, Table2[HomeTeam], W$1)</f>
        <v>10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10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12</v>
      </c>
      <c r="AF46" s="145">
        <f>SUMIFS(Table2[NewPointsAway],Table2[GameDate], "&lt;=" &amp; $A46, Table2[AwayTeam], AF$1)+SUMIFS(Table2[NewPointsHome],Table2[GameDate], "&lt;=" &amp; $A46, Table2[HomeTeam], AF$1)</f>
        <v>10</v>
      </c>
      <c r="AG46" s="145">
        <f>SUMIFS(Table2[NewPointsAway],Table2[GameDate], "&lt;=" &amp; $A46, Table2[AwayTeam], AG$1)+SUMIFS(Table2[NewPointsHome],Table2[GameDate], "&lt;=" &amp; $A46, Table2[HomeTeam], AG$1)</f>
        <v>10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7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6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6</v>
      </c>
      <c r="G47" s="145">
        <f>SUMIFS(Table2[NewPointsAway],Table2[GameDate], "&lt;=" &amp; $A47, Table2[AwayTeam], G$1)+SUMIFS(Table2[NewPointsHome],Table2[GameDate], "&lt;=" &amp; $A47, Table2[HomeTeam], G$1)</f>
        <v>3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12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7</v>
      </c>
      <c r="M47" s="145">
        <f>SUMIFS(Table2[NewPointsAway],Table2[GameDate], "&lt;=" &amp; $A47, Table2[AwayTeam], M$1)+SUMIFS(Table2[NewPointsHome],Table2[GameDate], "&lt;=" &amp; $A47, Table2[HomeTeam], M$1)</f>
        <v>8</v>
      </c>
      <c r="N47" s="145">
        <f>SUMIFS(Table2[NewPointsAway],Table2[GameDate], "&lt;=" &amp; $A47, Table2[AwayTeam], N$1)+SUMIFS(Table2[NewPointsHome],Table2[GameDate], "&lt;=" &amp; $A47, Table2[HomeTeam], N$1)</f>
        <v>6</v>
      </c>
      <c r="O47" s="145">
        <f>SUMIFS(Table2[NewPointsAway],Table2[GameDate], "&lt;=" &amp; $A47, Table2[AwayTeam], O$1)+SUMIFS(Table2[NewPointsHome],Table2[GameDate], "&lt;=" &amp; $A47, Table2[HomeTeam], O$1)</f>
        <v>7</v>
      </c>
      <c r="P47" s="145">
        <f>SUMIFS(Table2[NewPointsAway],Table2[GameDate], "&lt;=" &amp; $A47, Table2[AwayTeam], P$1)+SUMIFS(Table2[NewPointsHome],Table2[GameDate], "&lt;=" &amp; $A47, Table2[HomeTeam], P$1)</f>
        <v>12</v>
      </c>
      <c r="Q47" s="145">
        <f>SUMIFS(Table2[NewPointsAway],Table2[GameDate], "&lt;=" &amp; $A47, Table2[AwayTeam], Q$1)+SUMIFS(Table2[NewPointsHome],Table2[GameDate], "&lt;=" &amp; $A47, Table2[HomeTeam], Q$1)</f>
        <v>12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6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5</v>
      </c>
      <c r="V47" s="145">
        <f>SUMIFS(Table2[NewPointsAway],Table2[GameDate], "&lt;=" &amp; $A47, Table2[AwayTeam], V$1)+SUMIFS(Table2[NewPointsHome],Table2[GameDate], "&lt;=" &amp; $A47, Table2[HomeTeam], V$1)</f>
        <v>7</v>
      </c>
      <c r="W47" s="145">
        <f>SUMIFS(Table2[NewPointsAway],Table2[GameDate], "&lt;=" &amp; $A47, Table2[AwayTeam], W$1)+SUMIFS(Table2[NewPointsHome],Table2[GameDate], "&lt;=" &amp; $A47, Table2[HomeTeam], W$1)</f>
        <v>10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10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12</v>
      </c>
      <c r="AF47" s="145">
        <f>SUMIFS(Table2[NewPointsAway],Table2[GameDate], "&lt;=" &amp; $A47, Table2[AwayTeam], AF$1)+SUMIFS(Table2[NewPointsHome],Table2[GameDate], "&lt;=" &amp; $A47, Table2[HomeTeam], AF$1)</f>
        <v>10</v>
      </c>
      <c r="AG47" s="145">
        <f>SUMIFS(Table2[NewPointsAway],Table2[GameDate], "&lt;=" &amp; $A47, Table2[AwayTeam], AG$1)+SUMIFS(Table2[NewPointsHome],Table2[GameDate], "&lt;=" &amp; $A47, Table2[HomeTeam], AG$1)</f>
        <v>10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7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6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6</v>
      </c>
      <c r="G48" s="145">
        <f>SUMIFS(Table2[NewPointsAway],Table2[GameDate], "&lt;=" &amp; $A48, Table2[AwayTeam], G$1)+SUMIFS(Table2[NewPointsHome],Table2[GameDate], "&lt;=" &amp; $A48, Table2[HomeTeam], G$1)</f>
        <v>3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12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7</v>
      </c>
      <c r="M48" s="145">
        <f>SUMIFS(Table2[NewPointsAway],Table2[GameDate], "&lt;=" &amp; $A48, Table2[AwayTeam], M$1)+SUMIFS(Table2[NewPointsHome],Table2[GameDate], "&lt;=" &amp; $A48, Table2[HomeTeam], M$1)</f>
        <v>8</v>
      </c>
      <c r="N48" s="145">
        <f>SUMIFS(Table2[NewPointsAway],Table2[GameDate], "&lt;=" &amp; $A48, Table2[AwayTeam], N$1)+SUMIFS(Table2[NewPointsHome],Table2[GameDate], "&lt;=" &amp; $A48, Table2[HomeTeam], N$1)</f>
        <v>6</v>
      </c>
      <c r="O48" s="145">
        <f>SUMIFS(Table2[NewPointsAway],Table2[GameDate], "&lt;=" &amp; $A48, Table2[AwayTeam], O$1)+SUMIFS(Table2[NewPointsHome],Table2[GameDate], "&lt;=" &amp; $A48, Table2[HomeTeam], O$1)</f>
        <v>7</v>
      </c>
      <c r="P48" s="145">
        <f>SUMIFS(Table2[NewPointsAway],Table2[GameDate], "&lt;=" &amp; $A48, Table2[AwayTeam], P$1)+SUMIFS(Table2[NewPointsHome],Table2[GameDate], "&lt;=" &amp; $A48, Table2[HomeTeam], P$1)</f>
        <v>12</v>
      </c>
      <c r="Q48" s="145">
        <f>SUMIFS(Table2[NewPointsAway],Table2[GameDate], "&lt;=" &amp; $A48, Table2[AwayTeam], Q$1)+SUMIFS(Table2[NewPointsHome],Table2[GameDate], "&lt;=" &amp; $A48, Table2[HomeTeam], Q$1)</f>
        <v>12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6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5</v>
      </c>
      <c r="V48" s="145">
        <f>SUMIFS(Table2[NewPointsAway],Table2[GameDate], "&lt;=" &amp; $A48, Table2[AwayTeam], V$1)+SUMIFS(Table2[NewPointsHome],Table2[GameDate], "&lt;=" &amp; $A48, Table2[HomeTeam], V$1)</f>
        <v>7</v>
      </c>
      <c r="W48" s="145">
        <f>SUMIFS(Table2[NewPointsAway],Table2[GameDate], "&lt;=" &amp; $A48, Table2[AwayTeam], W$1)+SUMIFS(Table2[NewPointsHome],Table2[GameDate], "&lt;=" &amp; $A48, Table2[HomeTeam], W$1)</f>
        <v>10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10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12</v>
      </c>
      <c r="AF48" s="145">
        <f>SUMIFS(Table2[NewPointsAway],Table2[GameDate], "&lt;=" &amp; $A48, Table2[AwayTeam], AF$1)+SUMIFS(Table2[NewPointsHome],Table2[GameDate], "&lt;=" &amp; $A48, Table2[HomeTeam], AF$1)</f>
        <v>10</v>
      </c>
      <c r="AG48" s="145">
        <f>SUMIFS(Table2[NewPointsAway],Table2[GameDate], "&lt;=" &amp; $A48, Table2[AwayTeam], AG$1)+SUMIFS(Table2[NewPointsHome],Table2[GameDate], "&lt;=" &amp; $A48, Table2[HomeTeam], AG$1)</f>
        <v>10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7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6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6</v>
      </c>
      <c r="G49" s="145">
        <f>SUMIFS(Table2[NewPointsAway],Table2[GameDate], "&lt;=" &amp; $A49, Table2[AwayTeam], G$1)+SUMIFS(Table2[NewPointsHome],Table2[GameDate], "&lt;=" &amp; $A49, Table2[HomeTeam], G$1)</f>
        <v>3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12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7</v>
      </c>
      <c r="M49" s="145">
        <f>SUMIFS(Table2[NewPointsAway],Table2[GameDate], "&lt;=" &amp; $A49, Table2[AwayTeam], M$1)+SUMIFS(Table2[NewPointsHome],Table2[GameDate], "&lt;=" &amp; $A49, Table2[HomeTeam], M$1)</f>
        <v>8</v>
      </c>
      <c r="N49" s="145">
        <f>SUMIFS(Table2[NewPointsAway],Table2[GameDate], "&lt;=" &amp; $A49, Table2[AwayTeam], N$1)+SUMIFS(Table2[NewPointsHome],Table2[GameDate], "&lt;=" &amp; $A49, Table2[HomeTeam], N$1)</f>
        <v>6</v>
      </c>
      <c r="O49" s="145">
        <f>SUMIFS(Table2[NewPointsAway],Table2[GameDate], "&lt;=" &amp; $A49, Table2[AwayTeam], O$1)+SUMIFS(Table2[NewPointsHome],Table2[GameDate], "&lt;=" &amp; $A49, Table2[HomeTeam], O$1)</f>
        <v>7</v>
      </c>
      <c r="P49" s="145">
        <f>SUMIFS(Table2[NewPointsAway],Table2[GameDate], "&lt;=" &amp; $A49, Table2[AwayTeam], P$1)+SUMIFS(Table2[NewPointsHome],Table2[GameDate], "&lt;=" &amp; $A49, Table2[HomeTeam], P$1)</f>
        <v>12</v>
      </c>
      <c r="Q49" s="145">
        <f>SUMIFS(Table2[NewPointsAway],Table2[GameDate], "&lt;=" &amp; $A49, Table2[AwayTeam], Q$1)+SUMIFS(Table2[NewPointsHome],Table2[GameDate], "&lt;=" &amp; $A49, Table2[HomeTeam], Q$1)</f>
        <v>12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6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5</v>
      </c>
      <c r="V49" s="145">
        <f>SUMIFS(Table2[NewPointsAway],Table2[GameDate], "&lt;=" &amp; $A49, Table2[AwayTeam], V$1)+SUMIFS(Table2[NewPointsHome],Table2[GameDate], "&lt;=" &amp; $A49, Table2[HomeTeam], V$1)</f>
        <v>7</v>
      </c>
      <c r="W49" s="145">
        <f>SUMIFS(Table2[NewPointsAway],Table2[GameDate], "&lt;=" &amp; $A49, Table2[AwayTeam], W$1)+SUMIFS(Table2[NewPointsHome],Table2[GameDate], "&lt;=" &amp; $A49, Table2[HomeTeam], W$1)</f>
        <v>10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10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12</v>
      </c>
      <c r="AF49" s="145">
        <f>SUMIFS(Table2[NewPointsAway],Table2[GameDate], "&lt;=" &amp; $A49, Table2[AwayTeam], AF$1)+SUMIFS(Table2[NewPointsHome],Table2[GameDate], "&lt;=" &amp; $A49, Table2[HomeTeam], AF$1)</f>
        <v>10</v>
      </c>
      <c r="AG49" s="145">
        <f>SUMIFS(Table2[NewPointsAway],Table2[GameDate], "&lt;=" &amp; $A49, Table2[AwayTeam], AG$1)+SUMIFS(Table2[NewPointsHome],Table2[GameDate], "&lt;=" &amp; $A49, Table2[HomeTeam], AG$1)</f>
        <v>10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7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6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6</v>
      </c>
      <c r="G50" s="145">
        <f>SUMIFS(Table2[NewPointsAway],Table2[GameDate], "&lt;=" &amp; $A50, Table2[AwayTeam], G$1)+SUMIFS(Table2[NewPointsHome],Table2[GameDate], "&lt;=" &amp; $A50, Table2[HomeTeam], G$1)</f>
        <v>3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12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7</v>
      </c>
      <c r="M50" s="145">
        <f>SUMIFS(Table2[NewPointsAway],Table2[GameDate], "&lt;=" &amp; $A50, Table2[AwayTeam], M$1)+SUMIFS(Table2[NewPointsHome],Table2[GameDate], "&lt;=" &amp; $A50, Table2[HomeTeam], M$1)</f>
        <v>8</v>
      </c>
      <c r="N50" s="145">
        <f>SUMIFS(Table2[NewPointsAway],Table2[GameDate], "&lt;=" &amp; $A50, Table2[AwayTeam], N$1)+SUMIFS(Table2[NewPointsHome],Table2[GameDate], "&lt;=" &amp; $A50, Table2[HomeTeam], N$1)</f>
        <v>6</v>
      </c>
      <c r="O50" s="145">
        <f>SUMIFS(Table2[NewPointsAway],Table2[GameDate], "&lt;=" &amp; $A50, Table2[AwayTeam], O$1)+SUMIFS(Table2[NewPointsHome],Table2[GameDate], "&lt;=" &amp; $A50, Table2[HomeTeam], O$1)</f>
        <v>7</v>
      </c>
      <c r="P50" s="145">
        <f>SUMIFS(Table2[NewPointsAway],Table2[GameDate], "&lt;=" &amp; $A50, Table2[AwayTeam], P$1)+SUMIFS(Table2[NewPointsHome],Table2[GameDate], "&lt;=" &amp; $A50, Table2[HomeTeam], P$1)</f>
        <v>12</v>
      </c>
      <c r="Q50" s="145">
        <f>SUMIFS(Table2[NewPointsAway],Table2[GameDate], "&lt;=" &amp; $A50, Table2[AwayTeam], Q$1)+SUMIFS(Table2[NewPointsHome],Table2[GameDate], "&lt;=" &amp; $A50, Table2[HomeTeam], Q$1)</f>
        <v>12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6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5</v>
      </c>
      <c r="V50" s="145">
        <f>SUMIFS(Table2[NewPointsAway],Table2[GameDate], "&lt;=" &amp; $A50, Table2[AwayTeam], V$1)+SUMIFS(Table2[NewPointsHome],Table2[GameDate], "&lt;=" &amp; $A50, Table2[HomeTeam], V$1)</f>
        <v>7</v>
      </c>
      <c r="W50" s="145">
        <f>SUMIFS(Table2[NewPointsAway],Table2[GameDate], "&lt;=" &amp; $A50, Table2[AwayTeam], W$1)+SUMIFS(Table2[NewPointsHome],Table2[GameDate], "&lt;=" &amp; $A50, Table2[HomeTeam], W$1)</f>
        <v>10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10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12</v>
      </c>
      <c r="AF50" s="145">
        <f>SUMIFS(Table2[NewPointsAway],Table2[GameDate], "&lt;=" &amp; $A50, Table2[AwayTeam], AF$1)+SUMIFS(Table2[NewPointsHome],Table2[GameDate], "&lt;=" &amp; $A50, Table2[HomeTeam], AF$1)</f>
        <v>10</v>
      </c>
      <c r="AG50" s="145">
        <f>SUMIFS(Table2[NewPointsAway],Table2[GameDate], "&lt;=" &amp; $A50, Table2[AwayTeam], AG$1)+SUMIFS(Table2[NewPointsHome],Table2[GameDate], "&lt;=" &amp; $A50, Table2[HomeTeam], AG$1)</f>
        <v>10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7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6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6</v>
      </c>
      <c r="G51" s="145">
        <f>SUMIFS(Table2[NewPointsAway],Table2[GameDate], "&lt;=" &amp; $A51, Table2[AwayTeam], G$1)+SUMIFS(Table2[NewPointsHome],Table2[GameDate], "&lt;=" &amp; $A51, Table2[HomeTeam], G$1)</f>
        <v>3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12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7</v>
      </c>
      <c r="M51" s="145">
        <f>SUMIFS(Table2[NewPointsAway],Table2[GameDate], "&lt;=" &amp; $A51, Table2[AwayTeam], M$1)+SUMIFS(Table2[NewPointsHome],Table2[GameDate], "&lt;=" &amp; $A51, Table2[HomeTeam], M$1)</f>
        <v>8</v>
      </c>
      <c r="N51" s="145">
        <f>SUMIFS(Table2[NewPointsAway],Table2[GameDate], "&lt;=" &amp; $A51, Table2[AwayTeam], N$1)+SUMIFS(Table2[NewPointsHome],Table2[GameDate], "&lt;=" &amp; $A51, Table2[HomeTeam], N$1)</f>
        <v>6</v>
      </c>
      <c r="O51" s="145">
        <f>SUMIFS(Table2[NewPointsAway],Table2[GameDate], "&lt;=" &amp; $A51, Table2[AwayTeam], O$1)+SUMIFS(Table2[NewPointsHome],Table2[GameDate], "&lt;=" &amp; $A51, Table2[HomeTeam], O$1)</f>
        <v>7</v>
      </c>
      <c r="P51" s="145">
        <f>SUMIFS(Table2[NewPointsAway],Table2[GameDate], "&lt;=" &amp; $A51, Table2[AwayTeam], P$1)+SUMIFS(Table2[NewPointsHome],Table2[GameDate], "&lt;=" &amp; $A51, Table2[HomeTeam], P$1)</f>
        <v>12</v>
      </c>
      <c r="Q51" s="145">
        <f>SUMIFS(Table2[NewPointsAway],Table2[GameDate], "&lt;=" &amp; $A51, Table2[AwayTeam], Q$1)+SUMIFS(Table2[NewPointsHome],Table2[GameDate], "&lt;=" &amp; $A51, Table2[HomeTeam], Q$1)</f>
        <v>12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6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5</v>
      </c>
      <c r="V51" s="145">
        <f>SUMIFS(Table2[NewPointsAway],Table2[GameDate], "&lt;=" &amp; $A51, Table2[AwayTeam], V$1)+SUMIFS(Table2[NewPointsHome],Table2[GameDate], "&lt;=" &amp; $A51, Table2[HomeTeam], V$1)</f>
        <v>7</v>
      </c>
      <c r="W51" s="145">
        <f>SUMIFS(Table2[NewPointsAway],Table2[GameDate], "&lt;=" &amp; $A51, Table2[AwayTeam], W$1)+SUMIFS(Table2[NewPointsHome],Table2[GameDate], "&lt;=" &amp; $A51, Table2[HomeTeam], W$1)</f>
        <v>10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10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12</v>
      </c>
      <c r="AF51" s="145">
        <f>SUMIFS(Table2[NewPointsAway],Table2[GameDate], "&lt;=" &amp; $A51, Table2[AwayTeam], AF$1)+SUMIFS(Table2[NewPointsHome],Table2[GameDate], "&lt;=" &amp; $A51, Table2[HomeTeam], AF$1)</f>
        <v>10</v>
      </c>
      <c r="AG51" s="145">
        <f>SUMIFS(Table2[NewPointsAway],Table2[GameDate], "&lt;=" &amp; $A51, Table2[AwayTeam], AG$1)+SUMIFS(Table2[NewPointsHome],Table2[GameDate], "&lt;=" &amp; $A51, Table2[HomeTeam], AG$1)</f>
        <v>10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7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6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6</v>
      </c>
      <c r="G52" s="145">
        <f>SUMIFS(Table2[NewPointsAway],Table2[GameDate], "&lt;=" &amp; $A52, Table2[AwayTeam], G$1)+SUMIFS(Table2[NewPointsHome],Table2[GameDate], "&lt;=" &amp; $A52, Table2[HomeTeam], G$1)</f>
        <v>3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12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7</v>
      </c>
      <c r="M52" s="145">
        <f>SUMIFS(Table2[NewPointsAway],Table2[GameDate], "&lt;=" &amp; $A52, Table2[AwayTeam], M$1)+SUMIFS(Table2[NewPointsHome],Table2[GameDate], "&lt;=" &amp; $A52, Table2[HomeTeam], M$1)</f>
        <v>8</v>
      </c>
      <c r="N52" s="145">
        <f>SUMIFS(Table2[NewPointsAway],Table2[GameDate], "&lt;=" &amp; $A52, Table2[AwayTeam], N$1)+SUMIFS(Table2[NewPointsHome],Table2[GameDate], "&lt;=" &amp; $A52, Table2[HomeTeam], N$1)</f>
        <v>6</v>
      </c>
      <c r="O52" s="145">
        <f>SUMIFS(Table2[NewPointsAway],Table2[GameDate], "&lt;=" &amp; $A52, Table2[AwayTeam], O$1)+SUMIFS(Table2[NewPointsHome],Table2[GameDate], "&lt;=" &amp; $A52, Table2[HomeTeam], O$1)</f>
        <v>7</v>
      </c>
      <c r="P52" s="145">
        <f>SUMIFS(Table2[NewPointsAway],Table2[GameDate], "&lt;=" &amp; $A52, Table2[AwayTeam], P$1)+SUMIFS(Table2[NewPointsHome],Table2[GameDate], "&lt;=" &amp; $A52, Table2[HomeTeam], P$1)</f>
        <v>12</v>
      </c>
      <c r="Q52" s="145">
        <f>SUMIFS(Table2[NewPointsAway],Table2[GameDate], "&lt;=" &amp; $A52, Table2[AwayTeam], Q$1)+SUMIFS(Table2[NewPointsHome],Table2[GameDate], "&lt;=" &amp; $A52, Table2[HomeTeam], Q$1)</f>
        <v>12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6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5</v>
      </c>
      <c r="V52" s="145">
        <f>SUMIFS(Table2[NewPointsAway],Table2[GameDate], "&lt;=" &amp; $A52, Table2[AwayTeam], V$1)+SUMIFS(Table2[NewPointsHome],Table2[GameDate], "&lt;=" &amp; $A52, Table2[HomeTeam], V$1)</f>
        <v>7</v>
      </c>
      <c r="W52" s="145">
        <f>SUMIFS(Table2[NewPointsAway],Table2[GameDate], "&lt;=" &amp; $A52, Table2[AwayTeam], W$1)+SUMIFS(Table2[NewPointsHome],Table2[GameDate], "&lt;=" &amp; $A52, Table2[HomeTeam], W$1)</f>
        <v>10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10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12</v>
      </c>
      <c r="AF52" s="145">
        <f>SUMIFS(Table2[NewPointsAway],Table2[GameDate], "&lt;=" &amp; $A52, Table2[AwayTeam], AF$1)+SUMIFS(Table2[NewPointsHome],Table2[GameDate], "&lt;=" &amp; $A52, Table2[HomeTeam], AF$1)</f>
        <v>10</v>
      </c>
      <c r="AG52" s="145">
        <f>SUMIFS(Table2[NewPointsAway],Table2[GameDate], "&lt;=" &amp; $A52, Table2[AwayTeam], AG$1)+SUMIFS(Table2[NewPointsHome],Table2[GameDate], "&lt;=" &amp; $A52, Table2[HomeTeam], AG$1)</f>
        <v>10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7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6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6</v>
      </c>
      <c r="G53" s="145">
        <f>SUMIFS(Table2[NewPointsAway],Table2[GameDate], "&lt;=" &amp; $A53, Table2[AwayTeam], G$1)+SUMIFS(Table2[NewPointsHome],Table2[GameDate], "&lt;=" &amp; $A53, Table2[HomeTeam], G$1)</f>
        <v>3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12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7</v>
      </c>
      <c r="M53" s="145">
        <f>SUMIFS(Table2[NewPointsAway],Table2[GameDate], "&lt;=" &amp; $A53, Table2[AwayTeam], M$1)+SUMIFS(Table2[NewPointsHome],Table2[GameDate], "&lt;=" &amp; $A53, Table2[HomeTeam], M$1)</f>
        <v>8</v>
      </c>
      <c r="N53" s="145">
        <f>SUMIFS(Table2[NewPointsAway],Table2[GameDate], "&lt;=" &amp; $A53, Table2[AwayTeam], N$1)+SUMIFS(Table2[NewPointsHome],Table2[GameDate], "&lt;=" &amp; $A53, Table2[HomeTeam], N$1)</f>
        <v>6</v>
      </c>
      <c r="O53" s="145">
        <f>SUMIFS(Table2[NewPointsAway],Table2[GameDate], "&lt;=" &amp; $A53, Table2[AwayTeam], O$1)+SUMIFS(Table2[NewPointsHome],Table2[GameDate], "&lt;=" &amp; $A53, Table2[HomeTeam], O$1)</f>
        <v>7</v>
      </c>
      <c r="P53" s="145">
        <f>SUMIFS(Table2[NewPointsAway],Table2[GameDate], "&lt;=" &amp; $A53, Table2[AwayTeam], P$1)+SUMIFS(Table2[NewPointsHome],Table2[GameDate], "&lt;=" &amp; $A53, Table2[HomeTeam], P$1)</f>
        <v>12</v>
      </c>
      <c r="Q53" s="145">
        <f>SUMIFS(Table2[NewPointsAway],Table2[GameDate], "&lt;=" &amp; $A53, Table2[AwayTeam], Q$1)+SUMIFS(Table2[NewPointsHome],Table2[GameDate], "&lt;=" &amp; $A53, Table2[HomeTeam], Q$1)</f>
        <v>12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6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5</v>
      </c>
      <c r="V53" s="145">
        <f>SUMIFS(Table2[NewPointsAway],Table2[GameDate], "&lt;=" &amp; $A53, Table2[AwayTeam], V$1)+SUMIFS(Table2[NewPointsHome],Table2[GameDate], "&lt;=" &amp; $A53, Table2[HomeTeam], V$1)</f>
        <v>7</v>
      </c>
      <c r="W53" s="145">
        <f>SUMIFS(Table2[NewPointsAway],Table2[GameDate], "&lt;=" &amp; $A53, Table2[AwayTeam], W$1)+SUMIFS(Table2[NewPointsHome],Table2[GameDate], "&lt;=" &amp; $A53, Table2[HomeTeam], W$1)</f>
        <v>10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10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12</v>
      </c>
      <c r="AF53" s="145">
        <f>SUMIFS(Table2[NewPointsAway],Table2[GameDate], "&lt;=" &amp; $A53, Table2[AwayTeam], AF$1)+SUMIFS(Table2[NewPointsHome],Table2[GameDate], "&lt;=" &amp; $A53, Table2[HomeTeam], AF$1)</f>
        <v>10</v>
      </c>
      <c r="AG53" s="145">
        <f>SUMIFS(Table2[NewPointsAway],Table2[GameDate], "&lt;=" &amp; $A53, Table2[AwayTeam], AG$1)+SUMIFS(Table2[NewPointsHome],Table2[GameDate], "&lt;=" &amp; $A53, Table2[HomeTeam], AG$1)</f>
        <v>10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7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6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6</v>
      </c>
      <c r="G54" s="145">
        <f>SUMIFS(Table2[NewPointsAway],Table2[GameDate], "&lt;=" &amp; $A54, Table2[AwayTeam], G$1)+SUMIFS(Table2[NewPointsHome],Table2[GameDate], "&lt;=" &amp; $A54, Table2[HomeTeam], G$1)</f>
        <v>3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12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7</v>
      </c>
      <c r="M54" s="145">
        <f>SUMIFS(Table2[NewPointsAway],Table2[GameDate], "&lt;=" &amp; $A54, Table2[AwayTeam], M$1)+SUMIFS(Table2[NewPointsHome],Table2[GameDate], "&lt;=" &amp; $A54, Table2[HomeTeam], M$1)</f>
        <v>8</v>
      </c>
      <c r="N54" s="145">
        <f>SUMIFS(Table2[NewPointsAway],Table2[GameDate], "&lt;=" &amp; $A54, Table2[AwayTeam], N$1)+SUMIFS(Table2[NewPointsHome],Table2[GameDate], "&lt;=" &amp; $A54, Table2[HomeTeam], N$1)</f>
        <v>6</v>
      </c>
      <c r="O54" s="145">
        <f>SUMIFS(Table2[NewPointsAway],Table2[GameDate], "&lt;=" &amp; $A54, Table2[AwayTeam], O$1)+SUMIFS(Table2[NewPointsHome],Table2[GameDate], "&lt;=" &amp; $A54, Table2[HomeTeam], O$1)</f>
        <v>7</v>
      </c>
      <c r="P54" s="145">
        <f>SUMIFS(Table2[NewPointsAway],Table2[GameDate], "&lt;=" &amp; $A54, Table2[AwayTeam], P$1)+SUMIFS(Table2[NewPointsHome],Table2[GameDate], "&lt;=" &amp; $A54, Table2[HomeTeam], P$1)</f>
        <v>12</v>
      </c>
      <c r="Q54" s="145">
        <f>SUMIFS(Table2[NewPointsAway],Table2[GameDate], "&lt;=" &amp; $A54, Table2[AwayTeam], Q$1)+SUMIFS(Table2[NewPointsHome],Table2[GameDate], "&lt;=" &amp; $A54, Table2[HomeTeam], Q$1)</f>
        <v>12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6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5</v>
      </c>
      <c r="V54" s="145">
        <f>SUMIFS(Table2[NewPointsAway],Table2[GameDate], "&lt;=" &amp; $A54, Table2[AwayTeam], V$1)+SUMIFS(Table2[NewPointsHome],Table2[GameDate], "&lt;=" &amp; $A54, Table2[HomeTeam], V$1)</f>
        <v>7</v>
      </c>
      <c r="W54" s="145">
        <f>SUMIFS(Table2[NewPointsAway],Table2[GameDate], "&lt;=" &amp; $A54, Table2[AwayTeam], W$1)+SUMIFS(Table2[NewPointsHome],Table2[GameDate], "&lt;=" &amp; $A54, Table2[HomeTeam], W$1)</f>
        <v>10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10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12</v>
      </c>
      <c r="AF54" s="145">
        <f>SUMIFS(Table2[NewPointsAway],Table2[GameDate], "&lt;=" &amp; $A54, Table2[AwayTeam], AF$1)+SUMIFS(Table2[NewPointsHome],Table2[GameDate], "&lt;=" &amp; $A54, Table2[HomeTeam], AF$1)</f>
        <v>10</v>
      </c>
      <c r="AG54" s="145">
        <f>SUMIFS(Table2[NewPointsAway],Table2[GameDate], "&lt;=" &amp; $A54, Table2[AwayTeam], AG$1)+SUMIFS(Table2[NewPointsHome],Table2[GameDate], "&lt;=" &amp; $A54, Table2[HomeTeam], AG$1)</f>
        <v>10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7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6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6</v>
      </c>
      <c r="G55" s="145">
        <f>SUMIFS(Table2[NewPointsAway],Table2[GameDate], "&lt;=" &amp; $A55, Table2[AwayTeam], G$1)+SUMIFS(Table2[NewPointsHome],Table2[GameDate], "&lt;=" &amp; $A55, Table2[HomeTeam], G$1)</f>
        <v>3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12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7</v>
      </c>
      <c r="M55" s="145">
        <f>SUMIFS(Table2[NewPointsAway],Table2[GameDate], "&lt;=" &amp; $A55, Table2[AwayTeam], M$1)+SUMIFS(Table2[NewPointsHome],Table2[GameDate], "&lt;=" &amp; $A55, Table2[HomeTeam], M$1)</f>
        <v>8</v>
      </c>
      <c r="N55" s="145">
        <f>SUMIFS(Table2[NewPointsAway],Table2[GameDate], "&lt;=" &amp; $A55, Table2[AwayTeam], N$1)+SUMIFS(Table2[NewPointsHome],Table2[GameDate], "&lt;=" &amp; $A55, Table2[HomeTeam], N$1)</f>
        <v>6</v>
      </c>
      <c r="O55" s="145">
        <f>SUMIFS(Table2[NewPointsAway],Table2[GameDate], "&lt;=" &amp; $A55, Table2[AwayTeam], O$1)+SUMIFS(Table2[NewPointsHome],Table2[GameDate], "&lt;=" &amp; $A55, Table2[HomeTeam], O$1)</f>
        <v>7</v>
      </c>
      <c r="P55" s="145">
        <f>SUMIFS(Table2[NewPointsAway],Table2[GameDate], "&lt;=" &amp; $A55, Table2[AwayTeam], P$1)+SUMIFS(Table2[NewPointsHome],Table2[GameDate], "&lt;=" &amp; $A55, Table2[HomeTeam], P$1)</f>
        <v>12</v>
      </c>
      <c r="Q55" s="145">
        <f>SUMIFS(Table2[NewPointsAway],Table2[GameDate], "&lt;=" &amp; $A55, Table2[AwayTeam], Q$1)+SUMIFS(Table2[NewPointsHome],Table2[GameDate], "&lt;=" &amp; $A55, Table2[HomeTeam], Q$1)</f>
        <v>12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6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5</v>
      </c>
      <c r="V55" s="145">
        <f>SUMIFS(Table2[NewPointsAway],Table2[GameDate], "&lt;=" &amp; $A55, Table2[AwayTeam], V$1)+SUMIFS(Table2[NewPointsHome],Table2[GameDate], "&lt;=" &amp; $A55, Table2[HomeTeam], V$1)</f>
        <v>7</v>
      </c>
      <c r="W55" s="145">
        <f>SUMIFS(Table2[NewPointsAway],Table2[GameDate], "&lt;=" &amp; $A55, Table2[AwayTeam], W$1)+SUMIFS(Table2[NewPointsHome],Table2[GameDate], "&lt;=" &amp; $A55, Table2[HomeTeam], W$1)</f>
        <v>10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10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12</v>
      </c>
      <c r="AF55" s="145">
        <f>SUMIFS(Table2[NewPointsAway],Table2[GameDate], "&lt;=" &amp; $A55, Table2[AwayTeam], AF$1)+SUMIFS(Table2[NewPointsHome],Table2[GameDate], "&lt;=" &amp; $A55, Table2[HomeTeam], AF$1)</f>
        <v>10</v>
      </c>
      <c r="AG55" s="145">
        <f>SUMIFS(Table2[NewPointsAway],Table2[GameDate], "&lt;=" &amp; $A55, Table2[AwayTeam], AG$1)+SUMIFS(Table2[NewPointsHome],Table2[GameDate], "&lt;=" &amp; $A55, Table2[HomeTeam], AG$1)</f>
        <v>10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7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6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6</v>
      </c>
      <c r="G56" s="145">
        <f>SUMIFS(Table2[NewPointsAway],Table2[GameDate], "&lt;=" &amp; $A56, Table2[AwayTeam], G$1)+SUMIFS(Table2[NewPointsHome],Table2[GameDate], "&lt;=" &amp; $A56, Table2[HomeTeam], G$1)</f>
        <v>3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12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7</v>
      </c>
      <c r="M56" s="145">
        <f>SUMIFS(Table2[NewPointsAway],Table2[GameDate], "&lt;=" &amp; $A56, Table2[AwayTeam], M$1)+SUMIFS(Table2[NewPointsHome],Table2[GameDate], "&lt;=" &amp; $A56, Table2[HomeTeam], M$1)</f>
        <v>8</v>
      </c>
      <c r="N56" s="145">
        <f>SUMIFS(Table2[NewPointsAway],Table2[GameDate], "&lt;=" &amp; $A56, Table2[AwayTeam], N$1)+SUMIFS(Table2[NewPointsHome],Table2[GameDate], "&lt;=" &amp; $A56, Table2[HomeTeam], N$1)</f>
        <v>6</v>
      </c>
      <c r="O56" s="145">
        <f>SUMIFS(Table2[NewPointsAway],Table2[GameDate], "&lt;=" &amp; $A56, Table2[AwayTeam], O$1)+SUMIFS(Table2[NewPointsHome],Table2[GameDate], "&lt;=" &amp; $A56, Table2[HomeTeam], O$1)</f>
        <v>7</v>
      </c>
      <c r="P56" s="145">
        <f>SUMIFS(Table2[NewPointsAway],Table2[GameDate], "&lt;=" &amp; $A56, Table2[AwayTeam], P$1)+SUMIFS(Table2[NewPointsHome],Table2[GameDate], "&lt;=" &amp; $A56, Table2[HomeTeam], P$1)</f>
        <v>12</v>
      </c>
      <c r="Q56" s="145">
        <f>SUMIFS(Table2[NewPointsAway],Table2[GameDate], "&lt;=" &amp; $A56, Table2[AwayTeam], Q$1)+SUMIFS(Table2[NewPointsHome],Table2[GameDate], "&lt;=" &amp; $A56, Table2[HomeTeam], Q$1)</f>
        <v>12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6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5</v>
      </c>
      <c r="V56" s="145">
        <f>SUMIFS(Table2[NewPointsAway],Table2[GameDate], "&lt;=" &amp; $A56, Table2[AwayTeam], V$1)+SUMIFS(Table2[NewPointsHome],Table2[GameDate], "&lt;=" &amp; $A56, Table2[HomeTeam], V$1)</f>
        <v>7</v>
      </c>
      <c r="W56" s="145">
        <f>SUMIFS(Table2[NewPointsAway],Table2[GameDate], "&lt;=" &amp; $A56, Table2[AwayTeam], W$1)+SUMIFS(Table2[NewPointsHome],Table2[GameDate], "&lt;=" &amp; $A56, Table2[HomeTeam], W$1)</f>
        <v>10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10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12</v>
      </c>
      <c r="AF56" s="145">
        <f>SUMIFS(Table2[NewPointsAway],Table2[GameDate], "&lt;=" &amp; $A56, Table2[AwayTeam], AF$1)+SUMIFS(Table2[NewPointsHome],Table2[GameDate], "&lt;=" &amp; $A56, Table2[HomeTeam], AF$1)</f>
        <v>10</v>
      </c>
      <c r="AG56" s="145">
        <f>SUMIFS(Table2[NewPointsAway],Table2[GameDate], "&lt;=" &amp; $A56, Table2[AwayTeam], AG$1)+SUMIFS(Table2[NewPointsHome],Table2[GameDate], "&lt;=" &amp; $A56, Table2[HomeTeam], AG$1)</f>
        <v>10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7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6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6</v>
      </c>
      <c r="G57" s="145">
        <f>SUMIFS(Table2[NewPointsAway],Table2[GameDate], "&lt;=" &amp; $A57, Table2[AwayTeam], G$1)+SUMIFS(Table2[NewPointsHome],Table2[GameDate], "&lt;=" &amp; $A57, Table2[HomeTeam], G$1)</f>
        <v>3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12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7</v>
      </c>
      <c r="M57" s="145">
        <f>SUMIFS(Table2[NewPointsAway],Table2[GameDate], "&lt;=" &amp; $A57, Table2[AwayTeam], M$1)+SUMIFS(Table2[NewPointsHome],Table2[GameDate], "&lt;=" &amp; $A57, Table2[HomeTeam], M$1)</f>
        <v>8</v>
      </c>
      <c r="N57" s="145">
        <f>SUMIFS(Table2[NewPointsAway],Table2[GameDate], "&lt;=" &amp; $A57, Table2[AwayTeam], N$1)+SUMIFS(Table2[NewPointsHome],Table2[GameDate], "&lt;=" &amp; $A57, Table2[HomeTeam], N$1)</f>
        <v>6</v>
      </c>
      <c r="O57" s="145">
        <f>SUMIFS(Table2[NewPointsAway],Table2[GameDate], "&lt;=" &amp; $A57, Table2[AwayTeam], O$1)+SUMIFS(Table2[NewPointsHome],Table2[GameDate], "&lt;=" &amp; $A57, Table2[HomeTeam], O$1)</f>
        <v>7</v>
      </c>
      <c r="P57" s="145">
        <f>SUMIFS(Table2[NewPointsAway],Table2[GameDate], "&lt;=" &amp; $A57, Table2[AwayTeam], P$1)+SUMIFS(Table2[NewPointsHome],Table2[GameDate], "&lt;=" &amp; $A57, Table2[HomeTeam], P$1)</f>
        <v>12</v>
      </c>
      <c r="Q57" s="145">
        <f>SUMIFS(Table2[NewPointsAway],Table2[GameDate], "&lt;=" &amp; $A57, Table2[AwayTeam], Q$1)+SUMIFS(Table2[NewPointsHome],Table2[GameDate], "&lt;=" &amp; $A57, Table2[HomeTeam], Q$1)</f>
        <v>12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6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5</v>
      </c>
      <c r="V57" s="145">
        <f>SUMIFS(Table2[NewPointsAway],Table2[GameDate], "&lt;=" &amp; $A57, Table2[AwayTeam], V$1)+SUMIFS(Table2[NewPointsHome],Table2[GameDate], "&lt;=" &amp; $A57, Table2[HomeTeam], V$1)</f>
        <v>7</v>
      </c>
      <c r="W57" s="145">
        <f>SUMIFS(Table2[NewPointsAway],Table2[GameDate], "&lt;=" &amp; $A57, Table2[AwayTeam], W$1)+SUMIFS(Table2[NewPointsHome],Table2[GameDate], "&lt;=" &amp; $A57, Table2[HomeTeam], W$1)</f>
        <v>10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10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12</v>
      </c>
      <c r="AF57" s="145">
        <f>SUMIFS(Table2[NewPointsAway],Table2[GameDate], "&lt;=" &amp; $A57, Table2[AwayTeam], AF$1)+SUMIFS(Table2[NewPointsHome],Table2[GameDate], "&lt;=" &amp; $A57, Table2[HomeTeam], AF$1)</f>
        <v>10</v>
      </c>
      <c r="AG57" s="145">
        <f>SUMIFS(Table2[NewPointsAway],Table2[GameDate], "&lt;=" &amp; $A57, Table2[AwayTeam], AG$1)+SUMIFS(Table2[NewPointsHome],Table2[GameDate], "&lt;=" &amp; $A57, Table2[HomeTeam], AG$1)</f>
        <v>10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7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6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6</v>
      </c>
      <c r="G58" s="145">
        <f>SUMIFS(Table2[NewPointsAway],Table2[GameDate], "&lt;=" &amp; $A58, Table2[AwayTeam], G$1)+SUMIFS(Table2[NewPointsHome],Table2[GameDate], "&lt;=" &amp; $A58, Table2[HomeTeam], G$1)</f>
        <v>3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12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7</v>
      </c>
      <c r="M58" s="145">
        <f>SUMIFS(Table2[NewPointsAway],Table2[GameDate], "&lt;=" &amp; $A58, Table2[AwayTeam], M$1)+SUMIFS(Table2[NewPointsHome],Table2[GameDate], "&lt;=" &amp; $A58, Table2[HomeTeam], M$1)</f>
        <v>8</v>
      </c>
      <c r="N58" s="145">
        <f>SUMIFS(Table2[NewPointsAway],Table2[GameDate], "&lt;=" &amp; $A58, Table2[AwayTeam], N$1)+SUMIFS(Table2[NewPointsHome],Table2[GameDate], "&lt;=" &amp; $A58, Table2[HomeTeam], N$1)</f>
        <v>6</v>
      </c>
      <c r="O58" s="145">
        <f>SUMIFS(Table2[NewPointsAway],Table2[GameDate], "&lt;=" &amp; $A58, Table2[AwayTeam], O$1)+SUMIFS(Table2[NewPointsHome],Table2[GameDate], "&lt;=" &amp; $A58, Table2[HomeTeam], O$1)</f>
        <v>7</v>
      </c>
      <c r="P58" s="145">
        <f>SUMIFS(Table2[NewPointsAway],Table2[GameDate], "&lt;=" &amp; $A58, Table2[AwayTeam], P$1)+SUMIFS(Table2[NewPointsHome],Table2[GameDate], "&lt;=" &amp; $A58, Table2[HomeTeam], P$1)</f>
        <v>12</v>
      </c>
      <c r="Q58" s="145">
        <f>SUMIFS(Table2[NewPointsAway],Table2[GameDate], "&lt;=" &amp; $A58, Table2[AwayTeam], Q$1)+SUMIFS(Table2[NewPointsHome],Table2[GameDate], "&lt;=" &amp; $A58, Table2[HomeTeam], Q$1)</f>
        <v>12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6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5</v>
      </c>
      <c r="V58" s="145">
        <f>SUMIFS(Table2[NewPointsAway],Table2[GameDate], "&lt;=" &amp; $A58, Table2[AwayTeam], V$1)+SUMIFS(Table2[NewPointsHome],Table2[GameDate], "&lt;=" &amp; $A58, Table2[HomeTeam], V$1)</f>
        <v>7</v>
      </c>
      <c r="W58" s="145">
        <f>SUMIFS(Table2[NewPointsAway],Table2[GameDate], "&lt;=" &amp; $A58, Table2[AwayTeam], W$1)+SUMIFS(Table2[NewPointsHome],Table2[GameDate], "&lt;=" &amp; $A58, Table2[HomeTeam], W$1)</f>
        <v>10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10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12</v>
      </c>
      <c r="AF58" s="145">
        <f>SUMIFS(Table2[NewPointsAway],Table2[GameDate], "&lt;=" &amp; $A58, Table2[AwayTeam], AF$1)+SUMIFS(Table2[NewPointsHome],Table2[GameDate], "&lt;=" &amp; $A58, Table2[HomeTeam], AF$1)</f>
        <v>10</v>
      </c>
      <c r="AG58" s="145">
        <f>SUMIFS(Table2[NewPointsAway],Table2[GameDate], "&lt;=" &amp; $A58, Table2[AwayTeam], AG$1)+SUMIFS(Table2[NewPointsHome],Table2[GameDate], "&lt;=" &amp; $A58, Table2[HomeTeam], AG$1)</f>
        <v>10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7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6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6</v>
      </c>
      <c r="G59" s="145">
        <f>SUMIFS(Table2[NewPointsAway],Table2[GameDate], "&lt;=" &amp; $A59, Table2[AwayTeam], G$1)+SUMIFS(Table2[NewPointsHome],Table2[GameDate], "&lt;=" &amp; $A59, Table2[HomeTeam], G$1)</f>
        <v>3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12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7</v>
      </c>
      <c r="M59" s="145">
        <f>SUMIFS(Table2[NewPointsAway],Table2[GameDate], "&lt;=" &amp; $A59, Table2[AwayTeam], M$1)+SUMIFS(Table2[NewPointsHome],Table2[GameDate], "&lt;=" &amp; $A59, Table2[HomeTeam], M$1)</f>
        <v>8</v>
      </c>
      <c r="N59" s="145">
        <f>SUMIFS(Table2[NewPointsAway],Table2[GameDate], "&lt;=" &amp; $A59, Table2[AwayTeam], N$1)+SUMIFS(Table2[NewPointsHome],Table2[GameDate], "&lt;=" &amp; $A59, Table2[HomeTeam], N$1)</f>
        <v>6</v>
      </c>
      <c r="O59" s="145">
        <f>SUMIFS(Table2[NewPointsAway],Table2[GameDate], "&lt;=" &amp; $A59, Table2[AwayTeam], O$1)+SUMIFS(Table2[NewPointsHome],Table2[GameDate], "&lt;=" &amp; $A59, Table2[HomeTeam], O$1)</f>
        <v>7</v>
      </c>
      <c r="P59" s="145">
        <f>SUMIFS(Table2[NewPointsAway],Table2[GameDate], "&lt;=" &amp; $A59, Table2[AwayTeam], P$1)+SUMIFS(Table2[NewPointsHome],Table2[GameDate], "&lt;=" &amp; $A59, Table2[HomeTeam], P$1)</f>
        <v>12</v>
      </c>
      <c r="Q59" s="145">
        <f>SUMIFS(Table2[NewPointsAway],Table2[GameDate], "&lt;=" &amp; $A59, Table2[AwayTeam], Q$1)+SUMIFS(Table2[NewPointsHome],Table2[GameDate], "&lt;=" &amp; $A59, Table2[HomeTeam], Q$1)</f>
        <v>12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6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5</v>
      </c>
      <c r="V59" s="145">
        <f>SUMIFS(Table2[NewPointsAway],Table2[GameDate], "&lt;=" &amp; $A59, Table2[AwayTeam], V$1)+SUMIFS(Table2[NewPointsHome],Table2[GameDate], "&lt;=" &amp; $A59, Table2[HomeTeam], V$1)</f>
        <v>7</v>
      </c>
      <c r="W59" s="145">
        <f>SUMIFS(Table2[NewPointsAway],Table2[GameDate], "&lt;=" &amp; $A59, Table2[AwayTeam], W$1)+SUMIFS(Table2[NewPointsHome],Table2[GameDate], "&lt;=" &amp; $A59, Table2[HomeTeam], W$1)</f>
        <v>10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10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12</v>
      </c>
      <c r="AF59" s="145">
        <f>SUMIFS(Table2[NewPointsAway],Table2[GameDate], "&lt;=" &amp; $A59, Table2[AwayTeam], AF$1)+SUMIFS(Table2[NewPointsHome],Table2[GameDate], "&lt;=" &amp; $A59, Table2[HomeTeam], AF$1)</f>
        <v>10</v>
      </c>
      <c r="AG59" s="145">
        <f>SUMIFS(Table2[NewPointsAway],Table2[GameDate], "&lt;=" &amp; $A59, Table2[AwayTeam], AG$1)+SUMIFS(Table2[NewPointsHome],Table2[GameDate], "&lt;=" &amp; $A59, Table2[HomeTeam], AG$1)</f>
        <v>10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7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6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6</v>
      </c>
      <c r="G60" s="145">
        <f>SUMIFS(Table2[NewPointsAway],Table2[GameDate], "&lt;=" &amp; $A60, Table2[AwayTeam], G$1)+SUMIFS(Table2[NewPointsHome],Table2[GameDate], "&lt;=" &amp; $A60, Table2[HomeTeam], G$1)</f>
        <v>3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12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7</v>
      </c>
      <c r="M60" s="145">
        <f>SUMIFS(Table2[NewPointsAway],Table2[GameDate], "&lt;=" &amp; $A60, Table2[AwayTeam], M$1)+SUMIFS(Table2[NewPointsHome],Table2[GameDate], "&lt;=" &amp; $A60, Table2[HomeTeam], M$1)</f>
        <v>8</v>
      </c>
      <c r="N60" s="145">
        <f>SUMIFS(Table2[NewPointsAway],Table2[GameDate], "&lt;=" &amp; $A60, Table2[AwayTeam], N$1)+SUMIFS(Table2[NewPointsHome],Table2[GameDate], "&lt;=" &amp; $A60, Table2[HomeTeam], N$1)</f>
        <v>6</v>
      </c>
      <c r="O60" s="145">
        <f>SUMIFS(Table2[NewPointsAway],Table2[GameDate], "&lt;=" &amp; $A60, Table2[AwayTeam], O$1)+SUMIFS(Table2[NewPointsHome],Table2[GameDate], "&lt;=" &amp; $A60, Table2[HomeTeam], O$1)</f>
        <v>7</v>
      </c>
      <c r="P60" s="145">
        <f>SUMIFS(Table2[NewPointsAway],Table2[GameDate], "&lt;=" &amp; $A60, Table2[AwayTeam], P$1)+SUMIFS(Table2[NewPointsHome],Table2[GameDate], "&lt;=" &amp; $A60, Table2[HomeTeam], P$1)</f>
        <v>12</v>
      </c>
      <c r="Q60" s="145">
        <f>SUMIFS(Table2[NewPointsAway],Table2[GameDate], "&lt;=" &amp; $A60, Table2[AwayTeam], Q$1)+SUMIFS(Table2[NewPointsHome],Table2[GameDate], "&lt;=" &amp; $A60, Table2[HomeTeam], Q$1)</f>
        <v>12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6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5</v>
      </c>
      <c r="V60" s="145">
        <f>SUMIFS(Table2[NewPointsAway],Table2[GameDate], "&lt;=" &amp; $A60, Table2[AwayTeam], V$1)+SUMIFS(Table2[NewPointsHome],Table2[GameDate], "&lt;=" &amp; $A60, Table2[HomeTeam], V$1)</f>
        <v>7</v>
      </c>
      <c r="W60" s="145">
        <f>SUMIFS(Table2[NewPointsAway],Table2[GameDate], "&lt;=" &amp; $A60, Table2[AwayTeam], W$1)+SUMIFS(Table2[NewPointsHome],Table2[GameDate], "&lt;=" &amp; $A60, Table2[HomeTeam], W$1)</f>
        <v>10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10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12</v>
      </c>
      <c r="AF60" s="145">
        <f>SUMIFS(Table2[NewPointsAway],Table2[GameDate], "&lt;=" &amp; $A60, Table2[AwayTeam], AF$1)+SUMIFS(Table2[NewPointsHome],Table2[GameDate], "&lt;=" &amp; $A60, Table2[HomeTeam], AF$1)</f>
        <v>10</v>
      </c>
      <c r="AG60" s="145">
        <f>SUMIFS(Table2[NewPointsAway],Table2[GameDate], "&lt;=" &amp; $A60, Table2[AwayTeam], AG$1)+SUMIFS(Table2[NewPointsHome],Table2[GameDate], "&lt;=" &amp; $A60, Table2[HomeTeam], AG$1)</f>
        <v>10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7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6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6</v>
      </c>
      <c r="G61" s="145">
        <f>SUMIFS(Table2[NewPointsAway],Table2[GameDate], "&lt;=" &amp; $A61, Table2[AwayTeam], G$1)+SUMIFS(Table2[NewPointsHome],Table2[GameDate], "&lt;=" &amp; $A61, Table2[HomeTeam], G$1)</f>
        <v>3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12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7</v>
      </c>
      <c r="M61" s="145">
        <f>SUMIFS(Table2[NewPointsAway],Table2[GameDate], "&lt;=" &amp; $A61, Table2[AwayTeam], M$1)+SUMIFS(Table2[NewPointsHome],Table2[GameDate], "&lt;=" &amp; $A61, Table2[HomeTeam], M$1)</f>
        <v>8</v>
      </c>
      <c r="N61" s="145">
        <f>SUMIFS(Table2[NewPointsAway],Table2[GameDate], "&lt;=" &amp; $A61, Table2[AwayTeam], N$1)+SUMIFS(Table2[NewPointsHome],Table2[GameDate], "&lt;=" &amp; $A61, Table2[HomeTeam], N$1)</f>
        <v>6</v>
      </c>
      <c r="O61" s="145">
        <f>SUMIFS(Table2[NewPointsAway],Table2[GameDate], "&lt;=" &amp; $A61, Table2[AwayTeam], O$1)+SUMIFS(Table2[NewPointsHome],Table2[GameDate], "&lt;=" &amp; $A61, Table2[HomeTeam], O$1)</f>
        <v>7</v>
      </c>
      <c r="P61" s="145">
        <f>SUMIFS(Table2[NewPointsAway],Table2[GameDate], "&lt;=" &amp; $A61, Table2[AwayTeam], P$1)+SUMIFS(Table2[NewPointsHome],Table2[GameDate], "&lt;=" &amp; $A61, Table2[HomeTeam], P$1)</f>
        <v>12</v>
      </c>
      <c r="Q61" s="145">
        <f>SUMIFS(Table2[NewPointsAway],Table2[GameDate], "&lt;=" &amp; $A61, Table2[AwayTeam], Q$1)+SUMIFS(Table2[NewPointsHome],Table2[GameDate], "&lt;=" &amp; $A61, Table2[HomeTeam], Q$1)</f>
        <v>12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6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5</v>
      </c>
      <c r="V61" s="145">
        <f>SUMIFS(Table2[NewPointsAway],Table2[GameDate], "&lt;=" &amp; $A61, Table2[AwayTeam], V$1)+SUMIFS(Table2[NewPointsHome],Table2[GameDate], "&lt;=" &amp; $A61, Table2[HomeTeam], V$1)</f>
        <v>7</v>
      </c>
      <c r="W61" s="145">
        <f>SUMIFS(Table2[NewPointsAway],Table2[GameDate], "&lt;=" &amp; $A61, Table2[AwayTeam], W$1)+SUMIFS(Table2[NewPointsHome],Table2[GameDate], "&lt;=" &amp; $A61, Table2[HomeTeam], W$1)</f>
        <v>10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10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12</v>
      </c>
      <c r="AF61" s="145">
        <f>SUMIFS(Table2[NewPointsAway],Table2[GameDate], "&lt;=" &amp; $A61, Table2[AwayTeam], AF$1)+SUMIFS(Table2[NewPointsHome],Table2[GameDate], "&lt;=" &amp; $A61, Table2[HomeTeam], AF$1)</f>
        <v>10</v>
      </c>
      <c r="AG61" s="145">
        <f>SUMIFS(Table2[NewPointsAway],Table2[GameDate], "&lt;=" &amp; $A61, Table2[AwayTeam], AG$1)+SUMIFS(Table2[NewPointsHome],Table2[GameDate], "&lt;=" &amp; $A61, Table2[HomeTeam], AG$1)</f>
        <v>10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7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6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6</v>
      </c>
      <c r="G62" s="145">
        <f>SUMIFS(Table2[NewPointsAway],Table2[GameDate], "&lt;=" &amp; $A62, Table2[AwayTeam], G$1)+SUMIFS(Table2[NewPointsHome],Table2[GameDate], "&lt;=" &amp; $A62, Table2[HomeTeam], G$1)</f>
        <v>3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12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7</v>
      </c>
      <c r="M62" s="145">
        <f>SUMIFS(Table2[NewPointsAway],Table2[GameDate], "&lt;=" &amp; $A62, Table2[AwayTeam], M$1)+SUMIFS(Table2[NewPointsHome],Table2[GameDate], "&lt;=" &amp; $A62, Table2[HomeTeam], M$1)</f>
        <v>8</v>
      </c>
      <c r="N62" s="145">
        <f>SUMIFS(Table2[NewPointsAway],Table2[GameDate], "&lt;=" &amp; $A62, Table2[AwayTeam], N$1)+SUMIFS(Table2[NewPointsHome],Table2[GameDate], "&lt;=" &amp; $A62, Table2[HomeTeam], N$1)</f>
        <v>6</v>
      </c>
      <c r="O62" s="145">
        <f>SUMIFS(Table2[NewPointsAway],Table2[GameDate], "&lt;=" &amp; $A62, Table2[AwayTeam], O$1)+SUMIFS(Table2[NewPointsHome],Table2[GameDate], "&lt;=" &amp; $A62, Table2[HomeTeam], O$1)</f>
        <v>7</v>
      </c>
      <c r="P62" s="145">
        <f>SUMIFS(Table2[NewPointsAway],Table2[GameDate], "&lt;=" &amp; $A62, Table2[AwayTeam], P$1)+SUMIFS(Table2[NewPointsHome],Table2[GameDate], "&lt;=" &amp; $A62, Table2[HomeTeam], P$1)</f>
        <v>12</v>
      </c>
      <c r="Q62" s="145">
        <f>SUMIFS(Table2[NewPointsAway],Table2[GameDate], "&lt;=" &amp; $A62, Table2[AwayTeam], Q$1)+SUMIFS(Table2[NewPointsHome],Table2[GameDate], "&lt;=" &amp; $A62, Table2[HomeTeam], Q$1)</f>
        <v>12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6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5</v>
      </c>
      <c r="V62" s="145">
        <f>SUMIFS(Table2[NewPointsAway],Table2[GameDate], "&lt;=" &amp; $A62, Table2[AwayTeam], V$1)+SUMIFS(Table2[NewPointsHome],Table2[GameDate], "&lt;=" &amp; $A62, Table2[HomeTeam], V$1)</f>
        <v>7</v>
      </c>
      <c r="W62" s="145">
        <f>SUMIFS(Table2[NewPointsAway],Table2[GameDate], "&lt;=" &amp; $A62, Table2[AwayTeam], W$1)+SUMIFS(Table2[NewPointsHome],Table2[GameDate], "&lt;=" &amp; $A62, Table2[HomeTeam], W$1)</f>
        <v>10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10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12</v>
      </c>
      <c r="AF62" s="145">
        <f>SUMIFS(Table2[NewPointsAway],Table2[GameDate], "&lt;=" &amp; $A62, Table2[AwayTeam], AF$1)+SUMIFS(Table2[NewPointsHome],Table2[GameDate], "&lt;=" &amp; $A62, Table2[HomeTeam], AF$1)</f>
        <v>10</v>
      </c>
      <c r="AG62" s="145">
        <f>SUMIFS(Table2[NewPointsAway],Table2[GameDate], "&lt;=" &amp; $A62, Table2[AwayTeam], AG$1)+SUMIFS(Table2[NewPointsHome],Table2[GameDate], "&lt;=" &amp; $A62, Table2[HomeTeam], AG$1)</f>
        <v>10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7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6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6</v>
      </c>
      <c r="G63" s="145">
        <f>SUMIFS(Table2[NewPointsAway],Table2[GameDate], "&lt;=" &amp; $A63, Table2[AwayTeam], G$1)+SUMIFS(Table2[NewPointsHome],Table2[GameDate], "&lt;=" &amp; $A63, Table2[HomeTeam], G$1)</f>
        <v>3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12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7</v>
      </c>
      <c r="M63" s="145">
        <f>SUMIFS(Table2[NewPointsAway],Table2[GameDate], "&lt;=" &amp; $A63, Table2[AwayTeam], M$1)+SUMIFS(Table2[NewPointsHome],Table2[GameDate], "&lt;=" &amp; $A63, Table2[HomeTeam], M$1)</f>
        <v>8</v>
      </c>
      <c r="N63" s="145">
        <f>SUMIFS(Table2[NewPointsAway],Table2[GameDate], "&lt;=" &amp; $A63, Table2[AwayTeam], N$1)+SUMIFS(Table2[NewPointsHome],Table2[GameDate], "&lt;=" &amp; $A63, Table2[HomeTeam], N$1)</f>
        <v>6</v>
      </c>
      <c r="O63" s="145">
        <f>SUMIFS(Table2[NewPointsAway],Table2[GameDate], "&lt;=" &amp; $A63, Table2[AwayTeam], O$1)+SUMIFS(Table2[NewPointsHome],Table2[GameDate], "&lt;=" &amp; $A63, Table2[HomeTeam], O$1)</f>
        <v>7</v>
      </c>
      <c r="P63" s="145">
        <f>SUMIFS(Table2[NewPointsAway],Table2[GameDate], "&lt;=" &amp; $A63, Table2[AwayTeam], P$1)+SUMIFS(Table2[NewPointsHome],Table2[GameDate], "&lt;=" &amp; $A63, Table2[HomeTeam], P$1)</f>
        <v>12</v>
      </c>
      <c r="Q63" s="145">
        <f>SUMIFS(Table2[NewPointsAway],Table2[GameDate], "&lt;=" &amp; $A63, Table2[AwayTeam], Q$1)+SUMIFS(Table2[NewPointsHome],Table2[GameDate], "&lt;=" &amp; $A63, Table2[HomeTeam], Q$1)</f>
        <v>12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6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5</v>
      </c>
      <c r="V63" s="145">
        <f>SUMIFS(Table2[NewPointsAway],Table2[GameDate], "&lt;=" &amp; $A63, Table2[AwayTeam], V$1)+SUMIFS(Table2[NewPointsHome],Table2[GameDate], "&lt;=" &amp; $A63, Table2[HomeTeam], V$1)</f>
        <v>7</v>
      </c>
      <c r="W63" s="145">
        <f>SUMIFS(Table2[NewPointsAway],Table2[GameDate], "&lt;=" &amp; $A63, Table2[AwayTeam], W$1)+SUMIFS(Table2[NewPointsHome],Table2[GameDate], "&lt;=" &amp; $A63, Table2[HomeTeam], W$1)</f>
        <v>10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10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12</v>
      </c>
      <c r="AF63" s="145">
        <f>SUMIFS(Table2[NewPointsAway],Table2[GameDate], "&lt;=" &amp; $A63, Table2[AwayTeam], AF$1)+SUMIFS(Table2[NewPointsHome],Table2[GameDate], "&lt;=" &amp; $A63, Table2[HomeTeam], AF$1)</f>
        <v>10</v>
      </c>
      <c r="AG63" s="145">
        <f>SUMIFS(Table2[NewPointsAway],Table2[GameDate], "&lt;=" &amp; $A63, Table2[AwayTeam], AG$1)+SUMIFS(Table2[NewPointsHome],Table2[GameDate], "&lt;=" &amp; $A63, Table2[HomeTeam], AG$1)</f>
        <v>10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7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6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6</v>
      </c>
      <c r="G64" s="145">
        <f>SUMIFS(Table2[NewPointsAway],Table2[GameDate], "&lt;=" &amp; $A64, Table2[AwayTeam], G$1)+SUMIFS(Table2[NewPointsHome],Table2[GameDate], "&lt;=" &amp; $A64, Table2[HomeTeam], G$1)</f>
        <v>3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12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7</v>
      </c>
      <c r="M64" s="145">
        <f>SUMIFS(Table2[NewPointsAway],Table2[GameDate], "&lt;=" &amp; $A64, Table2[AwayTeam], M$1)+SUMIFS(Table2[NewPointsHome],Table2[GameDate], "&lt;=" &amp; $A64, Table2[HomeTeam], M$1)</f>
        <v>8</v>
      </c>
      <c r="N64" s="145">
        <f>SUMIFS(Table2[NewPointsAway],Table2[GameDate], "&lt;=" &amp; $A64, Table2[AwayTeam], N$1)+SUMIFS(Table2[NewPointsHome],Table2[GameDate], "&lt;=" &amp; $A64, Table2[HomeTeam], N$1)</f>
        <v>6</v>
      </c>
      <c r="O64" s="145">
        <f>SUMIFS(Table2[NewPointsAway],Table2[GameDate], "&lt;=" &amp; $A64, Table2[AwayTeam], O$1)+SUMIFS(Table2[NewPointsHome],Table2[GameDate], "&lt;=" &amp; $A64, Table2[HomeTeam], O$1)</f>
        <v>7</v>
      </c>
      <c r="P64" s="145">
        <f>SUMIFS(Table2[NewPointsAway],Table2[GameDate], "&lt;=" &amp; $A64, Table2[AwayTeam], P$1)+SUMIFS(Table2[NewPointsHome],Table2[GameDate], "&lt;=" &amp; $A64, Table2[HomeTeam], P$1)</f>
        <v>12</v>
      </c>
      <c r="Q64" s="145">
        <f>SUMIFS(Table2[NewPointsAway],Table2[GameDate], "&lt;=" &amp; $A64, Table2[AwayTeam], Q$1)+SUMIFS(Table2[NewPointsHome],Table2[GameDate], "&lt;=" &amp; $A64, Table2[HomeTeam], Q$1)</f>
        <v>12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6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5</v>
      </c>
      <c r="V64" s="145">
        <f>SUMIFS(Table2[NewPointsAway],Table2[GameDate], "&lt;=" &amp; $A64, Table2[AwayTeam], V$1)+SUMIFS(Table2[NewPointsHome],Table2[GameDate], "&lt;=" &amp; $A64, Table2[HomeTeam], V$1)</f>
        <v>7</v>
      </c>
      <c r="W64" s="145">
        <f>SUMIFS(Table2[NewPointsAway],Table2[GameDate], "&lt;=" &amp; $A64, Table2[AwayTeam], W$1)+SUMIFS(Table2[NewPointsHome],Table2[GameDate], "&lt;=" &amp; $A64, Table2[HomeTeam], W$1)</f>
        <v>10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10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12</v>
      </c>
      <c r="AF64" s="145">
        <f>SUMIFS(Table2[NewPointsAway],Table2[GameDate], "&lt;=" &amp; $A64, Table2[AwayTeam], AF$1)+SUMIFS(Table2[NewPointsHome],Table2[GameDate], "&lt;=" &amp; $A64, Table2[HomeTeam], AF$1)</f>
        <v>10</v>
      </c>
      <c r="AG64" s="145">
        <f>SUMIFS(Table2[NewPointsAway],Table2[GameDate], "&lt;=" &amp; $A64, Table2[AwayTeam], AG$1)+SUMIFS(Table2[NewPointsHome],Table2[GameDate], "&lt;=" &amp; $A64, Table2[HomeTeam], AG$1)</f>
        <v>10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7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6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6</v>
      </c>
      <c r="G65" s="145">
        <f>SUMIFS(Table2[NewPointsAway],Table2[GameDate], "&lt;=" &amp; $A65, Table2[AwayTeam], G$1)+SUMIFS(Table2[NewPointsHome],Table2[GameDate], "&lt;=" &amp; $A65, Table2[HomeTeam], G$1)</f>
        <v>3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12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7</v>
      </c>
      <c r="M65" s="145">
        <f>SUMIFS(Table2[NewPointsAway],Table2[GameDate], "&lt;=" &amp; $A65, Table2[AwayTeam], M$1)+SUMIFS(Table2[NewPointsHome],Table2[GameDate], "&lt;=" &amp; $A65, Table2[HomeTeam], M$1)</f>
        <v>8</v>
      </c>
      <c r="N65" s="145">
        <f>SUMIFS(Table2[NewPointsAway],Table2[GameDate], "&lt;=" &amp; $A65, Table2[AwayTeam], N$1)+SUMIFS(Table2[NewPointsHome],Table2[GameDate], "&lt;=" &amp; $A65, Table2[HomeTeam], N$1)</f>
        <v>6</v>
      </c>
      <c r="O65" s="145">
        <f>SUMIFS(Table2[NewPointsAway],Table2[GameDate], "&lt;=" &amp; $A65, Table2[AwayTeam], O$1)+SUMIFS(Table2[NewPointsHome],Table2[GameDate], "&lt;=" &amp; $A65, Table2[HomeTeam], O$1)</f>
        <v>7</v>
      </c>
      <c r="P65" s="145">
        <f>SUMIFS(Table2[NewPointsAway],Table2[GameDate], "&lt;=" &amp; $A65, Table2[AwayTeam], P$1)+SUMIFS(Table2[NewPointsHome],Table2[GameDate], "&lt;=" &amp; $A65, Table2[HomeTeam], P$1)</f>
        <v>12</v>
      </c>
      <c r="Q65" s="145">
        <f>SUMIFS(Table2[NewPointsAway],Table2[GameDate], "&lt;=" &amp; $A65, Table2[AwayTeam], Q$1)+SUMIFS(Table2[NewPointsHome],Table2[GameDate], "&lt;=" &amp; $A65, Table2[HomeTeam], Q$1)</f>
        <v>12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6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5</v>
      </c>
      <c r="V65" s="145">
        <f>SUMIFS(Table2[NewPointsAway],Table2[GameDate], "&lt;=" &amp; $A65, Table2[AwayTeam], V$1)+SUMIFS(Table2[NewPointsHome],Table2[GameDate], "&lt;=" &amp; $A65, Table2[HomeTeam], V$1)</f>
        <v>7</v>
      </c>
      <c r="W65" s="145">
        <f>SUMIFS(Table2[NewPointsAway],Table2[GameDate], "&lt;=" &amp; $A65, Table2[AwayTeam], W$1)+SUMIFS(Table2[NewPointsHome],Table2[GameDate], "&lt;=" &amp; $A65, Table2[HomeTeam], W$1)</f>
        <v>10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10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12</v>
      </c>
      <c r="AF65" s="145">
        <f>SUMIFS(Table2[NewPointsAway],Table2[GameDate], "&lt;=" &amp; $A65, Table2[AwayTeam], AF$1)+SUMIFS(Table2[NewPointsHome],Table2[GameDate], "&lt;=" &amp; $A65, Table2[HomeTeam], AF$1)</f>
        <v>10</v>
      </c>
      <c r="AG65" s="145">
        <f>SUMIFS(Table2[NewPointsAway],Table2[GameDate], "&lt;=" &amp; $A65, Table2[AwayTeam], AG$1)+SUMIFS(Table2[NewPointsHome],Table2[GameDate], "&lt;=" &amp; $A65, Table2[HomeTeam], AG$1)</f>
        <v>10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7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6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6</v>
      </c>
      <c r="G66" s="145">
        <f>SUMIFS(Table2[NewPointsAway],Table2[GameDate], "&lt;=" &amp; $A66, Table2[AwayTeam], G$1)+SUMIFS(Table2[NewPointsHome],Table2[GameDate], "&lt;=" &amp; $A66, Table2[HomeTeam], G$1)</f>
        <v>3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12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7</v>
      </c>
      <c r="M66" s="145">
        <f>SUMIFS(Table2[NewPointsAway],Table2[GameDate], "&lt;=" &amp; $A66, Table2[AwayTeam], M$1)+SUMIFS(Table2[NewPointsHome],Table2[GameDate], "&lt;=" &amp; $A66, Table2[HomeTeam], M$1)</f>
        <v>8</v>
      </c>
      <c r="N66" s="145">
        <f>SUMIFS(Table2[NewPointsAway],Table2[GameDate], "&lt;=" &amp; $A66, Table2[AwayTeam], N$1)+SUMIFS(Table2[NewPointsHome],Table2[GameDate], "&lt;=" &amp; $A66, Table2[HomeTeam], N$1)</f>
        <v>6</v>
      </c>
      <c r="O66" s="145">
        <f>SUMIFS(Table2[NewPointsAway],Table2[GameDate], "&lt;=" &amp; $A66, Table2[AwayTeam], O$1)+SUMIFS(Table2[NewPointsHome],Table2[GameDate], "&lt;=" &amp; $A66, Table2[HomeTeam], O$1)</f>
        <v>7</v>
      </c>
      <c r="P66" s="145">
        <f>SUMIFS(Table2[NewPointsAway],Table2[GameDate], "&lt;=" &amp; $A66, Table2[AwayTeam], P$1)+SUMIFS(Table2[NewPointsHome],Table2[GameDate], "&lt;=" &amp; $A66, Table2[HomeTeam], P$1)</f>
        <v>12</v>
      </c>
      <c r="Q66" s="145">
        <f>SUMIFS(Table2[NewPointsAway],Table2[GameDate], "&lt;=" &amp; $A66, Table2[AwayTeam], Q$1)+SUMIFS(Table2[NewPointsHome],Table2[GameDate], "&lt;=" &amp; $A66, Table2[HomeTeam], Q$1)</f>
        <v>12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6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5</v>
      </c>
      <c r="V66" s="145">
        <f>SUMIFS(Table2[NewPointsAway],Table2[GameDate], "&lt;=" &amp; $A66, Table2[AwayTeam], V$1)+SUMIFS(Table2[NewPointsHome],Table2[GameDate], "&lt;=" &amp; $A66, Table2[HomeTeam], V$1)</f>
        <v>7</v>
      </c>
      <c r="W66" s="145">
        <f>SUMIFS(Table2[NewPointsAway],Table2[GameDate], "&lt;=" &amp; $A66, Table2[AwayTeam], W$1)+SUMIFS(Table2[NewPointsHome],Table2[GameDate], "&lt;=" &amp; $A66, Table2[HomeTeam], W$1)</f>
        <v>10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10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12</v>
      </c>
      <c r="AF66" s="145">
        <f>SUMIFS(Table2[NewPointsAway],Table2[GameDate], "&lt;=" &amp; $A66, Table2[AwayTeam], AF$1)+SUMIFS(Table2[NewPointsHome],Table2[GameDate], "&lt;=" &amp; $A66, Table2[HomeTeam], AF$1)</f>
        <v>10</v>
      </c>
      <c r="AG66" s="145">
        <f>SUMIFS(Table2[NewPointsAway],Table2[GameDate], "&lt;=" &amp; $A66, Table2[AwayTeam], AG$1)+SUMIFS(Table2[NewPointsHome],Table2[GameDate], "&lt;=" &amp; $A66, Table2[HomeTeam], AG$1)</f>
        <v>10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7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6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6</v>
      </c>
      <c r="G67" s="145">
        <f>SUMIFS(Table2[NewPointsAway],Table2[GameDate], "&lt;=" &amp; $A67, Table2[AwayTeam], G$1)+SUMIFS(Table2[NewPointsHome],Table2[GameDate], "&lt;=" &amp; $A67, Table2[HomeTeam], G$1)</f>
        <v>3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12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7</v>
      </c>
      <c r="M67" s="145">
        <f>SUMIFS(Table2[NewPointsAway],Table2[GameDate], "&lt;=" &amp; $A67, Table2[AwayTeam], M$1)+SUMIFS(Table2[NewPointsHome],Table2[GameDate], "&lt;=" &amp; $A67, Table2[HomeTeam], M$1)</f>
        <v>8</v>
      </c>
      <c r="N67" s="145">
        <f>SUMIFS(Table2[NewPointsAway],Table2[GameDate], "&lt;=" &amp; $A67, Table2[AwayTeam], N$1)+SUMIFS(Table2[NewPointsHome],Table2[GameDate], "&lt;=" &amp; $A67, Table2[HomeTeam], N$1)</f>
        <v>6</v>
      </c>
      <c r="O67" s="145">
        <f>SUMIFS(Table2[NewPointsAway],Table2[GameDate], "&lt;=" &amp; $A67, Table2[AwayTeam], O$1)+SUMIFS(Table2[NewPointsHome],Table2[GameDate], "&lt;=" &amp; $A67, Table2[HomeTeam], O$1)</f>
        <v>7</v>
      </c>
      <c r="P67" s="145">
        <f>SUMIFS(Table2[NewPointsAway],Table2[GameDate], "&lt;=" &amp; $A67, Table2[AwayTeam], P$1)+SUMIFS(Table2[NewPointsHome],Table2[GameDate], "&lt;=" &amp; $A67, Table2[HomeTeam], P$1)</f>
        <v>12</v>
      </c>
      <c r="Q67" s="145">
        <f>SUMIFS(Table2[NewPointsAway],Table2[GameDate], "&lt;=" &amp; $A67, Table2[AwayTeam], Q$1)+SUMIFS(Table2[NewPointsHome],Table2[GameDate], "&lt;=" &amp; $A67, Table2[HomeTeam], Q$1)</f>
        <v>12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6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5</v>
      </c>
      <c r="V67" s="145">
        <f>SUMIFS(Table2[NewPointsAway],Table2[GameDate], "&lt;=" &amp; $A67, Table2[AwayTeam], V$1)+SUMIFS(Table2[NewPointsHome],Table2[GameDate], "&lt;=" &amp; $A67, Table2[HomeTeam], V$1)</f>
        <v>7</v>
      </c>
      <c r="W67" s="145">
        <f>SUMIFS(Table2[NewPointsAway],Table2[GameDate], "&lt;=" &amp; $A67, Table2[AwayTeam], W$1)+SUMIFS(Table2[NewPointsHome],Table2[GameDate], "&lt;=" &amp; $A67, Table2[HomeTeam], W$1)</f>
        <v>10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10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12</v>
      </c>
      <c r="AF67" s="145">
        <f>SUMIFS(Table2[NewPointsAway],Table2[GameDate], "&lt;=" &amp; $A67, Table2[AwayTeam], AF$1)+SUMIFS(Table2[NewPointsHome],Table2[GameDate], "&lt;=" &amp; $A67, Table2[HomeTeam], AF$1)</f>
        <v>10</v>
      </c>
      <c r="AG67" s="145">
        <f>SUMIFS(Table2[NewPointsAway],Table2[GameDate], "&lt;=" &amp; $A67, Table2[AwayTeam], AG$1)+SUMIFS(Table2[NewPointsHome],Table2[GameDate], "&lt;=" &amp; $A67, Table2[HomeTeam], AG$1)</f>
        <v>10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7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6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6</v>
      </c>
      <c r="G68" s="145">
        <f>SUMIFS(Table2[NewPointsAway],Table2[GameDate], "&lt;=" &amp; $A68, Table2[AwayTeam], G$1)+SUMIFS(Table2[NewPointsHome],Table2[GameDate], "&lt;=" &amp; $A68, Table2[HomeTeam], G$1)</f>
        <v>3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12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7</v>
      </c>
      <c r="M68" s="145">
        <f>SUMIFS(Table2[NewPointsAway],Table2[GameDate], "&lt;=" &amp; $A68, Table2[AwayTeam], M$1)+SUMIFS(Table2[NewPointsHome],Table2[GameDate], "&lt;=" &amp; $A68, Table2[HomeTeam], M$1)</f>
        <v>8</v>
      </c>
      <c r="N68" s="145">
        <f>SUMIFS(Table2[NewPointsAway],Table2[GameDate], "&lt;=" &amp; $A68, Table2[AwayTeam], N$1)+SUMIFS(Table2[NewPointsHome],Table2[GameDate], "&lt;=" &amp; $A68, Table2[HomeTeam], N$1)</f>
        <v>6</v>
      </c>
      <c r="O68" s="145">
        <f>SUMIFS(Table2[NewPointsAway],Table2[GameDate], "&lt;=" &amp; $A68, Table2[AwayTeam], O$1)+SUMIFS(Table2[NewPointsHome],Table2[GameDate], "&lt;=" &amp; $A68, Table2[HomeTeam], O$1)</f>
        <v>7</v>
      </c>
      <c r="P68" s="145">
        <f>SUMIFS(Table2[NewPointsAway],Table2[GameDate], "&lt;=" &amp; $A68, Table2[AwayTeam], P$1)+SUMIFS(Table2[NewPointsHome],Table2[GameDate], "&lt;=" &amp; $A68, Table2[HomeTeam], P$1)</f>
        <v>12</v>
      </c>
      <c r="Q68" s="145">
        <f>SUMIFS(Table2[NewPointsAway],Table2[GameDate], "&lt;=" &amp; $A68, Table2[AwayTeam], Q$1)+SUMIFS(Table2[NewPointsHome],Table2[GameDate], "&lt;=" &amp; $A68, Table2[HomeTeam], Q$1)</f>
        <v>12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6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5</v>
      </c>
      <c r="V68" s="145">
        <f>SUMIFS(Table2[NewPointsAway],Table2[GameDate], "&lt;=" &amp; $A68, Table2[AwayTeam], V$1)+SUMIFS(Table2[NewPointsHome],Table2[GameDate], "&lt;=" &amp; $A68, Table2[HomeTeam], V$1)</f>
        <v>7</v>
      </c>
      <c r="W68" s="145">
        <f>SUMIFS(Table2[NewPointsAway],Table2[GameDate], "&lt;=" &amp; $A68, Table2[AwayTeam], W$1)+SUMIFS(Table2[NewPointsHome],Table2[GameDate], "&lt;=" &amp; $A68, Table2[HomeTeam], W$1)</f>
        <v>10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10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12</v>
      </c>
      <c r="AF68" s="145">
        <f>SUMIFS(Table2[NewPointsAway],Table2[GameDate], "&lt;=" &amp; $A68, Table2[AwayTeam], AF$1)+SUMIFS(Table2[NewPointsHome],Table2[GameDate], "&lt;=" &amp; $A68, Table2[HomeTeam], AF$1)</f>
        <v>10</v>
      </c>
      <c r="AG68" s="145">
        <f>SUMIFS(Table2[NewPointsAway],Table2[GameDate], "&lt;=" &amp; $A68, Table2[AwayTeam], AG$1)+SUMIFS(Table2[NewPointsHome],Table2[GameDate], "&lt;=" &amp; $A68, Table2[HomeTeam], AG$1)</f>
        <v>10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7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6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6</v>
      </c>
      <c r="G69" s="145">
        <f>SUMIFS(Table2[NewPointsAway],Table2[GameDate], "&lt;=" &amp; $A69, Table2[AwayTeam], G$1)+SUMIFS(Table2[NewPointsHome],Table2[GameDate], "&lt;=" &amp; $A69, Table2[HomeTeam], G$1)</f>
        <v>3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12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7</v>
      </c>
      <c r="M69" s="145">
        <f>SUMIFS(Table2[NewPointsAway],Table2[GameDate], "&lt;=" &amp; $A69, Table2[AwayTeam], M$1)+SUMIFS(Table2[NewPointsHome],Table2[GameDate], "&lt;=" &amp; $A69, Table2[HomeTeam], M$1)</f>
        <v>8</v>
      </c>
      <c r="N69" s="145">
        <f>SUMIFS(Table2[NewPointsAway],Table2[GameDate], "&lt;=" &amp; $A69, Table2[AwayTeam], N$1)+SUMIFS(Table2[NewPointsHome],Table2[GameDate], "&lt;=" &amp; $A69, Table2[HomeTeam], N$1)</f>
        <v>6</v>
      </c>
      <c r="O69" s="145">
        <f>SUMIFS(Table2[NewPointsAway],Table2[GameDate], "&lt;=" &amp; $A69, Table2[AwayTeam], O$1)+SUMIFS(Table2[NewPointsHome],Table2[GameDate], "&lt;=" &amp; $A69, Table2[HomeTeam], O$1)</f>
        <v>7</v>
      </c>
      <c r="P69" s="145">
        <f>SUMIFS(Table2[NewPointsAway],Table2[GameDate], "&lt;=" &amp; $A69, Table2[AwayTeam], P$1)+SUMIFS(Table2[NewPointsHome],Table2[GameDate], "&lt;=" &amp; $A69, Table2[HomeTeam], P$1)</f>
        <v>12</v>
      </c>
      <c r="Q69" s="145">
        <f>SUMIFS(Table2[NewPointsAway],Table2[GameDate], "&lt;=" &amp; $A69, Table2[AwayTeam], Q$1)+SUMIFS(Table2[NewPointsHome],Table2[GameDate], "&lt;=" &amp; $A69, Table2[HomeTeam], Q$1)</f>
        <v>12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6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5</v>
      </c>
      <c r="V69" s="145">
        <f>SUMIFS(Table2[NewPointsAway],Table2[GameDate], "&lt;=" &amp; $A69, Table2[AwayTeam], V$1)+SUMIFS(Table2[NewPointsHome],Table2[GameDate], "&lt;=" &amp; $A69, Table2[HomeTeam], V$1)</f>
        <v>7</v>
      </c>
      <c r="W69" s="145">
        <f>SUMIFS(Table2[NewPointsAway],Table2[GameDate], "&lt;=" &amp; $A69, Table2[AwayTeam], W$1)+SUMIFS(Table2[NewPointsHome],Table2[GameDate], "&lt;=" &amp; $A69, Table2[HomeTeam], W$1)</f>
        <v>10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10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12</v>
      </c>
      <c r="AF69" s="145">
        <f>SUMIFS(Table2[NewPointsAway],Table2[GameDate], "&lt;=" &amp; $A69, Table2[AwayTeam], AF$1)+SUMIFS(Table2[NewPointsHome],Table2[GameDate], "&lt;=" &amp; $A69, Table2[HomeTeam], AF$1)</f>
        <v>10</v>
      </c>
      <c r="AG69" s="145">
        <f>SUMIFS(Table2[NewPointsAway],Table2[GameDate], "&lt;=" &amp; $A69, Table2[AwayTeam], AG$1)+SUMIFS(Table2[NewPointsHome],Table2[GameDate], "&lt;=" &amp; $A69, Table2[HomeTeam], AG$1)</f>
        <v>10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7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6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6</v>
      </c>
      <c r="G70" s="145">
        <f>SUMIFS(Table2[NewPointsAway],Table2[GameDate], "&lt;=" &amp; $A70, Table2[AwayTeam], G$1)+SUMIFS(Table2[NewPointsHome],Table2[GameDate], "&lt;=" &amp; $A70, Table2[HomeTeam], G$1)</f>
        <v>3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12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7</v>
      </c>
      <c r="M70" s="145">
        <f>SUMIFS(Table2[NewPointsAway],Table2[GameDate], "&lt;=" &amp; $A70, Table2[AwayTeam], M$1)+SUMIFS(Table2[NewPointsHome],Table2[GameDate], "&lt;=" &amp; $A70, Table2[HomeTeam], M$1)</f>
        <v>8</v>
      </c>
      <c r="N70" s="145">
        <f>SUMIFS(Table2[NewPointsAway],Table2[GameDate], "&lt;=" &amp; $A70, Table2[AwayTeam], N$1)+SUMIFS(Table2[NewPointsHome],Table2[GameDate], "&lt;=" &amp; $A70, Table2[HomeTeam], N$1)</f>
        <v>6</v>
      </c>
      <c r="O70" s="145">
        <f>SUMIFS(Table2[NewPointsAway],Table2[GameDate], "&lt;=" &amp; $A70, Table2[AwayTeam], O$1)+SUMIFS(Table2[NewPointsHome],Table2[GameDate], "&lt;=" &amp; $A70, Table2[HomeTeam], O$1)</f>
        <v>7</v>
      </c>
      <c r="P70" s="145">
        <f>SUMIFS(Table2[NewPointsAway],Table2[GameDate], "&lt;=" &amp; $A70, Table2[AwayTeam], P$1)+SUMIFS(Table2[NewPointsHome],Table2[GameDate], "&lt;=" &amp; $A70, Table2[HomeTeam], P$1)</f>
        <v>12</v>
      </c>
      <c r="Q70" s="145">
        <f>SUMIFS(Table2[NewPointsAway],Table2[GameDate], "&lt;=" &amp; $A70, Table2[AwayTeam], Q$1)+SUMIFS(Table2[NewPointsHome],Table2[GameDate], "&lt;=" &amp; $A70, Table2[HomeTeam], Q$1)</f>
        <v>12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6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5</v>
      </c>
      <c r="V70" s="145">
        <f>SUMIFS(Table2[NewPointsAway],Table2[GameDate], "&lt;=" &amp; $A70, Table2[AwayTeam], V$1)+SUMIFS(Table2[NewPointsHome],Table2[GameDate], "&lt;=" &amp; $A70, Table2[HomeTeam], V$1)</f>
        <v>7</v>
      </c>
      <c r="W70" s="145">
        <f>SUMIFS(Table2[NewPointsAway],Table2[GameDate], "&lt;=" &amp; $A70, Table2[AwayTeam], W$1)+SUMIFS(Table2[NewPointsHome],Table2[GameDate], "&lt;=" &amp; $A70, Table2[HomeTeam], W$1)</f>
        <v>10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10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12</v>
      </c>
      <c r="AF70" s="145">
        <f>SUMIFS(Table2[NewPointsAway],Table2[GameDate], "&lt;=" &amp; $A70, Table2[AwayTeam], AF$1)+SUMIFS(Table2[NewPointsHome],Table2[GameDate], "&lt;=" &amp; $A70, Table2[HomeTeam], AF$1)</f>
        <v>10</v>
      </c>
      <c r="AG70" s="145">
        <f>SUMIFS(Table2[NewPointsAway],Table2[GameDate], "&lt;=" &amp; $A70, Table2[AwayTeam], AG$1)+SUMIFS(Table2[NewPointsHome],Table2[GameDate], "&lt;=" &amp; $A70, Table2[HomeTeam], AG$1)</f>
        <v>10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7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6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6</v>
      </c>
      <c r="G71" s="145">
        <f>SUMIFS(Table2[NewPointsAway],Table2[GameDate], "&lt;=" &amp; $A71, Table2[AwayTeam], G$1)+SUMIFS(Table2[NewPointsHome],Table2[GameDate], "&lt;=" &amp; $A71, Table2[HomeTeam], G$1)</f>
        <v>3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12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7</v>
      </c>
      <c r="M71" s="145">
        <f>SUMIFS(Table2[NewPointsAway],Table2[GameDate], "&lt;=" &amp; $A71, Table2[AwayTeam], M$1)+SUMIFS(Table2[NewPointsHome],Table2[GameDate], "&lt;=" &amp; $A71, Table2[HomeTeam], M$1)</f>
        <v>8</v>
      </c>
      <c r="N71" s="145">
        <f>SUMIFS(Table2[NewPointsAway],Table2[GameDate], "&lt;=" &amp; $A71, Table2[AwayTeam], N$1)+SUMIFS(Table2[NewPointsHome],Table2[GameDate], "&lt;=" &amp; $A71, Table2[HomeTeam], N$1)</f>
        <v>6</v>
      </c>
      <c r="O71" s="145">
        <f>SUMIFS(Table2[NewPointsAway],Table2[GameDate], "&lt;=" &amp; $A71, Table2[AwayTeam], O$1)+SUMIFS(Table2[NewPointsHome],Table2[GameDate], "&lt;=" &amp; $A71, Table2[HomeTeam], O$1)</f>
        <v>7</v>
      </c>
      <c r="P71" s="145">
        <f>SUMIFS(Table2[NewPointsAway],Table2[GameDate], "&lt;=" &amp; $A71, Table2[AwayTeam], P$1)+SUMIFS(Table2[NewPointsHome],Table2[GameDate], "&lt;=" &amp; $A71, Table2[HomeTeam], P$1)</f>
        <v>12</v>
      </c>
      <c r="Q71" s="145">
        <f>SUMIFS(Table2[NewPointsAway],Table2[GameDate], "&lt;=" &amp; $A71, Table2[AwayTeam], Q$1)+SUMIFS(Table2[NewPointsHome],Table2[GameDate], "&lt;=" &amp; $A71, Table2[HomeTeam], Q$1)</f>
        <v>12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6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5</v>
      </c>
      <c r="V71" s="145">
        <f>SUMIFS(Table2[NewPointsAway],Table2[GameDate], "&lt;=" &amp; $A71, Table2[AwayTeam], V$1)+SUMIFS(Table2[NewPointsHome],Table2[GameDate], "&lt;=" &amp; $A71, Table2[HomeTeam], V$1)</f>
        <v>7</v>
      </c>
      <c r="W71" s="145">
        <f>SUMIFS(Table2[NewPointsAway],Table2[GameDate], "&lt;=" &amp; $A71, Table2[AwayTeam], W$1)+SUMIFS(Table2[NewPointsHome],Table2[GameDate], "&lt;=" &amp; $A71, Table2[HomeTeam], W$1)</f>
        <v>10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10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12</v>
      </c>
      <c r="AF71" s="145">
        <f>SUMIFS(Table2[NewPointsAway],Table2[GameDate], "&lt;=" &amp; $A71, Table2[AwayTeam], AF$1)+SUMIFS(Table2[NewPointsHome],Table2[GameDate], "&lt;=" &amp; $A71, Table2[HomeTeam], AF$1)</f>
        <v>10</v>
      </c>
      <c r="AG71" s="145">
        <f>SUMIFS(Table2[NewPointsAway],Table2[GameDate], "&lt;=" &amp; $A71, Table2[AwayTeam], AG$1)+SUMIFS(Table2[NewPointsHome],Table2[GameDate], "&lt;=" &amp; $A71, Table2[HomeTeam], AG$1)</f>
        <v>10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7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6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6</v>
      </c>
      <c r="G72" s="145">
        <f>SUMIFS(Table2[NewPointsAway],Table2[GameDate], "&lt;=" &amp; $A72, Table2[AwayTeam], G$1)+SUMIFS(Table2[NewPointsHome],Table2[GameDate], "&lt;=" &amp; $A72, Table2[HomeTeam], G$1)</f>
        <v>3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12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7</v>
      </c>
      <c r="M72" s="145">
        <f>SUMIFS(Table2[NewPointsAway],Table2[GameDate], "&lt;=" &amp; $A72, Table2[AwayTeam], M$1)+SUMIFS(Table2[NewPointsHome],Table2[GameDate], "&lt;=" &amp; $A72, Table2[HomeTeam], M$1)</f>
        <v>8</v>
      </c>
      <c r="N72" s="145">
        <f>SUMIFS(Table2[NewPointsAway],Table2[GameDate], "&lt;=" &amp; $A72, Table2[AwayTeam], N$1)+SUMIFS(Table2[NewPointsHome],Table2[GameDate], "&lt;=" &amp; $A72, Table2[HomeTeam], N$1)</f>
        <v>6</v>
      </c>
      <c r="O72" s="145">
        <f>SUMIFS(Table2[NewPointsAway],Table2[GameDate], "&lt;=" &amp; $A72, Table2[AwayTeam], O$1)+SUMIFS(Table2[NewPointsHome],Table2[GameDate], "&lt;=" &amp; $A72, Table2[HomeTeam], O$1)</f>
        <v>7</v>
      </c>
      <c r="P72" s="145">
        <f>SUMIFS(Table2[NewPointsAway],Table2[GameDate], "&lt;=" &amp; $A72, Table2[AwayTeam], P$1)+SUMIFS(Table2[NewPointsHome],Table2[GameDate], "&lt;=" &amp; $A72, Table2[HomeTeam], P$1)</f>
        <v>12</v>
      </c>
      <c r="Q72" s="145">
        <f>SUMIFS(Table2[NewPointsAway],Table2[GameDate], "&lt;=" &amp; $A72, Table2[AwayTeam], Q$1)+SUMIFS(Table2[NewPointsHome],Table2[GameDate], "&lt;=" &amp; $A72, Table2[HomeTeam], Q$1)</f>
        <v>12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6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5</v>
      </c>
      <c r="V72" s="145">
        <f>SUMIFS(Table2[NewPointsAway],Table2[GameDate], "&lt;=" &amp; $A72, Table2[AwayTeam], V$1)+SUMIFS(Table2[NewPointsHome],Table2[GameDate], "&lt;=" &amp; $A72, Table2[HomeTeam], V$1)</f>
        <v>7</v>
      </c>
      <c r="W72" s="145">
        <f>SUMIFS(Table2[NewPointsAway],Table2[GameDate], "&lt;=" &amp; $A72, Table2[AwayTeam], W$1)+SUMIFS(Table2[NewPointsHome],Table2[GameDate], "&lt;=" &amp; $A72, Table2[HomeTeam], W$1)</f>
        <v>10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10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12</v>
      </c>
      <c r="AF72" s="145">
        <f>SUMIFS(Table2[NewPointsAway],Table2[GameDate], "&lt;=" &amp; $A72, Table2[AwayTeam], AF$1)+SUMIFS(Table2[NewPointsHome],Table2[GameDate], "&lt;=" &amp; $A72, Table2[HomeTeam], AF$1)</f>
        <v>10</v>
      </c>
      <c r="AG72" s="145">
        <f>SUMIFS(Table2[NewPointsAway],Table2[GameDate], "&lt;=" &amp; $A72, Table2[AwayTeam], AG$1)+SUMIFS(Table2[NewPointsHome],Table2[GameDate], "&lt;=" &amp; $A72, Table2[HomeTeam], AG$1)</f>
        <v>10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7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6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6</v>
      </c>
      <c r="G73" s="145">
        <f>SUMIFS(Table2[NewPointsAway],Table2[GameDate], "&lt;=" &amp; $A73, Table2[AwayTeam], G$1)+SUMIFS(Table2[NewPointsHome],Table2[GameDate], "&lt;=" &amp; $A73, Table2[HomeTeam], G$1)</f>
        <v>3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12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7</v>
      </c>
      <c r="M73" s="145">
        <f>SUMIFS(Table2[NewPointsAway],Table2[GameDate], "&lt;=" &amp; $A73, Table2[AwayTeam], M$1)+SUMIFS(Table2[NewPointsHome],Table2[GameDate], "&lt;=" &amp; $A73, Table2[HomeTeam], M$1)</f>
        <v>8</v>
      </c>
      <c r="N73" s="145">
        <f>SUMIFS(Table2[NewPointsAway],Table2[GameDate], "&lt;=" &amp; $A73, Table2[AwayTeam], N$1)+SUMIFS(Table2[NewPointsHome],Table2[GameDate], "&lt;=" &amp; $A73, Table2[HomeTeam], N$1)</f>
        <v>6</v>
      </c>
      <c r="O73" s="145">
        <f>SUMIFS(Table2[NewPointsAway],Table2[GameDate], "&lt;=" &amp; $A73, Table2[AwayTeam], O$1)+SUMIFS(Table2[NewPointsHome],Table2[GameDate], "&lt;=" &amp; $A73, Table2[HomeTeam], O$1)</f>
        <v>7</v>
      </c>
      <c r="P73" s="145">
        <f>SUMIFS(Table2[NewPointsAway],Table2[GameDate], "&lt;=" &amp; $A73, Table2[AwayTeam], P$1)+SUMIFS(Table2[NewPointsHome],Table2[GameDate], "&lt;=" &amp; $A73, Table2[HomeTeam], P$1)</f>
        <v>12</v>
      </c>
      <c r="Q73" s="145">
        <f>SUMIFS(Table2[NewPointsAway],Table2[GameDate], "&lt;=" &amp; $A73, Table2[AwayTeam], Q$1)+SUMIFS(Table2[NewPointsHome],Table2[GameDate], "&lt;=" &amp; $A73, Table2[HomeTeam], Q$1)</f>
        <v>12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6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5</v>
      </c>
      <c r="V73" s="145">
        <f>SUMIFS(Table2[NewPointsAway],Table2[GameDate], "&lt;=" &amp; $A73, Table2[AwayTeam], V$1)+SUMIFS(Table2[NewPointsHome],Table2[GameDate], "&lt;=" &amp; $A73, Table2[HomeTeam], V$1)</f>
        <v>7</v>
      </c>
      <c r="W73" s="145">
        <f>SUMIFS(Table2[NewPointsAway],Table2[GameDate], "&lt;=" &amp; $A73, Table2[AwayTeam], W$1)+SUMIFS(Table2[NewPointsHome],Table2[GameDate], "&lt;=" &amp; $A73, Table2[HomeTeam], W$1)</f>
        <v>10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10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12</v>
      </c>
      <c r="AF73" s="145">
        <f>SUMIFS(Table2[NewPointsAway],Table2[GameDate], "&lt;=" &amp; $A73, Table2[AwayTeam], AF$1)+SUMIFS(Table2[NewPointsHome],Table2[GameDate], "&lt;=" &amp; $A73, Table2[HomeTeam], AF$1)</f>
        <v>10</v>
      </c>
      <c r="AG73" s="145">
        <f>SUMIFS(Table2[NewPointsAway],Table2[GameDate], "&lt;=" &amp; $A73, Table2[AwayTeam], AG$1)+SUMIFS(Table2[NewPointsHome],Table2[GameDate], "&lt;=" &amp; $A73, Table2[HomeTeam], AG$1)</f>
        <v>10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7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6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6</v>
      </c>
      <c r="G74" s="145">
        <f>SUMIFS(Table2[NewPointsAway],Table2[GameDate], "&lt;=" &amp; $A74, Table2[AwayTeam], G$1)+SUMIFS(Table2[NewPointsHome],Table2[GameDate], "&lt;=" &amp; $A74, Table2[HomeTeam], G$1)</f>
        <v>3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12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7</v>
      </c>
      <c r="M74" s="145">
        <f>SUMIFS(Table2[NewPointsAway],Table2[GameDate], "&lt;=" &amp; $A74, Table2[AwayTeam], M$1)+SUMIFS(Table2[NewPointsHome],Table2[GameDate], "&lt;=" &amp; $A74, Table2[HomeTeam], M$1)</f>
        <v>8</v>
      </c>
      <c r="N74" s="145">
        <f>SUMIFS(Table2[NewPointsAway],Table2[GameDate], "&lt;=" &amp; $A74, Table2[AwayTeam], N$1)+SUMIFS(Table2[NewPointsHome],Table2[GameDate], "&lt;=" &amp; $A74, Table2[HomeTeam], N$1)</f>
        <v>6</v>
      </c>
      <c r="O74" s="145">
        <f>SUMIFS(Table2[NewPointsAway],Table2[GameDate], "&lt;=" &amp; $A74, Table2[AwayTeam], O$1)+SUMIFS(Table2[NewPointsHome],Table2[GameDate], "&lt;=" &amp; $A74, Table2[HomeTeam], O$1)</f>
        <v>7</v>
      </c>
      <c r="P74" s="145">
        <f>SUMIFS(Table2[NewPointsAway],Table2[GameDate], "&lt;=" &amp; $A74, Table2[AwayTeam], P$1)+SUMIFS(Table2[NewPointsHome],Table2[GameDate], "&lt;=" &amp; $A74, Table2[HomeTeam], P$1)</f>
        <v>12</v>
      </c>
      <c r="Q74" s="145">
        <f>SUMIFS(Table2[NewPointsAway],Table2[GameDate], "&lt;=" &amp; $A74, Table2[AwayTeam], Q$1)+SUMIFS(Table2[NewPointsHome],Table2[GameDate], "&lt;=" &amp; $A74, Table2[HomeTeam], Q$1)</f>
        <v>12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6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5</v>
      </c>
      <c r="V74" s="145">
        <f>SUMIFS(Table2[NewPointsAway],Table2[GameDate], "&lt;=" &amp; $A74, Table2[AwayTeam], V$1)+SUMIFS(Table2[NewPointsHome],Table2[GameDate], "&lt;=" &amp; $A74, Table2[HomeTeam], V$1)</f>
        <v>7</v>
      </c>
      <c r="W74" s="145">
        <f>SUMIFS(Table2[NewPointsAway],Table2[GameDate], "&lt;=" &amp; $A74, Table2[AwayTeam], W$1)+SUMIFS(Table2[NewPointsHome],Table2[GameDate], "&lt;=" &amp; $A74, Table2[HomeTeam], W$1)</f>
        <v>10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10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12</v>
      </c>
      <c r="AF74" s="145">
        <f>SUMIFS(Table2[NewPointsAway],Table2[GameDate], "&lt;=" &amp; $A74, Table2[AwayTeam], AF$1)+SUMIFS(Table2[NewPointsHome],Table2[GameDate], "&lt;=" &amp; $A74, Table2[HomeTeam], AF$1)</f>
        <v>10</v>
      </c>
      <c r="AG74" s="145">
        <f>SUMIFS(Table2[NewPointsAway],Table2[GameDate], "&lt;=" &amp; $A74, Table2[AwayTeam], AG$1)+SUMIFS(Table2[NewPointsHome],Table2[GameDate], "&lt;=" &amp; $A74, Table2[HomeTeam], AG$1)</f>
        <v>10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7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6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6</v>
      </c>
      <c r="G75" s="145">
        <f>SUMIFS(Table2[NewPointsAway],Table2[GameDate], "&lt;=" &amp; $A75, Table2[AwayTeam], G$1)+SUMIFS(Table2[NewPointsHome],Table2[GameDate], "&lt;=" &amp; $A75, Table2[HomeTeam], G$1)</f>
        <v>3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12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7</v>
      </c>
      <c r="M75" s="145">
        <f>SUMIFS(Table2[NewPointsAway],Table2[GameDate], "&lt;=" &amp; $A75, Table2[AwayTeam], M$1)+SUMIFS(Table2[NewPointsHome],Table2[GameDate], "&lt;=" &amp; $A75, Table2[HomeTeam], M$1)</f>
        <v>8</v>
      </c>
      <c r="N75" s="145">
        <f>SUMIFS(Table2[NewPointsAway],Table2[GameDate], "&lt;=" &amp; $A75, Table2[AwayTeam], N$1)+SUMIFS(Table2[NewPointsHome],Table2[GameDate], "&lt;=" &amp; $A75, Table2[HomeTeam], N$1)</f>
        <v>6</v>
      </c>
      <c r="O75" s="145">
        <f>SUMIFS(Table2[NewPointsAway],Table2[GameDate], "&lt;=" &amp; $A75, Table2[AwayTeam], O$1)+SUMIFS(Table2[NewPointsHome],Table2[GameDate], "&lt;=" &amp; $A75, Table2[HomeTeam], O$1)</f>
        <v>7</v>
      </c>
      <c r="P75" s="145">
        <f>SUMIFS(Table2[NewPointsAway],Table2[GameDate], "&lt;=" &amp; $A75, Table2[AwayTeam], P$1)+SUMIFS(Table2[NewPointsHome],Table2[GameDate], "&lt;=" &amp; $A75, Table2[HomeTeam], P$1)</f>
        <v>12</v>
      </c>
      <c r="Q75" s="145">
        <f>SUMIFS(Table2[NewPointsAway],Table2[GameDate], "&lt;=" &amp; $A75, Table2[AwayTeam], Q$1)+SUMIFS(Table2[NewPointsHome],Table2[GameDate], "&lt;=" &amp; $A75, Table2[HomeTeam], Q$1)</f>
        <v>12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6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5</v>
      </c>
      <c r="V75" s="145">
        <f>SUMIFS(Table2[NewPointsAway],Table2[GameDate], "&lt;=" &amp; $A75, Table2[AwayTeam], V$1)+SUMIFS(Table2[NewPointsHome],Table2[GameDate], "&lt;=" &amp; $A75, Table2[HomeTeam], V$1)</f>
        <v>7</v>
      </c>
      <c r="W75" s="145">
        <f>SUMIFS(Table2[NewPointsAway],Table2[GameDate], "&lt;=" &amp; $A75, Table2[AwayTeam], W$1)+SUMIFS(Table2[NewPointsHome],Table2[GameDate], "&lt;=" &amp; $A75, Table2[HomeTeam], W$1)</f>
        <v>10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10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12</v>
      </c>
      <c r="AF75" s="145">
        <f>SUMIFS(Table2[NewPointsAway],Table2[GameDate], "&lt;=" &amp; $A75, Table2[AwayTeam], AF$1)+SUMIFS(Table2[NewPointsHome],Table2[GameDate], "&lt;=" &amp; $A75, Table2[HomeTeam], AF$1)</f>
        <v>10</v>
      </c>
      <c r="AG75" s="145">
        <f>SUMIFS(Table2[NewPointsAway],Table2[GameDate], "&lt;=" &amp; $A75, Table2[AwayTeam], AG$1)+SUMIFS(Table2[NewPointsHome],Table2[GameDate], "&lt;=" &amp; $A75, Table2[HomeTeam], AG$1)</f>
        <v>10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7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6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6</v>
      </c>
      <c r="G76" s="145">
        <f>SUMIFS(Table2[NewPointsAway],Table2[GameDate], "&lt;=" &amp; $A76, Table2[AwayTeam], G$1)+SUMIFS(Table2[NewPointsHome],Table2[GameDate], "&lt;=" &amp; $A76, Table2[HomeTeam], G$1)</f>
        <v>3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12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7</v>
      </c>
      <c r="M76" s="145">
        <f>SUMIFS(Table2[NewPointsAway],Table2[GameDate], "&lt;=" &amp; $A76, Table2[AwayTeam], M$1)+SUMIFS(Table2[NewPointsHome],Table2[GameDate], "&lt;=" &amp; $A76, Table2[HomeTeam], M$1)</f>
        <v>8</v>
      </c>
      <c r="N76" s="145">
        <f>SUMIFS(Table2[NewPointsAway],Table2[GameDate], "&lt;=" &amp; $A76, Table2[AwayTeam], N$1)+SUMIFS(Table2[NewPointsHome],Table2[GameDate], "&lt;=" &amp; $A76, Table2[HomeTeam], N$1)</f>
        <v>6</v>
      </c>
      <c r="O76" s="145">
        <f>SUMIFS(Table2[NewPointsAway],Table2[GameDate], "&lt;=" &amp; $A76, Table2[AwayTeam], O$1)+SUMIFS(Table2[NewPointsHome],Table2[GameDate], "&lt;=" &amp; $A76, Table2[HomeTeam], O$1)</f>
        <v>7</v>
      </c>
      <c r="P76" s="145">
        <f>SUMIFS(Table2[NewPointsAway],Table2[GameDate], "&lt;=" &amp; $A76, Table2[AwayTeam], P$1)+SUMIFS(Table2[NewPointsHome],Table2[GameDate], "&lt;=" &amp; $A76, Table2[HomeTeam], P$1)</f>
        <v>12</v>
      </c>
      <c r="Q76" s="145">
        <f>SUMIFS(Table2[NewPointsAway],Table2[GameDate], "&lt;=" &amp; $A76, Table2[AwayTeam], Q$1)+SUMIFS(Table2[NewPointsHome],Table2[GameDate], "&lt;=" &amp; $A76, Table2[HomeTeam], Q$1)</f>
        <v>12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6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5</v>
      </c>
      <c r="V76" s="145">
        <f>SUMIFS(Table2[NewPointsAway],Table2[GameDate], "&lt;=" &amp; $A76, Table2[AwayTeam], V$1)+SUMIFS(Table2[NewPointsHome],Table2[GameDate], "&lt;=" &amp; $A76, Table2[HomeTeam], V$1)</f>
        <v>7</v>
      </c>
      <c r="W76" s="145">
        <f>SUMIFS(Table2[NewPointsAway],Table2[GameDate], "&lt;=" &amp; $A76, Table2[AwayTeam], W$1)+SUMIFS(Table2[NewPointsHome],Table2[GameDate], "&lt;=" &amp; $A76, Table2[HomeTeam], W$1)</f>
        <v>10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10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12</v>
      </c>
      <c r="AF76" s="145">
        <f>SUMIFS(Table2[NewPointsAway],Table2[GameDate], "&lt;=" &amp; $A76, Table2[AwayTeam], AF$1)+SUMIFS(Table2[NewPointsHome],Table2[GameDate], "&lt;=" &amp; $A76, Table2[HomeTeam], AF$1)</f>
        <v>10</v>
      </c>
      <c r="AG76" s="145">
        <f>SUMIFS(Table2[NewPointsAway],Table2[GameDate], "&lt;=" &amp; $A76, Table2[AwayTeam], AG$1)+SUMIFS(Table2[NewPointsHome],Table2[GameDate], "&lt;=" &amp; $A76, Table2[HomeTeam], AG$1)</f>
        <v>10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7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6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6</v>
      </c>
      <c r="G77" s="145">
        <f>SUMIFS(Table2[NewPointsAway],Table2[GameDate], "&lt;=" &amp; $A77, Table2[AwayTeam], G$1)+SUMIFS(Table2[NewPointsHome],Table2[GameDate], "&lt;=" &amp; $A77, Table2[HomeTeam], G$1)</f>
        <v>3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12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7</v>
      </c>
      <c r="M77" s="145">
        <f>SUMIFS(Table2[NewPointsAway],Table2[GameDate], "&lt;=" &amp; $A77, Table2[AwayTeam], M$1)+SUMIFS(Table2[NewPointsHome],Table2[GameDate], "&lt;=" &amp; $A77, Table2[HomeTeam], M$1)</f>
        <v>8</v>
      </c>
      <c r="N77" s="145">
        <f>SUMIFS(Table2[NewPointsAway],Table2[GameDate], "&lt;=" &amp; $A77, Table2[AwayTeam], N$1)+SUMIFS(Table2[NewPointsHome],Table2[GameDate], "&lt;=" &amp; $A77, Table2[HomeTeam], N$1)</f>
        <v>6</v>
      </c>
      <c r="O77" s="145">
        <f>SUMIFS(Table2[NewPointsAway],Table2[GameDate], "&lt;=" &amp; $A77, Table2[AwayTeam], O$1)+SUMIFS(Table2[NewPointsHome],Table2[GameDate], "&lt;=" &amp; $A77, Table2[HomeTeam], O$1)</f>
        <v>7</v>
      </c>
      <c r="P77" s="145">
        <f>SUMIFS(Table2[NewPointsAway],Table2[GameDate], "&lt;=" &amp; $A77, Table2[AwayTeam], P$1)+SUMIFS(Table2[NewPointsHome],Table2[GameDate], "&lt;=" &amp; $A77, Table2[HomeTeam], P$1)</f>
        <v>12</v>
      </c>
      <c r="Q77" s="145">
        <f>SUMIFS(Table2[NewPointsAway],Table2[GameDate], "&lt;=" &amp; $A77, Table2[AwayTeam], Q$1)+SUMIFS(Table2[NewPointsHome],Table2[GameDate], "&lt;=" &amp; $A77, Table2[HomeTeam], Q$1)</f>
        <v>12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6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5</v>
      </c>
      <c r="V77" s="145">
        <f>SUMIFS(Table2[NewPointsAway],Table2[GameDate], "&lt;=" &amp; $A77, Table2[AwayTeam], V$1)+SUMIFS(Table2[NewPointsHome],Table2[GameDate], "&lt;=" &amp; $A77, Table2[HomeTeam], V$1)</f>
        <v>7</v>
      </c>
      <c r="W77" s="145">
        <f>SUMIFS(Table2[NewPointsAway],Table2[GameDate], "&lt;=" &amp; $A77, Table2[AwayTeam], W$1)+SUMIFS(Table2[NewPointsHome],Table2[GameDate], "&lt;=" &amp; $A77, Table2[HomeTeam], W$1)</f>
        <v>10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10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12</v>
      </c>
      <c r="AF77" s="145">
        <f>SUMIFS(Table2[NewPointsAway],Table2[GameDate], "&lt;=" &amp; $A77, Table2[AwayTeam], AF$1)+SUMIFS(Table2[NewPointsHome],Table2[GameDate], "&lt;=" &amp; $A77, Table2[HomeTeam], AF$1)</f>
        <v>10</v>
      </c>
      <c r="AG77" s="145">
        <f>SUMIFS(Table2[NewPointsAway],Table2[GameDate], "&lt;=" &amp; $A77, Table2[AwayTeam], AG$1)+SUMIFS(Table2[NewPointsHome],Table2[GameDate], "&lt;=" &amp; $A77, Table2[HomeTeam], AG$1)</f>
        <v>10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7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6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6</v>
      </c>
      <c r="G78" s="145">
        <f>SUMIFS(Table2[NewPointsAway],Table2[GameDate], "&lt;=" &amp; $A78, Table2[AwayTeam], G$1)+SUMIFS(Table2[NewPointsHome],Table2[GameDate], "&lt;=" &amp; $A78, Table2[HomeTeam], G$1)</f>
        <v>3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12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7</v>
      </c>
      <c r="M78" s="145">
        <f>SUMIFS(Table2[NewPointsAway],Table2[GameDate], "&lt;=" &amp; $A78, Table2[AwayTeam], M$1)+SUMIFS(Table2[NewPointsHome],Table2[GameDate], "&lt;=" &amp; $A78, Table2[HomeTeam], M$1)</f>
        <v>8</v>
      </c>
      <c r="N78" s="145">
        <f>SUMIFS(Table2[NewPointsAway],Table2[GameDate], "&lt;=" &amp; $A78, Table2[AwayTeam], N$1)+SUMIFS(Table2[NewPointsHome],Table2[GameDate], "&lt;=" &amp; $A78, Table2[HomeTeam], N$1)</f>
        <v>6</v>
      </c>
      <c r="O78" s="145">
        <f>SUMIFS(Table2[NewPointsAway],Table2[GameDate], "&lt;=" &amp; $A78, Table2[AwayTeam], O$1)+SUMIFS(Table2[NewPointsHome],Table2[GameDate], "&lt;=" &amp; $A78, Table2[HomeTeam], O$1)</f>
        <v>7</v>
      </c>
      <c r="P78" s="145">
        <f>SUMIFS(Table2[NewPointsAway],Table2[GameDate], "&lt;=" &amp; $A78, Table2[AwayTeam], P$1)+SUMIFS(Table2[NewPointsHome],Table2[GameDate], "&lt;=" &amp; $A78, Table2[HomeTeam], P$1)</f>
        <v>12</v>
      </c>
      <c r="Q78" s="145">
        <f>SUMIFS(Table2[NewPointsAway],Table2[GameDate], "&lt;=" &amp; $A78, Table2[AwayTeam], Q$1)+SUMIFS(Table2[NewPointsHome],Table2[GameDate], "&lt;=" &amp; $A78, Table2[HomeTeam], Q$1)</f>
        <v>12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6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5</v>
      </c>
      <c r="V78" s="145">
        <f>SUMIFS(Table2[NewPointsAway],Table2[GameDate], "&lt;=" &amp; $A78, Table2[AwayTeam], V$1)+SUMIFS(Table2[NewPointsHome],Table2[GameDate], "&lt;=" &amp; $A78, Table2[HomeTeam], V$1)</f>
        <v>7</v>
      </c>
      <c r="W78" s="145">
        <f>SUMIFS(Table2[NewPointsAway],Table2[GameDate], "&lt;=" &amp; $A78, Table2[AwayTeam], W$1)+SUMIFS(Table2[NewPointsHome],Table2[GameDate], "&lt;=" &amp; $A78, Table2[HomeTeam], W$1)</f>
        <v>10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10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12</v>
      </c>
      <c r="AF78" s="145">
        <f>SUMIFS(Table2[NewPointsAway],Table2[GameDate], "&lt;=" &amp; $A78, Table2[AwayTeam], AF$1)+SUMIFS(Table2[NewPointsHome],Table2[GameDate], "&lt;=" &amp; $A78, Table2[HomeTeam], AF$1)</f>
        <v>10</v>
      </c>
      <c r="AG78" s="145">
        <f>SUMIFS(Table2[NewPointsAway],Table2[GameDate], "&lt;=" &amp; $A78, Table2[AwayTeam], AG$1)+SUMIFS(Table2[NewPointsHome],Table2[GameDate], "&lt;=" &amp; $A78, Table2[HomeTeam], AG$1)</f>
        <v>10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7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6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6</v>
      </c>
      <c r="G79" s="145">
        <f>SUMIFS(Table2[NewPointsAway],Table2[GameDate], "&lt;=" &amp; $A79, Table2[AwayTeam], G$1)+SUMIFS(Table2[NewPointsHome],Table2[GameDate], "&lt;=" &amp; $A79, Table2[HomeTeam], G$1)</f>
        <v>3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12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7</v>
      </c>
      <c r="M79" s="145">
        <f>SUMIFS(Table2[NewPointsAway],Table2[GameDate], "&lt;=" &amp; $A79, Table2[AwayTeam], M$1)+SUMIFS(Table2[NewPointsHome],Table2[GameDate], "&lt;=" &amp; $A79, Table2[HomeTeam], M$1)</f>
        <v>8</v>
      </c>
      <c r="N79" s="145">
        <f>SUMIFS(Table2[NewPointsAway],Table2[GameDate], "&lt;=" &amp; $A79, Table2[AwayTeam], N$1)+SUMIFS(Table2[NewPointsHome],Table2[GameDate], "&lt;=" &amp; $A79, Table2[HomeTeam], N$1)</f>
        <v>6</v>
      </c>
      <c r="O79" s="145">
        <f>SUMIFS(Table2[NewPointsAway],Table2[GameDate], "&lt;=" &amp; $A79, Table2[AwayTeam], O$1)+SUMIFS(Table2[NewPointsHome],Table2[GameDate], "&lt;=" &amp; $A79, Table2[HomeTeam], O$1)</f>
        <v>7</v>
      </c>
      <c r="P79" s="145">
        <f>SUMIFS(Table2[NewPointsAway],Table2[GameDate], "&lt;=" &amp; $A79, Table2[AwayTeam], P$1)+SUMIFS(Table2[NewPointsHome],Table2[GameDate], "&lt;=" &amp; $A79, Table2[HomeTeam], P$1)</f>
        <v>12</v>
      </c>
      <c r="Q79" s="145">
        <f>SUMIFS(Table2[NewPointsAway],Table2[GameDate], "&lt;=" &amp; $A79, Table2[AwayTeam], Q$1)+SUMIFS(Table2[NewPointsHome],Table2[GameDate], "&lt;=" &amp; $A79, Table2[HomeTeam], Q$1)</f>
        <v>12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6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5</v>
      </c>
      <c r="V79" s="145">
        <f>SUMIFS(Table2[NewPointsAway],Table2[GameDate], "&lt;=" &amp; $A79, Table2[AwayTeam], V$1)+SUMIFS(Table2[NewPointsHome],Table2[GameDate], "&lt;=" &amp; $A79, Table2[HomeTeam], V$1)</f>
        <v>7</v>
      </c>
      <c r="W79" s="145">
        <f>SUMIFS(Table2[NewPointsAway],Table2[GameDate], "&lt;=" &amp; $A79, Table2[AwayTeam], W$1)+SUMIFS(Table2[NewPointsHome],Table2[GameDate], "&lt;=" &amp; $A79, Table2[HomeTeam], W$1)</f>
        <v>10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10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12</v>
      </c>
      <c r="AF79" s="145">
        <f>SUMIFS(Table2[NewPointsAway],Table2[GameDate], "&lt;=" &amp; $A79, Table2[AwayTeam], AF$1)+SUMIFS(Table2[NewPointsHome],Table2[GameDate], "&lt;=" &amp; $A79, Table2[HomeTeam], AF$1)</f>
        <v>10</v>
      </c>
      <c r="AG79" s="145">
        <f>SUMIFS(Table2[NewPointsAway],Table2[GameDate], "&lt;=" &amp; $A79, Table2[AwayTeam], AG$1)+SUMIFS(Table2[NewPointsHome],Table2[GameDate], "&lt;=" &amp; $A79, Table2[HomeTeam], AG$1)</f>
        <v>10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7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6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6</v>
      </c>
      <c r="G80" s="145">
        <f>SUMIFS(Table2[NewPointsAway],Table2[GameDate], "&lt;=" &amp; $A80, Table2[AwayTeam], G$1)+SUMIFS(Table2[NewPointsHome],Table2[GameDate], "&lt;=" &amp; $A80, Table2[HomeTeam], G$1)</f>
        <v>3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12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7</v>
      </c>
      <c r="M80" s="145">
        <f>SUMIFS(Table2[NewPointsAway],Table2[GameDate], "&lt;=" &amp; $A80, Table2[AwayTeam], M$1)+SUMIFS(Table2[NewPointsHome],Table2[GameDate], "&lt;=" &amp; $A80, Table2[HomeTeam], M$1)</f>
        <v>8</v>
      </c>
      <c r="N80" s="145">
        <f>SUMIFS(Table2[NewPointsAway],Table2[GameDate], "&lt;=" &amp; $A80, Table2[AwayTeam], N$1)+SUMIFS(Table2[NewPointsHome],Table2[GameDate], "&lt;=" &amp; $A80, Table2[HomeTeam], N$1)</f>
        <v>6</v>
      </c>
      <c r="O80" s="145">
        <f>SUMIFS(Table2[NewPointsAway],Table2[GameDate], "&lt;=" &amp; $A80, Table2[AwayTeam], O$1)+SUMIFS(Table2[NewPointsHome],Table2[GameDate], "&lt;=" &amp; $A80, Table2[HomeTeam], O$1)</f>
        <v>7</v>
      </c>
      <c r="P80" s="145">
        <f>SUMIFS(Table2[NewPointsAway],Table2[GameDate], "&lt;=" &amp; $A80, Table2[AwayTeam], P$1)+SUMIFS(Table2[NewPointsHome],Table2[GameDate], "&lt;=" &amp; $A80, Table2[HomeTeam], P$1)</f>
        <v>12</v>
      </c>
      <c r="Q80" s="145">
        <f>SUMIFS(Table2[NewPointsAway],Table2[GameDate], "&lt;=" &amp; $A80, Table2[AwayTeam], Q$1)+SUMIFS(Table2[NewPointsHome],Table2[GameDate], "&lt;=" &amp; $A80, Table2[HomeTeam], Q$1)</f>
        <v>12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6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5</v>
      </c>
      <c r="V80" s="145">
        <f>SUMIFS(Table2[NewPointsAway],Table2[GameDate], "&lt;=" &amp; $A80, Table2[AwayTeam], V$1)+SUMIFS(Table2[NewPointsHome],Table2[GameDate], "&lt;=" &amp; $A80, Table2[HomeTeam], V$1)</f>
        <v>7</v>
      </c>
      <c r="W80" s="145">
        <f>SUMIFS(Table2[NewPointsAway],Table2[GameDate], "&lt;=" &amp; $A80, Table2[AwayTeam], W$1)+SUMIFS(Table2[NewPointsHome],Table2[GameDate], "&lt;=" &amp; $A80, Table2[HomeTeam], W$1)</f>
        <v>10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10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12</v>
      </c>
      <c r="AF80" s="145">
        <f>SUMIFS(Table2[NewPointsAway],Table2[GameDate], "&lt;=" &amp; $A80, Table2[AwayTeam], AF$1)+SUMIFS(Table2[NewPointsHome],Table2[GameDate], "&lt;=" &amp; $A80, Table2[HomeTeam], AF$1)</f>
        <v>10</v>
      </c>
      <c r="AG80" s="145">
        <f>SUMIFS(Table2[NewPointsAway],Table2[GameDate], "&lt;=" &amp; $A80, Table2[AwayTeam], AG$1)+SUMIFS(Table2[NewPointsHome],Table2[GameDate], "&lt;=" &amp; $A80, Table2[HomeTeam], AG$1)</f>
        <v>10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7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6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6</v>
      </c>
      <c r="G81" s="145">
        <f>SUMIFS(Table2[NewPointsAway],Table2[GameDate], "&lt;=" &amp; $A81, Table2[AwayTeam], G$1)+SUMIFS(Table2[NewPointsHome],Table2[GameDate], "&lt;=" &amp; $A81, Table2[HomeTeam], G$1)</f>
        <v>3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12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7</v>
      </c>
      <c r="M81" s="145">
        <f>SUMIFS(Table2[NewPointsAway],Table2[GameDate], "&lt;=" &amp; $A81, Table2[AwayTeam], M$1)+SUMIFS(Table2[NewPointsHome],Table2[GameDate], "&lt;=" &amp; $A81, Table2[HomeTeam], M$1)</f>
        <v>8</v>
      </c>
      <c r="N81" s="145">
        <f>SUMIFS(Table2[NewPointsAway],Table2[GameDate], "&lt;=" &amp; $A81, Table2[AwayTeam], N$1)+SUMIFS(Table2[NewPointsHome],Table2[GameDate], "&lt;=" &amp; $A81, Table2[HomeTeam], N$1)</f>
        <v>6</v>
      </c>
      <c r="O81" s="145">
        <f>SUMIFS(Table2[NewPointsAway],Table2[GameDate], "&lt;=" &amp; $A81, Table2[AwayTeam], O$1)+SUMIFS(Table2[NewPointsHome],Table2[GameDate], "&lt;=" &amp; $A81, Table2[HomeTeam], O$1)</f>
        <v>7</v>
      </c>
      <c r="P81" s="145">
        <f>SUMIFS(Table2[NewPointsAway],Table2[GameDate], "&lt;=" &amp; $A81, Table2[AwayTeam], P$1)+SUMIFS(Table2[NewPointsHome],Table2[GameDate], "&lt;=" &amp; $A81, Table2[HomeTeam], P$1)</f>
        <v>12</v>
      </c>
      <c r="Q81" s="145">
        <f>SUMIFS(Table2[NewPointsAway],Table2[GameDate], "&lt;=" &amp; $A81, Table2[AwayTeam], Q$1)+SUMIFS(Table2[NewPointsHome],Table2[GameDate], "&lt;=" &amp; $A81, Table2[HomeTeam], Q$1)</f>
        <v>12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6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5</v>
      </c>
      <c r="V81" s="145">
        <f>SUMIFS(Table2[NewPointsAway],Table2[GameDate], "&lt;=" &amp; $A81, Table2[AwayTeam], V$1)+SUMIFS(Table2[NewPointsHome],Table2[GameDate], "&lt;=" &amp; $A81, Table2[HomeTeam], V$1)</f>
        <v>7</v>
      </c>
      <c r="W81" s="145">
        <f>SUMIFS(Table2[NewPointsAway],Table2[GameDate], "&lt;=" &amp; $A81, Table2[AwayTeam], W$1)+SUMIFS(Table2[NewPointsHome],Table2[GameDate], "&lt;=" &amp; $A81, Table2[HomeTeam], W$1)</f>
        <v>10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10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12</v>
      </c>
      <c r="AF81" s="145">
        <f>SUMIFS(Table2[NewPointsAway],Table2[GameDate], "&lt;=" &amp; $A81, Table2[AwayTeam], AF$1)+SUMIFS(Table2[NewPointsHome],Table2[GameDate], "&lt;=" &amp; $A81, Table2[HomeTeam], AF$1)</f>
        <v>10</v>
      </c>
      <c r="AG81" s="145">
        <f>SUMIFS(Table2[NewPointsAway],Table2[GameDate], "&lt;=" &amp; $A81, Table2[AwayTeam], AG$1)+SUMIFS(Table2[NewPointsHome],Table2[GameDate], "&lt;=" &amp; $A81, Table2[HomeTeam], AG$1)</f>
        <v>10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7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6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6</v>
      </c>
      <c r="G82" s="145">
        <f>SUMIFS(Table2[NewPointsAway],Table2[GameDate], "&lt;=" &amp; $A82, Table2[AwayTeam], G$1)+SUMIFS(Table2[NewPointsHome],Table2[GameDate], "&lt;=" &amp; $A82, Table2[HomeTeam], G$1)</f>
        <v>3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12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7</v>
      </c>
      <c r="M82" s="145">
        <f>SUMIFS(Table2[NewPointsAway],Table2[GameDate], "&lt;=" &amp; $A82, Table2[AwayTeam], M$1)+SUMIFS(Table2[NewPointsHome],Table2[GameDate], "&lt;=" &amp; $A82, Table2[HomeTeam], M$1)</f>
        <v>8</v>
      </c>
      <c r="N82" s="145">
        <f>SUMIFS(Table2[NewPointsAway],Table2[GameDate], "&lt;=" &amp; $A82, Table2[AwayTeam], N$1)+SUMIFS(Table2[NewPointsHome],Table2[GameDate], "&lt;=" &amp; $A82, Table2[HomeTeam], N$1)</f>
        <v>6</v>
      </c>
      <c r="O82" s="145">
        <f>SUMIFS(Table2[NewPointsAway],Table2[GameDate], "&lt;=" &amp; $A82, Table2[AwayTeam], O$1)+SUMIFS(Table2[NewPointsHome],Table2[GameDate], "&lt;=" &amp; $A82, Table2[HomeTeam], O$1)</f>
        <v>7</v>
      </c>
      <c r="P82" s="145">
        <f>SUMIFS(Table2[NewPointsAway],Table2[GameDate], "&lt;=" &amp; $A82, Table2[AwayTeam], P$1)+SUMIFS(Table2[NewPointsHome],Table2[GameDate], "&lt;=" &amp; $A82, Table2[HomeTeam], P$1)</f>
        <v>12</v>
      </c>
      <c r="Q82" s="145">
        <f>SUMIFS(Table2[NewPointsAway],Table2[GameDate], "&lt;=" &amp; $A82, Table2[AwayTeam], Q$1)+SUMIFS(Table2[NewPointsHome],Table2[GameDate], "&lt;=" &amp; $A82, Table2[HomeTeam], Q$1)</f>
        <v>12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6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5</v>
      </c>
      <c r="V82" s="145">
        <f>SUMIFS(Table2[NewPointsAway],Table2[GameDate], "&lt;=" &amp; $A82, Table2[AwayTeam], V$1)+SUMIFS(Table2[NewPointsHome],Table2[GameDate], "&lt;=" &amp; $A82, Table2[HomeTeam], V$1)</f>
        <v>7</v>
      </c>
      <c r="W82" s="145">
        <f>SUMIFS(Table2[NewPointsAway],Table2[GameDate], "&lt;=" &amp; $A82, Table2[AwayTeam], W$1)+SUMIFS(Table2[NewPointsHome],Table2[GameDate], "&lt;=" &amp; $A82, Table2[HomeTeam], W$1)</f>
        <v>10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10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12</v>
      </c>
      <c r="AF82" s="145">
        <f>SUMIFS(Table2[NewPointsAway],Table2[GameDate], "&lt;=" &amp; $A82, Table2[AwayTeam], AF$1)+SUMIFS(Table2[NewPointsHome],Table2[GameDate], "&lt;=" &amp; $A82, Table2[HomeTeam], AF$1)</f>
        <v>10</v>
      </c>
      <c r="AG82" s="145">
        <f>SUMIFS(Table2[NewPointsAway],Table2[GameDate], "&lt;=" &amp; $A82, Table2[AwayTeam], AG$1)+SUMIFS(Table2[NewPointsHome],Table2[GameDate], "&lt;=" &amp; $A82, Table2[HomeTeam], AG$1)</f>
        <v>10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7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6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6</v>
      </c>
      <c r="G83" s="145">
        <f>SUMIFS(Table2[NewPointsAway],Table2[GameDate], "&lt;=" &amp; $A83, Table2[AwayTeam], G$1)+SUMIFS(Table2[NewPointsHome],Table2[GameDate], "&lt;=" &amp; $A83, Table2[HomeTeam], G$1)</f>
        <v>3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12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7</v>
      </c>
      <c r="M83" s="145">
        <f>SUMIFS(Table2[NewPointsAway],Table2[GameDate], "&lt;=" &amp; $A83, Table2[AwayTeam], M$1)+SUMIFS(Table2[NewPointsHome],Table2[GameDate], "&lt;=" &amp; $A83, Table2[HomeTeam], M$1)</f>
        <v>8</v>
      </c>
      <c r="N83" s="145">
        <f>SUMIFS(Table2[NewPointsAway],Table2[GameDate], "&lt;=" &amp; $A83, Table2[AwayTeam], N$1)+SUMIFS(Table2[NewPointsHome],Table2[GameDate], "&lt;=" &amp; $A83, Table2[HomeTeam], N$1)</f>
        <v>6</v>
      </c>
      <c r="O83" s="145">
        <f>SUMIFS(Table2[NewPointsAway],Table2[GameDate], "&lt;=" &amp; $A83, Table2[AwayTeam], O$1)+SUMIFS(Table2[NewPointsHome],Table2[GameDate], "&lt;=" &amp; $A83, Table2[HomeTeam], O$1)</f>
        <v>7</v>
      </c>
      <c r="P83" s="145">
        <f>SUMIFS(Table2[NewPointsAway],Table2[GameDate], "&lt;=" &amp; $A83, Table2[AwayTeam], P$1)+SUMIFS(Table2[NewPointsHome],Table2[GameDate], "&lt;=" &amp; $A83, Table2[HomeTeam], P$1)</f>
        <v>12</v>
      </c>
      <c r="Q83" s="145">
        <f>SUMIFS(Table2[NewPointsAway],Table2[GameDate], "&lt;=" &amp; $A83, Table2[AwayTeam], Q$1)+SUMIFS(Table2[NewPointsHome],Table2[GameDate], "&lt;=" &amp; $A83, Table2[HomeTeam], Q$1)</f>
        <v>12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6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5</v>
      </c>
      <c r="V83" s="145">
        <f>SUMIFS(Table2[NewPointsAway],Table2[GameDate], "&lt;=" &amp; $A83, Table2[AwayTeam], V$1)+SUMIFS(Table2[NewPointsHome],Table2[GameDate], "&lt;=" &amp; $A83, Table2[HomeTeam], V$1)</f>
        <v>7</v>
      </c>
      <c r="W83" s="145">
        <f>SUMIFS(Table2[NewPointsAway],Table2[GameDate], "&lt;=" &amp; $A83, Table2[AwayTeam], W$1)+SUMIFS(Table2[NewPointsHome],Table2[GameDate], "&lt;=" &amp; $A83, Table2[HomeTeam], W$1)</f>
        <v>10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10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12</v>
      </c>
      <c r="AF83" s="145">
        <f>SUMIFS(Table2[NewPointsAway],Table2[GameDate], "&lt;=" &amp; $A83, Table2[AwayTeam], AF$1)+SUMIFS(Table2[NewPointsHome],Table2[GameDate], "&lt;=" &amp; $A83, Table2[HomeTeam], AF$1)</f>
        <v>10</v>
      </c>
      <c r="AG83" s="145">
        <f>SUMIFS(Table2[NewPointsAway],Table2[GameDate], "&lt;=" &amp; $A83, Table2[AwayTeam], AG$1)+SUMIFS(Table2[NewPointsHome],Table2[GameDate], "&lt;=" &amp; $A83, Table2[HomeTeam], AG$1)</f>
        <v>10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7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6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6</v>
      </c>
      <c r="G84" s="145">
        <f>SUMIFS(Table2[NewPointsAway],Table2[GameDate], "&lt;=" &amp; $A84, Table2[AwayTeam], G$1)+SUMIFS(Table2[NewPointsHome],Table2[GameDate], "&lt;=" &amp; $A84, Table2[HomeTeam], G$1)</f>
        <v>3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12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7</v>
      </c>
      <c r="M84" s="145">
        <f>SUMIFS(Table2[NewPointsAway],Table2[GameDate], "&lt;=" &amp; $A84, Table2[AwayTeam], M$1)+SUMIFS(Table2[NewPointsHome],Table2[GameDate], "&lt;=" &amp; $A84, Table2[HomeTeam], M$1)</f>
        <v>8</v>
      </c>
      <c r="N84" s="145">
        <f>SUMIFS(Table2[NewPointsAway],Table2[GameDate], "&lt;=" &amp; $A84, Table2[AwayTeam], N$1)+SUMIFS(Table2[NewPointsHome],Table2[GameDate], "&lt;=" &amp; $A84, Table2[HomeTeam], N$1)</f>
        <v>6</v>
      </c>
      <c r="O84" s="145">
        <f>SUMIFS(Table2[NewPointsAway],Table2[GameDate], "&lt;=" &amp; $A84, Table2[AwayTeam], O$1)+SUMIFS(Table2[NewPointsHome],Table2[GameDate], "&lt;=" &amp; $A84, Table2[HomeTeam], O$1)</f>
        <v>7</v>
      </c>
      <c r="P84" s="145">
        <f>SUMIFS(Table2[NewPointsAway],Table2[GameDate], "&lt;=" &amp; $A84, Table2[AwayTeam], P$1)+SUMIFS(Table2[NewPointsHome],Table2[GameDate], "&lt;=" &amp; $A84, Table2[HomeTeam], P$1)</f>
        <v>12</v>
      </c>
      <c r="Q84" s="145">
        <f>SUMIFS(Table2[NewPointsAway],Table2[GameDate], "&lt;=" &amp; $A84, Table2[AwayTeam], Q$1)+SUMIFS(Table2[NewPointsHome],Table2[GameDate], "&lt;=" &amp; $A84, Table2[HomeTeam], Q$1)</f>
        <v>12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6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5</v>
      </c>
      <c r="V84" s="145">
        <f>SUMIFS(Table2[NewPointsAway],Table2[GameDate], "&lt;=" &amp; $A84, Table2[AwayTeam], V$1)+SUMIFS(Table2[NewPointsHome],Table2[GameDate], "&lt;=" &amp; $A84, Table2[HomeTeam], V$1)</f>
        <v>7</v>
      </c>
      <c r="W84" s="145">
        <f>SUMIFS(Table2[NewPointsAway],Table2[GameDate], "&lt;=" &amp; $A84, Table2[AwayTeam], W$1)+SUMIFS(Table2[NewPointsHome],Table2[GameDate], "&lt;=" &amp; $A84, Table2[HomeTeam], W$1)</f>
        <v>10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10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12</v>
      </c>
      <c r="AF84" s="145">
        <f>SUMIFS(Table2[NewPointsAway],Table2[GameDate], "&lt;=" &amp; $A84, Table2[AwayTeam], AF$1)+SUMIFS(Table2[NewPointsHome],Table2[GameDate], "&lt;=" &amp; $A84, Table2[HomeTeam], AF$1)</f>
        <v>10</v>
      </c>
      <c r="AG84" s="145">
        <f>SUMIFS(Table2[NewPointsAway],Table2[GameDate], "&lt;=" &amp; $A84, Table2[AwayTeam], AG$1)+SUMIFS(Table2[NewPointsHome],Table2[GameDate], "&lt;=" &amp; $A84, Table2[HomeTeam], AG$1)</f>
        <v>10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7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6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6</v>
      </c>
      <c r="G85" s="145">
        <f>SUMIFS(Table2[NewPointsAway],Table2[GameDate], "&lt;=" &amp; $A85, Table2[AwayTeam], G$1)+SUMIFS(Table2[NewPointsHome],Table2[GameDate], "&lt;=" &amp; $A85, Table2[HomeTeam], G$1)</f>
        <v>3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12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7</v>
      </c>
      <c r="M85" s="145">
        <f>SUMIFS(Table2[NewPointsAway],Table2[GameDate], "&lt;=" &amp; $A85, Table2[AwayTeam], M$1)+SUMIFS(Table2[NewPointsHome],Table2[GameDate], "&lt;=" &amp; $A85, Table2[HomeTeam], M$1)</f>
        <v>8</v>
      </c>
      <c r="N85" s="145">
        <f>SUMIFS(Table2[NewPointsAway],Table2[GameDate], "&lt;=" &amp; $A85, Table2[AwayTeam], N$1)+SUMIFS(Table2[NewPointsHome],Table2[GameDate], "&lt;=" &amp; $A85, Table2[HomeTeam], N$1)</f>
        <v>6</v>
      </c>
      <c r="O85" s="145">
        <f>SUMIFS(Table2[NewPointsAway],Table2[GameDate], "&lt;=" &amp; $A85, Table2[AwayTeam], O$1)+SUMIFS(Table2[NewPointsHome],Table2[GameDate], "&lt;=" &amp; $A85, Table2[HomeTeam], O$1)</f>
        <v>7</v>
      </c>
      <c r="P85" s="145">
        <f>SUMIFS(Table2[NewPointsAway],Table2[GameDate], "&lt;=" &amp; $A85, Table2[AwayTeam], P$1)+SUMIFS(Table2[NewPointsHome],Table2[GameDate], "&lt;=" &amp; $A85, Table2[HomeTeam], P$1)</f>
        <v>12</v>
      </c>
      <c r="Q85" s="145">
        <f>SUMIFS(Table2[NewPointsAway],Table2[GameDate], "&lt;=" &amp; $A85, Table2[AwayTeam], Q$1)+SUMIFS(Table2[NewPointsHome],Table2[GameDate], "&lt;=" &amp; $A85, Table2[HomeTeam], Q$1)</f>
        <v>12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6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5</v>
      </c>
      <c r="V85" s="145">
        <f>SUMIFS(Table2[NewPointsAway],Table2[GameDate], "&lt;=" &amp; $A85, Table2[AwayTeam], V$1)+SUMIFS(Table2[NewPointsHome],Table2[GameDate], "&lt;=" &amp; $A85, Table2[HomeTeam], V$1)</f>
        <v>7</v>
      </c>
      <c r="W85" s="145">
        <f>SUMIFS(Table2[NewPointsAway],Table2[GameDate], "&lt;=" &amp; $A85, Table2[AwayTeam], W$1)+SUMIFS(Table2[NewPointsHome],Table2[GameDate], "&lt;=" &amp; $A85, Table2[HomeTeam], W$1)</f>
        <v>10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10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12</v>
      </c>
      <c r="AF85" s="145">
        <f>SUMIFS(Table2[NewPointsAway],Table2[GameDate], "&lt;=" &amp; $A85, Table2[AwayTeam], AF$1)+SUMIFS(Table2[NewPointsHome],Table2[GameDate], "&lt;=" &amp; $A85, Table2[HomeTeam], AF$1)</f>
        <v>10</v>
      </c>
      <c r="AG85" s="145">
        <f>SUMIFS(Table2[NewPointsAway],Table2[GameDate], "&lt;=" &amp; $A85, Table2[AwayTeam], AG$1)+SUMIFS(Table2[NewPointsHome],Table2[GameDate], "&lt;=" &amp; $A85, Table2[HomeTeam], AG$1)</f>
        <v>10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7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6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6</v>
      </c>
      <c r="G86" s="145">
        <f>SUMIFS(Table2[NewPointsAway],Table2[GameDate], "&lt;=" &amp; $A86, Table2[AwayTeam], G$1)+SUMIFS(Table2[NewPointsHome],Table2[GameDate], "&lt;=" &amp; $A86, Table2[HomeTeam], G$1)</f>
        <v>3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12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7</v>
      </c>
      <c r="M86" s="145">
        <f>SUMIFS(Table2[NewPointsAway],Table2[GameDate], "&lt;=" &amp; $A86, Table2[AwayTeam], M$1)+SUMIFS(Table2[NewPointsHome],Table2[GameDate], "&lt;=" &amp; $A86, Table2[HomeTeam], M$1)</f>
        <v>8</v>
      </c>
      <c r="N86" s="145">
        <f>SUMIFS(Table2[NewPointsAway],Table2[GameDate], "&lt;=" &amp; $A86, Table2[AwayTeam], N$1)+SUMIFS(Table2[NewPointsHome],Table2[GameDate], "&lt;=" &amp; $A86, Table2[HomeTeam], N$1)</f>
        <v>6</v>
      </c>
      <c r="O86" s="145">
        <f>SUMIFS(Table2[NewPointsAway],Table2[GameDate], "&lt;=" &amp; $A86, Table2[AwayTeam], O$1)+SUMIFS(Table2[NewPointsHome],Table2[GameDate], "&lt;=" &amp; $A86, Table2[HomeTeam], O$1)</f>
        <v>7</v>
      </c>
      <c r="P86" s="145">
        <f>SUMIFS(Table2[NewPointsAway],Table2[GameDate], "&lt;=" &amp; $A86, Table2[AwayTeam], P$1)+SUMIFS(Table2[NewPointsHome],Table2[GameDate], "&lt;=" &amp; $A86, Table2[HomeTeam], P$1)</f>
        <v>12</v>
      </c>
      <c r="Q86" s="145">
        <f>SUMIFS(Table2[NewPointsAway],Table2[GameDate], "&lt;=" &amp; $A86, Table2[AwayTeam], Q$1)+SUMIFS(Table2[NewPointsHome],Table2[GameDate], "&lt;=" &amp; $A86, Table2[HomeTeam], Q$1)</f>
        <v>12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6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5</v>
      </c>
      <c r="V86" s="145">
        <f>SUMIFS(Table2[NewPointsAway],Table2[GameDate], "&lt;=" &amp; $A86, Table2[AwayTeam], V$1)+SUMIFS(Table2[NewPointsHome],Table2[GameDate], "&lt;=" &amp; $A86, Table2[HomeTeam], V$1)</f>
        <v>7</v>
      </c>
      <c r="W86" s="145">
        <f>SUMIFS(Table2[NewPointsAway],Table2[GameDate], "&lt;=" &amp; $A86, Table2[AwayTeam], W$1)+SUMIFS(Table2[NewPointsHome],Table2[GameDate], "&lt;=" &amp; $A86, Table2[HomeTeam], W$1)</f>
        <v>10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10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12</v>
      </c>
      <c r="AF86" s="145">
        <f>SUMIFS(Table2[NewPointsAway],Table2[GameDate], "&lt;=" &amp; $A86, Table2[AwayTeam], AF$1)+SUMIFS(Table2[NewPointsHome],Table2[GameDate], "&lt;=" &amp; $A86, Table2[HomeTeam], AF$1)</f>
        <v>10</v>
      </c>
      <c r="AG86" s="145">
        <f>SUMIFS(Table2[NewPointsAway],Table2[GameDate], "&lt;=" &amp; $A86, Table2[AwayTeam], AG$1)+SUMIFS(Table2[NewPointsHome],Table2[GameDate], "&lt;=" &amp; $A86, Table2[HomeTeam], AG$1)</f>
        <v>10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7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6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6</v>
      </c>
      <c r="G87" s="145">
        <f>SUMIFS(Table2[NewPointsAway],Table2[GameDate], "&lt;=" &amp; $A87, Table2[AwayTeam], G$1)+SUMIFS(Table2[NewPointsHome],Table2[GameDate], "&lt;=" &amp; $A87, Table2[HomeTeam], G$1)</f>
        <v>3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12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7</v>
      </c>
      <c r="M87" s="145">
        <f>SUMIFS(Table2[NewPointsAway],Table2[GameDate], "&lt;=" &amp; $A87, Table2[AwayTeam], M$1)+SUMIFS(Table2[NewPointsHome],Table2[GameDate], "&lt;=" &amp; $A87, Table2[HomeTeam], M$1)</f>
        <v>8</v>
      </c>
      <c r="N87" s="145">
        <f>SUMIFS(Table2[NewPointsAway],Table2[GameDate], "&lt;=" &amp; $A87, Table2[AwayTeam], N$1)+SUMIFS(Table2[NewPointsHome],Table2[GameDate], "&lt;=" &amp; $A87, Table2[HomeTeam], N$1)</f>
        <v>6</v>
      </c>
      <c r="O87" s="145">
        <f>SUMIFS(Table2[NewPointsAway],Table2[GameDate], "&lt;=" &amp; $A87, Table2[AwayTeam], O$1)+SUMIFS(Table2[NewPointsHome],Table2[GameDate], "&lt;=" &amp; $A87, Table2[HomeTeam], O$1)</f>
        <v>7</v>
      </c>
      <c r="P87" s="145">
        <f>SUMIFS(Table2[NewPointsAway],Table2[GameDate], "&lt;=" &amp; $A87, Table2[AwayTeam], P$1)+SUMIFS(Table2[NewPointsHome],Table2[GameDate], "&lt;=" &amp; $A87, Table2[HomeTeam], P$1)</f>
        <v>12</v>
      </c>
      <c r="Q87" s="145">
        <f>SUMIFS(Table2[NewPointsAway],Table2[GameDate], "&lt;=" &amp; $A87, Table2[AwayTeam], Q$1)+SUMIFS(Table2[NewPointsHome],Table2[GameDate], "&lt;=" &amp; $A87, Table2[HomeTeam], Q$1)</f>
        <v>12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6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5</v>
      </c>
      <c r="V87" s="145">
        <f>SUMIFS(Table2[NewPointsAway],Table2[GameDate], "&lt;=" &amp; $A87, Table2[AwayTeam], V$1)+SUMIFS(Table2[NewPointsHome],Table2[GameDate], "&lt;=" &amp; $A87, Table2[HomeTeam], V$1)</f>
        <v>7</v>
      </c>
      <c r="W87" s="145">
        <f>SUMIFS(Table2[NewPointsAway],Table2[GameDate], "&lt;=" &amp; $A87, Table2[AwayTeam], W$1)+SUMIFS(Table2[NewPointsHome],Table2[GameDate], "&lt;=" &amp; $A87, Table2[HomeTeam], W$1)</f>
        <v>10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10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12</v>
      </c>
      <c r="AF87" s="145">
        <f>SUMIFS(Table2[NewPointsAway],Table2[GameDate], "&lt;=" &amp; $A87, Table2[AwayTeam], AF$1)+SUMIFS(Table2[NewPointsHome],Table2[GameDate], "&lt;=" &amp; $A87, Table2[HomeTeam], AF$1)</f>
        <v>10</v>
      </c>
      <c r="AG87" s="145">
        <f>SUMIFS(Table2[NewPointsAway],Table2[GameDate], "&lt;=" &amp; $A87, Table2[AwayTeam], AG$1)+SUMIFS(Table2[NewPointsHome],Table2[GameDate], "&lt;=" &amp; $A87, Table2[HomeTeam], AG$1)</f>
        <v>10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7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6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6</v>
      </c>
      <c r="G88" s="145">
        <f>SUMIFS(Table2[NewPointsAway],Table2[GameDate], "&lt;=" &amp; $A88, Table2[AwayTeam], G$1)+SUMIFS(Table2[NewPointsHome],Table2[GameDate], "&lt;=" &amp; $A88, Table2[HomeTeam], G$1)</f>
        <v>3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12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7</v>
      </c>
      <c r="M88" s="145">
        <f>SUMIFS(Table2[NewPointsAway],Table2[GameDate], "&lt;=" &amp; $A88, Table2[AwayTeam], M$1)+SUMIFS(Table2[NewPointsHome],Table2[GameDate], "&lt;=" &amp; $A88, Table2[HomeTeam], M$1)</f>
        <v>8</v>
      </c>
      <c r="N88" s="145">
        <f>SUMIFS(Table2[NewPointsAway],Table2[GameDate], "&lt;=" &amp; $A88, Table2[AwayTeam], N$1)+SUMIFS(Table2[NewPointsHome],Table2[GameDate], "&lt;=" &amp; $A88, Table2[HomeTeam], N$1)</f>
        <v>6</v>
      </c>
      <c r="O88" s="145">
        <f>SUMIFS(Table2[NewPointsAway],Table2[GameDate], "&lt;=" &amp; $A88, Table2[AwayTeam], O$1)+SUMIFS(Table2[NewPointsHome],Table2[GameDate], "&lt;=" &amp; $A88, Table2[HomeTeam], O$1)</f>
        <v>7</v>
      </c>
      <c r="P88" s="145">
        <f>SUMIFS(Table2[NewPointsAway],Table2[GameDate], "&lt;=" &amp; $A88, Table2[AwayTeam], P$1)+SUMIFS(Table2[NewPointsHome],Table2[GameDate], "&lt;=" &amp; $A88, Table2[HomeTeam], P$1)</f>
        <v>12</v>
      </c>
      <c r="Q88" s="145">
        <f>SUMIFS(Table2[NewPointsAway],Table2[GameDate], "&lt;=" &amp; $A88, Table2[AwayTeam], Q$1)+SUMIFS(Table2[NewPointsHome],Table2[GameDate], "&lt;=" &amp; $A88, Table2[HomeTeam], Q$1)</f>
        <v>12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6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5</v>
      </c>
      <c r="V88" s="145">
        <f>SUMIFS(Table2[NewPointsAway],Table2[GameDate], "&lt;=" &amp; $A88, Table2[AwayTeam], V$1)+SUMIFS(Table2[NewPointsHome],Table2[GameDate], "&lt;=" &amp; $A88, Table2[HomeTeam], V$1)</f>
        <v>7</v>
      </c>
      <c r="W88" s="145">
        <f>SUMIFS(Table2[NewPointsAway],Table2[GameDate], "&lt;=" &amp; $A88, Table2[AwayTeam], W$1)+SUMIFS(Table2[NewPointsHome],Table2[GameDate], "&lt;=" &amp; $A88, Table2[HomeTeam], W$1)</f>
        <v>10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10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12</v>
      </c>
      <c r="AF88" s="145">
        <f>SUMIFS(Table2[NewPointsAway],Table2[GameDate], "&lt;=" &amp; $A88, Table2[AwayTeam], AF$1)+SUMIFS(Table2[NewPointsHome],Table2[GameDate], "&lt;=" &amp; $A88, Table2[HomeTeam], AF$1)</f>
        <v>10</v>
      </c>
      <c r="AG88" s="145">
        <f>SUMIFS(Table2[NewPointsAway],Table2[GameDate], "&lt;=" &amp; $A88, Table2[AwayTeam], AG$1)+SUMIFS(Table2[NewPointsHome],Table2[GameDate], "&lt;=" &amp; $A88, Table2[HomeTeam], AG$1)</f>
        <v>10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7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6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6</v>
      </c>
      <c r="G89" s="145">
        <f>SUMIFS(Table2[NewPointsAway],Table2[GameDate], "&lt;=" &amp; $A89, Table2[AwayTeam], G$1)+SUMIFS(Table2[NewPointsHome],Table2[GameDate], "&lt;=" &amp; $A89, Table2[HomeTeam], G$1)</f>
        <v>3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12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7</v>
      </c>
      <c r="M89" s="145">
        <f>SUMIFS(Table2[NewPointsAway],Table2[GameDate], "&lt;=" &amp; $A89, Table2[AwayTeam], M$1)+SUMIFS(Table2[NewPointsHome],Table2[GameDate], "&lt;=" &amp; $A89, Table2[HomeTeam], M$1)</f>
        <v>8</v>
      </c>
      <c r="N89" s="145">
        <f>SUMIFS(Table2[NewPointsAway],Table2[GameDate], "&lt;=" &amp; $A89, Table2[AwayTeam], N$1)+SUMIFS(Table2[NewPointsHome],Table2[GameDate], "&lt;=" &amp; $A89, Table2[HomeTeam], N$1)</f>
        <v>6</v>
      </c>
      <c r="O89" s="145">
        <f>SUMIFS(Table2[NewPointsAway],Table2[GameDate], "&lt;=" &amp; $A89, Table2[AwayTeam], O$1)+SUMIFS(Table2[NewPointsHome],Table2[GameDate], "&lt;=" &amp; $A89, Table2[HomeTeam], O$1)</f>
        <v>7</v>
      </c>
      <c r="P89" s="145">
        <f>SUMIFS(Table2[NewPointsAway],Table2[GameDate], "&lt;=" &amp; $A89, Table2[AwayTeam], P$1)+SUMIFS(Table2[NewPointsHome],Table2[GameDate], "&lt;=" &amp; $A89, Table2[HomeTeam], P$1)</f>
        <v>12</v>
      </c>
      <c r="Q89" s="145">
        <f>SUMIFS(Table2[NewPointsAway],Table2[GameDate], "&lt;=" &amp; $A89, Table2[AwayTeam], Q$1)+SUMIFS(Table2[NewPointsHome],Table2[GameDate], "&lt;=" &amp; $A89, Table2[HomeTeam], Q$1)</f>
        <v>12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6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5</v>
      </c>
      <c r="V89" s="145">
        <f>SUMIFS(Table2[NewPointsAway],Table2[GameDate], "&lt;=" &amp; $A89, Table2[AwayTeam], V$1)+SUMIFS(Table2[NewPointsHome],Table2[GameDate], "&lt;=" &amp; $A89, Table2[HomeTeam], V$1)</f>
        <v>7</v>
      </c>
      <c r="W89" s="145">
        <f>SUMIFS(Table2[NewPointsAway],Table2[GameDate], "&lt;=" &amp; $A89, Table2[AwayTeam], W$1)+SUMIFS(Table2[NewPointsHome],Table2[GameDate], "&lt;=" &amp; $A89, Table2[HomeTeam], W$1)</f>
        <v>10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10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12</v>
      </c>
      <c r="AF89" s="145">
        <f>SUMIFS(Table2[NewPointsAway],Table2[GameDate], "&lt;=" &amp; $A89, Table2[AwayTeam], AF$1)+SUMIFS(Table2[NewPointsHome],Table2[GameDate], "&lt;=" &amp; $A89, Table2[HomeTeam], AF$1)</f>
        <v>10</v>
      </c>
      <c r="AG89" s="145">
        <f>SUMIFS(Table2[NewPointsAway],Table2[GameDate], "&lt;=" &amp; $A89, Table2[AwayTeam], AG$1)+SUMIFS(Table2[NewPointsHome],Table2[GameDate], "&lt;=" &amp; $A89, Table2[HomeTeam], AG$1)</f>
        <v>10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7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6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6</v>
      </c>
      <c r="G90" s="145">
        <f>SUMIFS(Table2[NewPointsAway],Table2[GameDate], "&lt;=" &amp; $A90, Table2[AwayTeam], G$1)+SUMIFS(Table2[NewPointsHome],Table2[GameDate], "&lt;=" &amp; $A90, Table2[HomeTeam], G$1)</f>
        <v>3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12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7</v>
      </c>
      <c r="M90" s="145">
        <f>SUMIFS(Table2[NewPointsAway],Table2[GameDate], "&lt;=" &amp; $A90, Table2[AwayTeam], M$1)+SUMIFS(Table2[NewPointsHome],Table2[GameDate], "&lt;=" &amp; $A90, Table2[HomeTeam], M$1)</f>
        <v>8</v>
      </c>
      <c r="N90" s="145">
        <f>SUMIFS(Table2[NewPointsAway],Table2[GameDate], "&lt;=" &amp; $A90, Table2[AwayTeam], N$1)+SUMIFS(Table2[NewPointsHome],Table2[GameDate], "&lt;=" &amp; $A90, Table2[HomeTeam], N$1)</f>
        <v>6</v>
      </c>
      <c r="O90" s="145">
        <f>SUMIFS(Table2[NewPointsAway],Table2[GameDate], "&lt;=" &amp; $A90, Table2[AwayTeam], O$1)+SUMIFS(Table2[NewPointsHome],Table2[GameDate], "&lt;=" &amp; $A90, Table2[HomeTeam], O$1)</f>
        <v>7</v>
      </c>
      <c r="P90" s="145">
        <f>SUMIFS(Table2[NewPointsAway],Table2[GameDate], "&lt;=" &amp; $A90, Table2[AwayTeam], P$1)+SUMIFS(Table2[NewPointsHome],Table2[GameDate], "&lt;=" &amp; $A90, Table2[HomeTeam], P$1)</f>
        <v>12</v>
      </c>
      <c r="Q90" s="145">
        <f>SUMIFS(Table2[NewPointsAway],Table2[GameDate], "&lt;=" &amp; $A90, Table2[AwayTeam], Q$1)+SUMIFS(Table2[NewPointsHome],Table2[GameDate], "&lt;=" &amp; $A90, Table2[HomeTeam], Q$1)</f>
        <v>12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6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5</v>
      </c>
      <c r="V90" s="145">
        <f>SUMIFS(Table2[NewPointsAway],Table2[GameDate], "&lt;=" &amp; $A90, Table2[AwayTeam], V$1)+SUMIFS(Table2[NewPointsHome],Table2[GameDate], "&lt;=" &amp; $A90, Table2[HomeTeam], V$1)</f>
        <v>7</v>
      </c>
      <c r="W90" s="145">
        <f>SUMIFS(Table2[NewPointsAway],Table2[GameDate], "&lt;=" &amp; $A90, Table2[AwayTeam], W$1)+SUMIFS(Table2[NewPointsHome],Table2[GameDate], "&lt;=" &amp; $A90, Table2[HomeTeam], W$1)</f>
        <v>10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10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12</v>
      </c>
      <c r="AF90" s="145">
        <f>SUMIFS(Table2[NewPointsAway],Table2[GameDate], "&lt;=" &amp; $A90, Table2[AwayTeam], AF$1)+SUMIFS(Table2[NewPointsHome],Table2[GameDate], "&lt;=" &amp; $A90, Table2[HomeTeam], AF$1)</f>
        <v>10</v>
      </c>
      <c r="AG90" s="145">
        <f>SUMIFS(Table2[NewPointsAway],Table2[GameDate], "&lt;=" &amp; $A90, Table2[AwayTeam], AG$1)+SUMIFS(Table2[NewPointsHome],Table2[GameDate], "&lt;=" &amp; $A90, Table2[HomeTeam], AG$1)</f>
        <v>10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7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6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6</v>
      </c>
      <c r="G91" s="145">
        <f>SUMIFS(Table2[NewPointsAway],Table2[GameDate], "&lt;=" &amp; $A91, Table2[AwayTeam], G$1)+SUMIFS(Table2[NewPointsHome],Table2[GameDate], "&lt;=" &amp; $A91, Table2[HomeTeam], G$1)</f>
        <v>3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12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7</v>
      </c>
      <c r="M91" s="145">
        <f>SUMIFS(Table2[NewPointsAway],Table2[GameDate], "&lt;=" &amp; $A91, Table2[AwayTeam], M$1)+SUMIFS(Table2[NewPointsHome],Table2[GameDate], "&lt;=" &amp; $A91, Table2[HomeTeam], M$1)</f>
        <v>8</v>
      </c>
      <c r="N91" s="145">
        <f>SUMIFS(Table2[NewPointsAway],Table2[GameDate], "&lt;=" &amp; $A91, Table2[AwayTeam], N$1)+SUMIFS(Table2[NewPointsHome],Table2[GameDate], "&lt;=" &amp; $A91, Table2[HomeTeam], N$1)</f>
        <v>6</v>
      </c>
      <c r="O91" s="145">
        <f>SUMIFS(Table2[NewPointsAway],Table2[GameDate], "&lt;=" &amp; $A91, Table2[AwayTeam], O$1)+SUMIFS(Table2[NewPointsHome],Table2[GameDate], "&lt;=" &amp; $A91, Table2[HomeTeam], O$1)</f>
        <v>7</v>
      </c>
      <c r="P91" s="145">
        <f>SUMIFS(Table2[NewPointsAway],Table2[GameDate], "&lt;=" &amp; $A91, Table2[AwayTeam], P$1)+SUMIFS(Table2[NewPointsHome],Table2[GameDate], "&lt;=" &amp; $A91, Table2[HomeTeam], P$1)</f>
        <v>12</v>
      </c>
      <c r="Q91" s="145">
        <f>SUMIFS(Table2[NewPointsAway],Table2[GameDate], "&lt;=" &amp; $A91, Table2[AwayTeam], Q$1)+SUMIFS(Table2[NewPointsHome],Table2[GameDate], "&lt;=" &amp; $A91, Table2[HomeTeam], Q$1)</f>
        <v>12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6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5</v>
      </c>
      <c r="V91" s="145">
        <f>SUMIFS(Table2[NewPointsAway],Table2[GameDate], "&lt;=" &amp; $A91, Table2[AwayTeam], V$1)+SUMIFS(Table2[NewPointsHome],Table2[GameDate], "&lt;=" &amp; $A91, Table2[HomeTeam], V$1)</f>
        <v>7</v>
      </c>
      <c r="W91" s="145">
        <f>SUMIFS(Table2[NewPointsAway],Table2[GameDate], "&lt;=" &amp; $A91, Table2[AwayTeam], W$1)+SUMIFS(Table2[NewPointsHome],Table2[GameDate], "&lt;=" &amp; $A91, Table2[HomeTeam], W$1)</f>
        <v>10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10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12</v>
      </c>
      <c r="AF91" s="145">
        <f>SUMIFS(Table2[NewPointsAway],Table2[GameDate], "&lt;=" &amp; $A91, Table2[AwayTeam], AF$1)+SUMIFS(Table2[NewPointsHome],Table2[GameDate], "&lt;=" &amp; $A91, Table2[HomeTeam], AF$1)</f>
        <v>10</v>
      </c>
      <c r="AG91" s="145">
        <f>SUMIFS(Table2[NewPointsAway],Table2[GameDate], "&lt;=" &amp; $A91, Table2[AwayTeam], AG$1)+SUMIFS(Table2[NewPointsHome],Table2[GameDate], "&lt;=" &amp; $A91, Table2[HomeTeam], AG$1)</f>
        <v>10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7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6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6</v>
      </c>
      <c r="G92" s="145">
        <f>SUMIFS(Table2[NewPointsAway],Table2[GameDate], "&lt;=" &amp; $A92, Table2[AwayTeam], G$1)+SUMIFS(Table2[NewPointsHome],Table2[GameDate], "&lt;=" &amp; $A92, Table2[HomeTeam], G$1)</f>
        <v>3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12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7</v>
      </c>
      <c r="M92" s="145">
        <f>SUMIFS(Table2[NewPointsAway],Table2[GameDate], "&lt;=" &amp; $A92, Table2[AwayTeam], M$1)+SUMIFS(Table2[NewPointsHome],Table2[GameDate], "&lt;=" &amp; $A92, Table2[HomeTeam], M$1)</f>
        <v>8</v>
      </c>
      <c r="N92" s="145">
        <f>SUMIFS(Table2[NewPointsAway],Table2[GameDate], "&lt;=" &amp; $A92, Table2[AwayTeam], N$1)+SUMIFS(Table2[NewPointsHome],Table2[GameDate], "&lt;=" &amp; $A92, Table2[HomeTeam], N$1)</f>
        <v>6</v>
      </c>
      <c r="O92" s="145">
        <f>SUMIFS(Table2[NewPointsAway],Table2[GameDate], "&lt;=" &amp; $A92, Table2[AwayTeam], O$1)+SUMIFS(Table2[NewPointsHome],Table2[GameDate], "&lt;=" &amp; $A92, Table2[HomeTeam], O$1)</f>
        <v>7</v>
      </c>
      <c r="P92" s="145">
        <f>SUMIFS(Table2[NewPointsAway],Table2[GameDate], "&lt;=" &amp; $A92, Table2[AwayTeam], P$1)+SUMIFS(Table2[NewPointsHome],Table2[GameDate], "&lt;=" &amp; $A92, Table2[HomeTeam], P$1)</f>
        <v>12</v>
      </c>
      <c r="Q92" s="145">
        <f>SUMIFS(Table2[NewPointsAway],Table2[GameDate], "&lt;=" &amp; $A92, Table2[AwayTeam], Q$1)+SUMIFS(Table2[NewPointsHome],Table2[GameDate], "&lt;=" &amp; $A92, Table2[HomeTeam], Q$1)</f>
        <v>12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6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5</v>
      </c>
      <c r="V92" s="145">
        <f>SUMIFS(Table2[NewPointsAway],Table2[GameDate], "&lt;=" &amp; $A92, Table2[AwayTeam], V$1)+SUMIFS(Table2[NewPointsHome],Table2[GameDate], "&lt;=" &amp; $A92, Table2[HomeTeam], V$1)</f>
        <v>7</v>
      </c>
      <c r="W92" s="145">
        <f>SUMIFS(Table2[NewPointsAway],Table2[GameDate], "&lt;=" &amp; $A92, Table2[AwayTeam], W$1)+SUMIFS(Table2[NewPointsHome],Table2[GameDate], "&lt;=" &amp; $A92, Table2[HomeTeam], W$1)</f>
        <v>10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10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12</v>
      </c>
      <c r="AF92" s="145">
        <f>SUMIFS(Table2[NewPointsAway],Table2[GameDate], "&lt;=" &amp; $A92, Table2[AwayTeam], AF$1)+SUMIFS(Table2[NewPointsHome],Table2[GameDate], "&lt;=" &amp; $A92, Table2[HomeTeam], AF$1)</f>
        <v>10</v>
      </c>
      <c r="AG92" s="145">
        <f>SUMIFS(Table2[NewPointsAway],Table2[GameDate], "&lt;=" &amp; $A92, Table2[AwayTeam], AG$1)+SUMIFS(Table2[NewPointsHome],Table2[GameDate], "&lt;=" &amp; $A92, Table2[HomeTeam], AG$1)</f>
        <v>10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7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6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6</v>
      </c>
      <c r="G93" s="145">
        <f>SUMIFS(Table2[NewPointsAway],Table2[GameDate], "&lt;=" &amp; $A93, Table2[AwayTeam], G$1)+SUMIFS(Table2[NewPointsHome],Table2[GameDate], "&lt;=" &amp; $A93, Table2[HomeTeam], G$1)</f>
        <v>3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12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7</v>
      </c>
      <c r="M93" s="145">
        <f>SUMIFS(Table2[NewPointsAway],Table2[GameDate], "&lt;=" &amp; $A93, Table2[AwayTeam], M$1)+SUMIFS(Table2[NewPointsHome],Table2[GameDate], "&lt;=" &amp; $A93, Table2[HomeTeam], M$1)</f>
        <v>8</v>
      </c>
      <c r="N93" s="145">
        <f>SUMIFS(Table2[NewPointsAway],Table2[GameDate], "&lt;=" &amp; $A93, Table2[AwayTeam], N$1)+SUMIFS(Table2[NewPointsHome],Table2[GameDate], "&lt;=" &amp; $A93, Table2[HomeTeam], N$1)</f>
        <v>6</v>
      </c>
      <c r="O93" s="145">
        <f>SUMIFS(Table2[NewPointsAway],Table2[GameDate], "&lt;=" &amp; $A93, Table2[AwayTeam], O$1)+SUMIFS(Table2[NewPointsHome],Table2[GameDate], "&lt;=" &amp; $A93, Table2[HomeTeam], O$1)</f>
        <v>7</v>
      </c>
      <c r="P93" s="145">
        <f>SUMIFS(Table2[NewPointsAway],Table2[GameDate], "&lt;=" &amp; $A93, Table2[AwayTeam], P$1)+SUMIFS(Table2[NewPointsHome],Table2[GameDate], "&lt;=" &amp; $A93, Table2[HomeTeam], P$1)</f>
        <v>12</v>
      </c>
      <c r="Q93" s="145">
        <f>SUMIFS(Table2[NewPointsAway],Table2[GameDate], "&lt;=" &amp; $A93, Table2[AwayTeam], Q$1)+SUMIFS(Table2[NewPointsHome],Table2[GameDate], "&lt;=" &amp; $A93, Table2[HomeTeam], Q$1)</f>
        <v>12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6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5</v>
      </c>
      <c r="V93" s="145">
        <f>SUMIFS(Table2[NewPointsAway],Table2[GameDate], "&lt;=" &amp; $A93, Table2[AwayTeam], V$1)+SUMIFS(Table2[NewPointsHome],Table2[GameDate], "&lt;=" &amp; $A93, Table2[HomeTeam], V$1)</f>
        <v>7</v>
      </c>
      <c r="W93" s="145">
        <f>SUMIFS(Table2[NewPointsAway],Table2[GameDate], "&lt;=" &amp; $A93, Table2[AwayTeam], W$1)+SUMIFS(Table2[NewPointsHome],Table2[GameDate], "&lt;=" &amp; $A93, Table2[HomeTeam], W$1)</f>
        <v>10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10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12</v>
      </c>
      <c r="AF93" s="145">
        <f>SUMIFS(Table2[NewPointsAway],Table2[GameDate], "&lt;=" &amp; $A93, Table2[AwayTeam], AF$1)+SUMIFS(Table2[NewPointsHome],Table2[GameDate], "&lt;=" &amp; $A93, Table2[HomeTeam], AF$1)</f>
        <v>10</v>
      </c>
      <c r="AG93" s="145">
        <f>SUMIFS(Table2[NewPointsAway],Table2[GameDate], "&lt;=" &amp; $A93, Table2[AwayTeam], AG$1)+SUMIFS(Table2[NewPointsHome],Table2[GameDate], "&lt;=" &amp; $A93, Table2[HomeTeam], AG$1)</f>
        <v>10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7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6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6</v>
      </c>
      <c r="G94" s="145">
        <f>SUMIFS(Table2[NewPointsAway],Table2[GameDate], "&lt;=" &amp; $A94, Table2[AwayTeam], G$1)+SUMIFS(Table2[NewPointsHome],Table2[GameDate], "&lt;=" &amp; $A94, Table2[HomeTeam], G$1)</f>
        <v>3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12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7</v>
      </c>
      <c r="M94" s="145">
        <f>SUMIFS(Table2[NewPointsAway],Table2[GameDate], "&lt;=" &amp; $A94, Table2[AwayTeam], M$1)+SUMIFS(Table2[NewPointsHome],Table2[GameDate], "&lt;=" &amp; $A94, Table2[HomeTeam], M$1)</f>
        <v>8</v>
      </c>
      <c r="N94" s="145">
        <f>SUMIFS(Table2[NewPointsAway],Table2[GameDate], "&lt;=" &amp; $A94, Table2[AwayTeam], N$1)+SUMIFS(Table2[NewPointsHome],Table2[GameDate], "&lt;=" &amp; $A94, Table2[HomeTeam], N$1)</f>
        <v>6</v>
      </c>
      <c r="O94" s="145">
        <f>SUMIFS(Table2[NewPointsAway],Table2[GameDate], "&lt;=" &amp; $A94, Table2[AwayTeam], O$1)+SUMIFS(Table2[NewPointsHome],Table2[GameDate], "&lt;=" &amp; $A94, Table2[HomeTeam], O$1)</f>
        <v>7</v>
      </c>
      <c r="P94" s="145">
        <f>SUMIFS(Table2[NewPointsAway],Table2[GameDate], "&lt;=" &amp; $A94, Table2[AwayTeam], P$1)+SUMIFS(Table2[NewPointsHome],Table2[GameDate], "&lt;=" &amp; $A94, Table2[HomeTeam], P$1)</f>
        <v>12</v>
      </c>
      <c r="Q94" s="145">
        <f>SUMIFS(Table2[NewPointsAway],Table2[GameDate], "&lt;=" &amp; $A94, Table2[AwayTeam], Q$1)+SUMIFS(Table2[NewPointsHome],Table2[GameDate], "&lt;=" &amp; $A94, Table2[HomeTeam], Q$1)</f>
        <v>12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6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5</v>
      </c>
      <c r="V94" s="145">
        <f>SUMIFS(Table2[NewPointsAway],Table2[GameDate], "&lt;=" &amp; $A94, Table2[AwayTeam], V$1)+SUMIFS(Table2[NewPointsHome],Table2[GameDate], "&lt;=" &amp; $A94, Table2[HomeTeam], V$1)</f>
        <v>7</v>
      </c>
      <c r="W94" s="145">
        <f>SUMIFS(Table2[NewPointsAway],Table2[GameDate], "&lt;=" &amp; $A94, Table2[AwayTeam], W$1)+SUMIFS(Table2[NewPointsHome],Table2[GameDate], "&lt;=" &amp; $A94, Table2[HomeTeam], W$1)</f>
        <v>10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10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12</v>
      </c>
      <c r="AF94" s="145">
        <f>SUMIFS(Table2[NewPointsAway],Table2[GameDate], "&lt;=" &amp; $A94, Table2[AwayTeam], AF$1)+SUMIFS(Table2[NewPointsHome],Table2[GameDate], "&lt;=" &amp; $A94, Table2[HomeTeam], AF$1)</f>
        <v>10</v>
      </c>
      <c r="AG94" s="145">
        <f>SUMIFS(Table2[NewPointsAway],Table2[GameDate], "&lt;=" &amp; $A94, Table2[AwayTeam], AG$1)+SUMIFS(Table2[NewPointsHome],Table2[GameDate], "&lt;=" &amp; $A94, Table2[HomeTeam], AG$1)</f>
        <v>10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7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6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6</v>
      </c>
      <c r="G95" s="145">
        <f>SUMIFS(Table2[NewPointsAway],Table2[GameDate], "&lt;=" &amp; $A95, Table2[AwayTeam], G$1)+SUMIFS(Table2[NewPointsHome],Table2[GameDate], "&lt;=" &amp; $A95, Table2[HomeTeam], G$1)</f>
        <v>3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12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7</v>
      </c>
      <c r="M95" s="145">
        <f>SUMIFS(Table2[NewPointsAway],Table2[GameDate], "&lt;=" &amp; $A95, Table2[AwayTeam], M$1)+SUMIFS(Table2[NewPointsHome],Table2[GameDate], "&lt;=" &amp; $A95, Table2[HomeTeam], M$1)</f>
        <v>8</v>
      </c>
      <c r="N95" s="145">
        <f>SUMIFS(Table2[NewPointsAway],Table2[GameDate], "&lt;=" &amp; $A95, Table2[AwayTeam], N$1)+SUMIFS(Table2[NewPointsHome],Table2[GameDate], "&lt;=" &amp; $A95, Table2[HomeTeam], N$1)</f>
        <v>6</v>
      </c>
      <c r="O95" s="145">
        <f>SUMIFS(Table2[NewPointsAway],Table2[GameDate], "&lt;=" &amp; $A95, Table2[AwayTeam], O$1)+SUMIFS(Table2[NewPointsHome],Table2[GameDate], "&lt;=" &amp; $A95, Table2[HomeTeam], O$1)</f>
        <v>7</v>
      </c>
      <c r="P95" s="145">
        <f>SUMIFS(Table2[NewPointsAway],Table2[GameDate], "&lt;=" &amp; $A95, Table2[AwayTeam], P$1)+SUMIFS(Table2[NewPointsHome],Table2[GameDate], "&lt;=" &amp; $A95, Table2[HomeTeam], P$1)</f>
        <v>12</v>
      </c>
      <c r="Q95" s="145">
        <f>SUMIFS(Table2[NewPointsAway],Table2[GameDate], "&lt;=" &amp; $A95, Table2[AwayTeam], Q$1)+SUMIFS(Table2[NewPointsHome],Table2[GameDate], "&lt;=" &amp; $A95, Table2[HomeTeam], Q$1)</f>
        <v>12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6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5</v>
      </c>
      <c r="V95" s="145">
        <f>SUMIFS(Table2[NewPointsAway],Table2[GameDate], "&lt;=" &amp; $A95, Table2[AwayTeam], V$1)+SUMIFS(Table2[NewPointsHome],Table2[GameDate], "&lt;=" &amp; $A95, Table2[HomeTeam], V$1)</f>
        <v>7</v>
      </c>
      <c r="W95" s="145">
        <f>SUMIFS(Table2[NewPointsAway],Table2[GameDate], "&lt;=" &amp; $A95, Table2[AwayTeam], W$1)+SUMIFS(Table2[NewPointsHome],Table2[GameDate], "&lt;=" &amp; $A95, Table2[HomeTeam], W$1)</f>
        <v>10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10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12</v>
      </c>
      <c r="AF95" s="145">
        <f>SUMIFS(Table2[NewPointsAway],Table2[GameDate], "&lt;=" &amp; $A95, Table2[AwayTeam], AF$1)+SUMIFS(Table2[NewPointsHome],Table2[GameDate], "&lt;=" &amp; $A95, Table2[HomeTeam], AF$1)</f>
        <v>10</v>
      </c>
      <c r="AG95" s="145">
        <f>SUMIFS(Table2[NewPointsAway],Table2[GameDate], "&lt;=" &amp; $A95, Table2[AwayTeam], AG$1)+SUMIFS(Table2[NewPointsHome],Table2[GameDate], "&lt;=" &amp; $A95, Table2[HomeTeam], AG$1)</f>
        <v>10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7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6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6</v>
      </c>
      <c r="G96" s="145">
        <f>SUMIFS(Table2[NewPointsAway],Table2[GameDate], "&lt;=" &amp; $A96, Table2[AwayTeam], G$1)+SUMIFS(Table2[NewPointsHome],Table2[GameDate], "&lt;=" &amp; $A96, Table2[HomeTeam], G$1)</f>
        <v>3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12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7</v>
      </c>
      <c r="M96" s="145">
        <f>SUMIFS(Table2[NewPointsAway],Table2[GameDate], "&lt;=" &amp; $A96, Table2[AwayTeam], M$1)+SUMIFS(Table2[NewPointsHome],Table2[GameDate], "&lt;=" &amp; $A96, Table2[HomeTeam], M$1)</f>
        <v>8</v>
      </c>
      <c r="N96" s="145">
        <f>SUMIFS(Table2[NewPointsAway],Table2[GameDate], "&lt;=" &amp; $A96, Table2[AwayTeam], N$1)+SUMIFS(Table2[NewPointsHome],Table2[GameDate], "&lt;=" &amp; $A96, Table2[HomeTeam], N$1)</f>
        <v>6</v>
      </c>
      <c r="O96" s="145">
        <f>SUMIFS(Table2[NewPointsAway],Table2[GameDate], "&lt;=" &amp; $A96, Table2[AwayTeam], O$1)+SUMIFS(Table2[NewPointsHome],Table2[GameDate], "&lt;=" &amp; $A96, Table2[HomeTeam], O$1)</f>
        <v>7</v>
      </c>
      <c r="P96" s="145">
        <f>SUMIFS(Table2[NewPointsAway],Table2[GameDate], "&lt;=" &amp; $A96, Table2[AwayTeam], P$1)+SUMIFS(Table2[NewPointsHome],Table2[GameDate], "&lt;=" &amp; $A96, Table2[HomeTeam], P$1)</f>
        <v>12</v>
      </c>
      <c r="Q96" s="145">
        <f>SUMIFS(Table2[NewPointsAway],Table2[GameDate], "&lt;=" &amp; $A96, Table2[AwayTeam], Q$1)+SUMIFS(Table2[NewPointsHome],Table2[GameDate], "&lt;=" &amp; $A96, Table2[HomeTeam], Q$1)</f>
        <v>12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6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5</v>
      </c>
      <c r="V96" s="145">
        <f>SUMIFS(Table2[NewPointsAway],Table2[GameDate], "&lt;=" &amp; $A96, Table2[AwayTeam], V$1)+SUMIFS(Table2[NewPointsHome],Table2[GameDate], "&lt;=" &amp; $A96, Table2[HomeTeam], V$1)</f>
        <v>7</v>
      </c>
      <c r="W96" s="145">
        <f>SUMIFS(Table2[NewPointsAway],Table2[GameDate], "&lt;=" &amp; $A96, Table2[AwayTeam], W$1)+SUMIFS(Table2[NewPointsHome],Table2[GameDate], "&lt;=" &amp; $A96, Table2[HomeTeam], W$1)</f>
        <v>10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10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12</v>
      </c>
      <c r="AF96" s="145">
        <f>SUMIFS(Table2[NewPointsAway],Table2[GameDate], "&lt;=" &amp; $A96, Table2[AwayTeam], AF$1)+SUMIFS(Table2[NewPointsHome],Table2[GameDate], "&lt;=" &amp; $A96, Table2[HomeTeam], AF$1)</f>
        <v>10</v>
      </c>
      <c r="AG96" s="145">
        <f>SUMIFS(Table2[NewPointsAway],Table2[GameDate], "&lt;=" &amp; $A96, Table2[AwayTeam], AG$1)+SUMIFS(Table2[NewPointsHome],Table2[GameDate], "&lt;=" &amp; $A96, Table2[HomeTeam], AG$1)</f>
        <v>10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7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6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6</v>
      </c>
      <c r="G97" s="145">
        <f>SUMIFS(Table2[NewPointsAway],Table2[GameDate], "&lt;=" &amp; $A97, Table2[AwayTeam], G$1)+SUMIFS(Table2[NewPointsHome],Table2[GameDate], "&lt;=" &amp; $A97, Table2[HomeTeam], G$1)</f>
        <v>3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12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7</v>
      </c>
      <c r="M97" s="145">
        <f>SUMIFS(Table2[NewPointsAway],Table2[GameDate], "&lt;=" &amp; $A97, Table2[AwayTeam], M$1)+SUMIFS(Table2[NewPointsHome],Table2[GameDate], "&lt;=" &amp; $A97, Table2[HomeTeam], M$1)</f>
        <v>8</v>
      </c>
      <c r="N97" s="145">
        <f>SUMIFS(Table2[NewPointsAway],Table2[GameDate], "&lt;=" &amp; $A97, Table2[AwayTeam], N$1)+SUMIFS(Table2[NewPointsHome],Table2[GameDate], "&lt;=" &amp; $A97, Table2[HomeTeam], N$1)</f>
        <v>6</v>
      </c>
      <c r="O97" s="145">
        <f>SUMIFS(Table2[NewPointsAway],Table2[GameDate], "&lt;=" &amp; $A97, Table2[AwayTeam], O$1)+SUMIFS(Table2[NewPointsHome],Table2[GameDate], "&lt;=" &amp; $A97, Table2[HomeTeam], O$1)</f>
        <v>7</v>
      </c>
      <c r="P97" s="145">
        <f>SUMIFS(Table2[NewPointsAway],Table2[GameDate], "&lt;=" &amp; $A97, Table2[AwayTeam], P$1)+SUMIFS(Table2[NewPointsHome],Table2[GameDate], "&lt;=" &amp; $A97, Table2[HomeTeam], P$1)</f>
        <v>12</v>
      </c>
      <c r="Q97" s="145">
        <f>SUMIFS(Table2[NewPointsAway],Table2[GameDate], "&lt;=" &amp; $A97, Table2[AwayTeam], Q$1)+SUMIFS(Table2[NewPointsHome],Table2[GameDate], "&lt;=" &amp; $A97, Table2[HomeTeam], Q$1)</f>
        <v>12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6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5</v>
      </c>
      <c r="V97" s="145">
        <f>SUMIFS(Table2[NewPointsAway],Table2[GameDate], "&lt;=" &amp; $A97, Table2[AwayTeam], V$1)+SUMIFS(Table2[NewPointsHome],Table2[GameDate], "&lt;=" &amp; $A97, Table2[HomeTeam], V$1)</f>
        <v>7</v>
      </c>
      <c r="W97" s="145">
        <f>SUMIFS(Table2[NewPointsAway],Table2[GameDate], "&lt;=" &amp; $A97, Table2[AwayTeam], W$1)+SUMIFS(Table2[NewPointsHome],Table2[GameDate], "&lt;=" &amp; $A97, Table2[HomeTeam], W$1)</f>
        <v>10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10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12</v>
      </c>
      <c r="AF97" s="145">
        <f>SUMIFS(Table2[NewPointsAway],Table2[GameDate], "&lt;=" &amp; $A97, Table2[AwayTeam], AF$1)+SUMIFS(Table2[NewPointsHome],Table2[GameDate], "&lt;=" &amp; $A97, Table2[HomeTeam], AF$1)</f>
        <v>10</v>
      </c>
      <c r="AG97" s="145">
        <f>SUMIFS(Table2[NewPointsAway],Table2[GameDate], "&lt;=" &amp; $A97, Table2[AwayTeam], AG$1)+SUMIFS(Table2[NewPointsHome],Table2[GameDate], "&lt;=" &amp; $A97, Table2[HomeTeam], AG$1)</f>
        <v>10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7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6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6</v>
      </c>
      <c r="G98" s="145">
        <f>SUMIFS(Table2[NewPointsAway],Table2[GameDate], "&lt;=" &amp; $A98, Table2[AwayTeam], G$1)+SUMIFS(Table2[NewPointsHome],Table2[GameDate], "&lt;=" &amp; $A98, Table2[HomeTeam], G$1)</f>
        <v>3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12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7</v>
      </c>
      <c r="M98" s="145">
        <f>SUMIFS(Table2[NewPointsAway],Table2[GameDate], "&lt;=" &amp; $A98, Table2[AwayTeam], M$1)+SUMIFS(Table2[NewPointsHome],Table2[GameDate], "&lt;=" &amp; $A98, Table2[HomeTeam], M$1)</f>
        <v>8</v>
      </c>
      <c r="N98" s="145">
        <f>SUMIFS(Table2[NewPointsAway],Table2[GameDate], "&lt;=" &amp; $A98, Table2[AwayTeam], N$1)+SUMIFS(Table2[NewPointsHome],Table2[GameDate], "&lt;=" &amp; $A98, Table2[HomeTeam], N$1)</f>
        <v>6</v>
      </c>
      <c r="O98" s="145">
        <f>SUMIFS(Table2[NewPointsAway],Table2[GameDate], "&lt;=" &amp; $A98, Table2[AwayTeam], O$1)+SUMIFS(Table2[NewPointsHome],Table2[GameDate], "&lt;=" &amp; $A98, Table2[HomeTeam], O$1)</f>
        <v>7</v>
      </c>
      <c r="P98" s="145">
        <f>SUMIFS(Table2[NewPointsAway],Table2[GameDate], "&lt;=" &amp; $A98, Table2[AwayTeam], P$1)+SUMIFS(Table2[NewPointsHome],Table2[GameDate], "&lt;=" &amp; $A98, Table2[HomeTeam], P$1)</f>
        <v>12</v>
      </c>
      <c r="Q98" s="145">
        <f>SUMIFS(Table2[NewPointsAway],Table2[GameDate], "&lt;=" &amp; $A98, Table2[AwayTeam], Q$1)+SUMIFS(Table2[NewPointsHome],Table2[GameDate], "&lt;=" &amp; $A98, Table2[HomeTeam], Q$1)</f>
        <v>12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6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5</v>
      </c>
      <c r="V98" s="145">
        <f>SUMIFS(Table2[NewPointsAway],Table2[GameDate], "&lt;=" &amp; $A98, Table2[AwayTeam], V$1)+SUMIFS(Table2[NewPointsHome],Table2[GameDate], "&lt;=" &amp; $A98, Table2[HomeTeam], V$1)</f>
        <v>7</v>
      </c>
      <c r="W98" s="145">
        <f>SUMIFS(Table2[NewPointsAway],Table2[GameDate], "&lt;=" &amp; $A98, Table2[AwayTeam], W$1)+SUMIFS(Table2[NewPointsHome],Table2[GameDate], "&lt;=" &amp; $A98, Table2[HomeTeam], W$1)</f>
        <v>10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10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12</v>
      </c>
      <c r="AF98" s="145">
        <f>SUMIFS(Table2[NewPointsAway],Table2[GameDate], "&lt;=" &amp; $A98, Table2[AwayTeam], AF$1)+SUMIFS(Table2[NewPointsHome],Table2[GameDate], "&lt;=" &amp; $A98, Table2[HomeTeam], AF$1)</f>
        <v>10</v>
      </c>
      <c r="AG98" s="145">
        <f>SUMIFS(Table2[NewPointsAway],Table2[GameDate], "&lt;=" &amp; $A98, Table2[AwayTeam], AG$1)+SUMIFS(Table2[NewPointsHome],Table2[GameDate], "&lt;=" &amp; $A98, Table2[HomeTeam], AG$1)</f>
        <v>10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7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6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6</v>
      </c>
      <c r="G99" s="145">
        <f>SUMIFS(Table2[NewPointsAway],Table2[GameDate], "&lt;=" &amp; $A99, Table2[AwayTeam], G$1)+SUMIFS(Table2[NewPointsHome],Table2[GameDate], "&lt;=" &amp; $A99, Table2[HomeTeam], G$1)</f>
        <v>3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12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7</v>
      </c>
      <c r="M99" s="145">
        <f>SUMIFS(Table2[NewPointsAway],Table2[GameDate], "&lt;=" &amp; $A99, Table2[AwayTeam], M$1)+SUMIFS(Table2[NewPointsHome],Table2[GameDate], "&lt;=" &amp; $A99, Table2[HomeTeam], M$1)</f>
        <v>8</v>
      </c>
      <c r="N99" s="145">
        <f>SUMIFS(Table2[NewPointsAway],Table2[GameDate], "&lt;=" &amp; $A99, Table2[AwayTeam], N$1)+SUMIFS(Table2[NewPointsHome],Table2[GameDate], "&lt;=" &amp; $A99, Table2[HomeTeam], N$1)</f>
        <v>6</v>
      </c>
      <c r="O99" s="145">
        <f>SUMIFS(Table2[NewPointsAway],Table2[GameDate], "&lt;=" &amp; $A99, Table2[AwayTeam], O$1)+SUMIFS(Table2[NewPointsHome],Table2[GameDate], "&lt;=" &amp; $A99, Table2[HomeTeam], O$1)</f>
        <v>7</v>
      </c>
      <c r="P99" s="145">
        <f>SUMIFS(Table2[NewPointsAway],Table2[GameDate], "&lt;=" &amp; $A99, Table2[AwayTeam], P$1)+SUMIFS(Table2[NewPointsHome],Table2[GameDate], "&lt;=" &amp; $A99, Table2[HomeTeam], P$1)</f>
        <v>12</v>
      </c>
      <c r="Q99" s="145">
        <f>SUMIFS(Table2[NewPointsAway],Table2[GameDate], "&lt;=" &amp; $A99, Table2[AwayTeam], Q$1)+SUMIFS(Table2[NewPointsHome],Table2[GameDate], "&lt;=" &amp; $A99, Table2[HomeTeam], Q$1)</f>
        <v>12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6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5</v>
      </c>
      <c r="V99" s="145">
        <f>SUMIFS(Table2[NewPointsAway],Table2[GameDate], "&lt;=" &amp; $A99, Table2[AwayTeam], V$1)+SUMIFS(Table2[NewPointsHome],Table2[GameDate], "&lt;=" &amp; $A99, Table2[HomeTeam], V$1)</f>
        <v>7</v>
      </c>
      <c r="W99" s="145">
        <f>SUMIFS(Table2[NewPointsAway],Table2[GameDate], "&lt;=" &amp; $A99, Table2[AwayTeam], W$1)+SUMIFS(Table2[NewPointsHome],Table2[GameDate], "&lt;=" &amp; $A99, Table2[HomeTeam], W$1)</f>
        <v>10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10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12</v>
      </c>
      <c r="AF99" s="145">
        <f>SUMIFS(Table2[NewPointsAway],Table2[GameDate], "&lt;=" &amp; $A99, Table2[AwayTeam], AF$1)+SUMIFS(Table2[NewPointsHome],Table2[GameDate], "&lt;=" &amp; $A99, Table2[HomeTeam], AF$1)</f>
        <v>10</v>
      </c>
      <c r="AG99" s="145">
        <f>SUMIFS(Table2[NewPointsAway],Table2[GameDate], "&lt;=" &amp; $A99, Table2[AwayTeam], AG$1)+SUMIFS(Table2[NewPointsHome],Table2[GameDate], "&lt;=" &amp; $A99, Table2[HomeTeam], AG$1)</f>
        <v>10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7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6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6</v>
      </c>
      <c r="G100" s="145">
        <f>SUMIFS(Table2[NewPointsAway],Table2[GameDate], "&lt;=" &amp; $A100, Table2[AwayTeam], G$1)+SUMIFS(Table2[NewPointsHome],Table2[GameDate], "&lt;=" &amp; $A100, Table2[HomeTeam], G$1)</f>
        <v>3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12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7</v>
      </c>
      <c r="M100" s="145">
        <f>SUMIFS(Table2[NewPointsAway],Table2[GameDate], "&lt;=" &amp; $A100, Table2[AwayTeam], M$1)+SUMIFS(Table2[NewPointsHome],Table2[GameDate], "&lt;=" &amp; $A100, Table2[HomeTeam], M$1)</f>
        <v>8</v>
      </c>
      <c r="N100" s="145">
        <f>SUMIFS(Table2[NewPointsAway],Table2[GameDate], "&lt;=" &amp; $A100, Table2[AwayTeam], N$1)+SUMIFS(Table2[NewPointsHome],Table2[GameDate], "&lt;=" &amp; $A100, Table2[HomeTeam], N$1)</f>
        <v>6</v>
      </c>
      <c r="O100" s="145">
        <f>SUMIFS(Table2[NewPointsAway],Table2[GameDate], "&lt;=" &amp; $A100, Table2[AwayTeam], O$1)+SUMIFS(Table2[NewPointsHome],Table2[GameDate], "&lt;=" &amp; $A100, Table2[HomeTeam], O$1)</f>
        <v>7</v>
      </c>
      <c r="P100" s="145">
        <f>SUMIFS(Table2[NewPointsAway],Table2[GameDate], "&lt;=" &amp; $A100, Table2[AwayTeam], P$1)+SUMIFS(Table2[NewPointsHome],Table2[GameDate], "&lt;=" &amp; $A100, Table2[HomeTeam], P$1)</f>
        <v>12</v>
      </c>
      <c r="Q100" s="145">
        <f>SUMIFS(Table2[NewPointsAway],Table2[GameDate], "&lt;=" &amp; $A100, Table2[AwayTeam], Q$1)+SUMIFS(Table2[NewPointsHome],Table2[GameDate], "&lt;=" &amp; $A100, Table2[HomeTeam], Q$1)</f>
        <v>12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6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5</v>
      </c>
      <c r="V100" s="145">
        <f>SUMIFS(Table2[NewPointsAway],Table2[GameDate], "&lt;=" &amp; $A100, Table2[AwayTeam], V$1)+SUMIFS(Table2[NewPointsHome],Table2[GameDate], "&lt;=" &amp; $A100, Table2[HomeTeam], V$1)</f>
        <v>7</v>
      </c>
      <c r="W100" s="145">
        <f>SUMIFS(Table2[NewPointsAway],Table2[GameDate], "&lt;=" &amp; $A100, Table2[AwayTeam], W$1)+SUMIFS(Table2[NewPointsHome],Table2[GameDate], "&lt;=" &amp; $A100, Table2[HomeTeam], W$1)</f>
        <v>10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10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12</v>
      </c>
      <c r="AF100" s="145">
        <f>SUMIFS(Table2[NewPointsAway],Table2[GameDate], "&lt;=" &amp; $A100, Table2[AwayTeam], AF$1)+SUMIFS(Table2[NewPointsHome],Table2[GameDate], "&lt;=" &amp; $A100, Table2[HomeTeam], AF$1)</f>
        <v>10</v>
      </c>
      <c r="AG100" s="145">
        <f>SUMIFS(Table2[NewPointsAway],Table2[GameDate], "&lt;=" &amp; $A100, Table2[AwayTeam], AG$1)+SUMIFS(Table2[NewPointsHome],Table2[GameDate], "&lt;=" &amp; $A100, Table2[HomeTeam], AG$1)</f>
        <v>10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7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6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6</v>
      </c>
      <c r="G101" s="145">
        <f>SUMIFS(Table2[NewPointsAway],Table2[GameDate], "&lt;=" &amp; $A101, Table2[AwayTeam], G$1)+SUMIFS(Table2[NewPointsHome],Table2[GameDate], "&lt;=" &amp; $A101, Table2[HomeTeam], G$1)</f>
        <v>3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12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7</v>
      </c>
      <c r="M101" s="145">
        <f>SUMIFS(Table2[NewPointsAway],Table2[GameDate], "&lt;=" &amp; $A101, Table2[AwayTeam], M$1)+SUMIFS(Table2[NewPointsHome],Table2[GameDate], "&lt;=" &amp; $A101, Table2[HomeTeam], M$1)</f>
        <v>8</v>
      </c>
      <c r="N101" s="145">
        <f>SUMIFS(Table2[NewPointsAway],Table2[GameDate], "&lt;=" &amp; $A101, Table2[AwayTeam], N$1)+SUMIFS(Table2[NewPointsHome],Table2[GameDate], "&lt;=" &amp; $A101, Table2[HomeTeam], N$1)</f>
        <v>6</v>
      </c>
      <c r="O101" s="145">
        <f>SUMIFS(Table2[NewPointsAway],Table2[GameDate], "&lt;=" &amp; $A101, Table2[AwayTeam], O$1)+SUMIFS(Table2[NewPointsHome],Table2[GameDate], "&lt;=" &amp; $A101, Table2[HomeTeam], O$1)</f>
        <v>7</v>
      </c>
      <c r="P101" s="145">
        <f>SUMIFS(Table2[NewPointsAway],Table2[GameDate], "&lt;=" &amp; $A101, Table2[AwayTeam], P$1)+SUMIFS(Table2[NewPointsHome],Table2[GameDate], "&lt;=" &amp; $A101, Table2[HomeTeam], P$1)</f>
        <v>12</v>
      </c>
      <c r="Q101" s="145">
        <f>SUMIFS(Table2[NewPointsAway],Table2[GameDate], "&lt;=" &amp; $A101, Table2[AwayTeam], Q$1)+SUMIFS(Table2[NewPointsHome],Table2[GameDate], "&lt;=" &amp; $A101, Table2[HomeTeam], Q$1)</f>
        <v>12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6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5</v>
      </c>
      <c r="V101" s="145">
        <f>SUMIFS(Table2[NewPointsAway],Table2[GameDate], "&lt;=" &amp; $A101, Table2[AwayTeam], V$1)+SUMIFS(Table2[NewPointsHome],Table2[GameDate], "&lt;=" &amp; $A101, Table2[HomeTeam], V$1)</f>
        <v>7</v>
      </c>
      <c r="W101" s="145">
        <f>SUMIFS(Table2[NewPointsAway],Table2[GameDate], "&lt;=" &amp; $A101, Table2[AwayTeam], W$1)+SUMIFS(Table2[NewPointsHome],Table2[GameDate], "&lt;=" &amp; $A101, Table2[HomeTeam], W$1)</f>
        <v>10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10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12</v>
      </c>
      <c r="AF101" s="145">
        <f>SUMIFS(Table2[NewPointsAway],Table2[GameDate], "&lt;=" &amp; $A101, Table2[AwayTeam], AF$1)+SUMIFS(Table2[NewPointsHome],Table2[GameDate], "&lt;=" &amp; $A101, Table2[HomeTeam], AF$1)</f>
        <v>10</v>
      </c>
      <c r="AG101" s="145">
        <f>SUMIFS(Table2[NewPointsAway],Table2[GameDate], "&lt;=" &amp; $A101, Table2[AwayTeam], AG$1)+SUMIFS(Table2[NewPointsHome],Table2[GameDate], "&lt;=" &amp; $A101, Table2[HomeTeam], AG$1)</f>
        <v>10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7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6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6</v>
      </c>
      <c r="G102" s="145">
        <f>SUMIFS(Table2[NewPointsAway],Table2[GameDate], "&lt;=" &amp; $A102, Table2[AwayTeam], G$1)+SUMIFS(Table2[NewPointsHome],Table2[GameDate], "&lt;=" &amp; $A102, Table2[HomeTeam], G$1)</f>
        <v>3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12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7</v>
      </c>
      <c r="M102" s="145">
        <f>SUMIFS(Table2[NewPointsAway],Table2[GameDate], "&lt;=" &amp; $A102, Table2[AwayTeam], M$1)+SUMIFS(Table2[NewPointsHome],Table2[GameDate], "&lt;=" &amp; $A102, Table2[HomeTeam], M$1)</f>
        <v>8</v>
      </c>
      <c r="N102" s="145">
        <f>SUMIFS(Table2[NewPointsAway],Table2[GameDate], "&lt;=" &amp; $A102, Table2[AwayTeam], N$1)+SUMIFS(Table2[NewPointsHome],Table2[GameDate], "&lt;=" &amp; $A102, Table2[HomeTeam], N$1)</f>
        <v>6</v>
      </c>
      <c r="O102" s="145">
        <f>SUMIFS(Table2[NewPointsAway],Table2[GameDate], "&lt;=" &amp; $A102, Table2[AwayTeam], O$1)+SUMIFS(Table2[NewPointsHome],Table2[GameDate], "&lt;=" &amp; $A102, Table2[HomeTeam], O$1)</f>
        <v>7</v>
      </c>
      <c r="P102" s="145">
        <f>SUMIFS(Table2[NewPointsAway],Table2[GameDate], "&lt;=" &amp; $A102, Table2[AwayTeam], P$1)+SUMIFS(Table2[NewPointsHome],Table2[GameDate], "&lt;=" &amp; $A102, Table2[HomeTeam], P$1)</f>
        <v>12</v>
      </c>
      <c r="Q102" s="145">
        <f>SUMIFS(Table2[NewPointsAway],Table2[GameDate], "&lt;=" &amp; $A102, Table2[AwayTeam], Q$1)+SUMIFS(Table2[NewPointsHome],Table2[GameDate], "&lt;=" &amp; $A102, Table2[HomeTeam], Q$1)</f>
        <v>12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6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5</v>
      </c>
      <c r="V102" s="145">
        <f>SUMIFS(Table2[NewPointsAway],Table2[GameDate], "&lt;=" &amp; $A102, Table2[AwayTeam], V$1)+SUMIFS(Table2[NewPointsHome],Table2[GameDate], "&lt;=" &amp; $A102, Table2[HomeTeam], V$1)</f>
        <v>7</v>
      </c>
      <c r="W102" s="145">
        <f>SUMIFS(Table2[NewPointsAway],Table2[GameDate], "&lt;=" &amp; $A102, Table2[AwayTeam], W$1)+SUMIFS(Table2[NewPointsHome],Table2[GameDate], "&lt;=" &amp; $A102, Table2[HomeTeam], W$1)</f>
        <v>10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10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12</v>
      </c>
      <c r="AF102" s="145">
        <f>SUMIFS(Table2[NewPointsAway],Table2[GameDate], "&lt;=" &amp; $A102, Table2[AwayTeam], AF$1)+SUMIFS(Table2[NewPointsHome],Table2[GameDate], "&lt;=" &amp; $A102, Table2[HomeTeam], AF$1)</f>
        <v>10</v>
      </c>
      <c r="AG102" s="145">
        <f>SUMIFS(Table2[NewPointsAway],Table2[GameDate], "&lt;=" &amp; $A102, Table2[AwayTeam], AG$1)+SUMIFS(Table2[NewPointsHome],Table2[GameDate], "&lt;=" &amp; $A102, Table2[HomeTeam], AG$1)</f>
        <v>10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7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6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6</v>
      </c>
      <c r="G103" s="145">
        <f>SUMIFS(Table2[NewPointsAway],Table2[GameDate], "&lt;=" &amp; $A103, Table2[AwayTeam], G$1)+SUMIFS(Table2[NewPointsHome],Table2[GameDate], "&lt;=" &amp; $A103, Table2[HomeTeam], G$1)</f>
        <v>3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12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7</v>
      </c>
      <c r="M103" s="145">
        <f>SUMIFS(Table2[NewPointsAway],Table2[GameDate], "&lt;=" &amp; $A103, Table2[AwayTeam], M$1)+SUMIFS(Table2[NewPointsHome],Table2[GameDate], "&lt;=" &amp; $A103, Table2[HomeTeam], M$1)</f>
        <v>8</v>
      </c>
      <c r="N103" s="145">
        <f>SUMIFS(Table2[NewPointsAway],Table2[GameDate], "&lt;=" &amp; $A103, Table2[AwayTeam], N$1)+SUMIFS(Table2[NewPointsHome],Table2[GameDate], "&lt;=" &amp; $A103, Table2[HomeTeam], N$1)</f>
        <v>6</v>
      </c>
      <c r="O103" s="145">
        <f>SUMIFS(Table2[NewPointsAway],Table2[GameDate], "&lt;=" &amp; $A103, Table2[AwayTeam], O$1)+SUMIFS(Table2[NewPointsHome],Table2[GameDate], "&lt;=" &amp; $A103, Table2[HomeTeam], O$1)</f>
        <v>7</v>
      </c>
      <c r="P103" s="145">
        <f>SUMIFS(Table2[NewPointsAway],Table2[GameDate], "&lt;=" &amp; $A103, Table2[AwayTeam], P$1)+SUMIFS(Table2[NewPointsHome],Table2[GameDate], "&lt;=" &amp; $A103, Table2[HomeTeam], P$1)</f>
        <v>12</v>
      </c>
      <c r="Q103" s="145">
        <f>SUMIFS(Table2[NewPointsAway],Table2[GameDate], "&lt;=" &amp; $A103, Table2[AwayTeam], Q$1)+SUMIFS(Table2[NewPointsHome],Table2[GameDate], "&lt;=" &amp; $A103, Table2[HomeTeam], Q$1)</f>
        <v>12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6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5</v>
      </c>
      <c r="V103" s="145">
        <f>SUMIFS(Table2[NewPointsAway],Table2[GameDate], "&lt;=" &amp; $A103, Table2[AwayTeam], V$1)+SUMIFS(Table2[NewPointsHome],Table2[GameDate], "&lt;=" &amp; $A103, Table2[HomeTeam], V$1)</f>
        <v>7</v>
      </c>
      <c r="W103" s="145">
        <f>SUMIFS(Table2[NewPointsAway],Table2[GameDate], "&lt;=" &amp; $A103, Table2[AwayTeam], W$1)+SUMIFS(Table2[NewPointsHome],Table2[GameDate], "&lt;=" &amp; $A103, Table2[HomeTeam], W$1)</f>
        <v>10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10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12</v>
      </c>
      <c r="AF103" s="145">
        <f>SUMIFS(Table2[NewPointsAway],Table2[GameDate], "&lt;=" &amp; $A103, Table2[AwayTeam], AF$1)+SUMIFS(Table2[NewPointsHome],Table2[GameDate], "&lt;=" &amp; $A103, Table2[HomeTeam], AF$1)</f>
        <v>10</v>
      </c>
      <c r="AG103" s="145">
        <f>SUMIFS(Table2[NewPointsAway],Table2[GameDate], "&lt;=" &amp; $A103, Table2[AwayTeam], AG$1)+SUMIFS(Table2[NewPointsHome],Table2[GameDate], "&lt;=" &amp; $A103, Table2[HomeTeam], AG$1)</f>
        <v>10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7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6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6</v>
      </c>
      <c r="G104" s="145">
        <f>SUMIFS(Table2[NewPointsAway],Table2[GameDate], "&lt;=" &amp; $A104, Table2[AwayTeam], G$1)+SUMIFS(Table2[NewPointsHome],Table2[GameDate], "&lt;=" &amp; $A104, Table2[HomeTeam], G$1)</f>
        <v>3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12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7</v>
      </c>
      <c r="M104" s="145">
        <f>SUMIFS(Table2[NewPointsAway],Table2[GameDate], "&lt;=" &amp; $A104, Table2[AwayTeam], M$1)+SUMIFS(Table2[NewPointsHome],Table2[GameDate], "&lt;=" &amp; $A104, Table2[HomeTeam], M$1)</f>
        <v>8</v>
      </c>
      <c r="N104" s="145">
        <f>SUMIFS(Table2[NewPointsAway],Table2[GameDate], "&lt;=" &amp; $A104, Table2[AwayTeam], N$1)+SUMIFS(Table2[NewPointsHome],Table2[GameDate], "&lt;=" &amp; $A104, Table2[HomeTeam], N$1)</f>
        <v>6</v>
      </c>
      <c r="O104" s="145">
        <f>SUMIFS(Table2[NewPointsAway],Table2[GameDate], "&lt;=" &amp; $A104, Table2[AwayTeam], O$1)+SUMIFS(Table2[NewPointsHome],Table2[GameDate], "&lt;=" &amp; $A104, Table2[HomeTeam], O$1)</f>
        <v>7</v>
      </c>
      <c r="P104" s="145">
        <f>SUMIFS(Table2[NewPointsAway],Table2[GameDate], "&lt;=" &amp; $A104, Table2[AwayTeam], P$1)+SUMIFS(Table2[NewPointsHome],Table2[GameDate], "&lt;=" &amp; $A104, Table2[HomeTeam], P$1)</f>
        <v>12</v>
      </c>
      <c r="Q104" s="145">
        <f>SUMIFS(Table2[NewPointsAway],Table2[GameDate], "&lt;=" &amp; $A104, Table2[AwayTeam], Q$1)+SUMIFS(Table2[NewPointsHome],Table2[GameDate], "&lt;=" &amp; $A104, Table2[HomeTeam], Q$1)</f>
        <v>12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6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5</v>
      </c>
      <c r="V104" s="145">
        <f>SUMIFS(Table2[NewPointsAway],Table2[GameDate], "&lt;=" &amp; $A104, Table2[AwayTeam], V$1)+SUMIFS(Table2[NewPointsHome],Table2[GameDate], "&lt;=" &amp; $A104, Table2[HomeTeam], V$1)</f>
        <v>7</v>
      </c>
      <c r="W104" s="145">
        <f>SUMIFS(Table2[NewPointsAway],Table2[GameDate], "&lt;=" &amp; $A104, Table2[AwayTeam], W$1)+SUMIFS(Table2[NewPointsHome],Table2[GameDate], "&lt;=" &amp; $A104, Table2[HomeTeam], W$1)</f>
        <v>10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10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12</v>
      </c>
      <c r="AF104" s="145">
        <f>SUMIFS(Table2[NewPointsAway],Table2[GameDate], "&lt;=" &amp; $A104, Table2[AwayTeam], AF$1)+SUMIFS(Table2[NewPointsHome],Table2[GameDate], "&lt;=" &amp; $A104, Table2[HomeTeam], AF$1)</f>
        <v>10</v>
      </c>
      <c r="AG104" s="145">
        <f>SUMIFS(Table2[NewPointsAway],Table2[GameDate], "&lt;=" &amp; $A104, Table2[AwayTeam], AG$1)+SUMIFS(Table2[NewPointsHome],Table2[GameDate], "&lt;=" &amp; $A104, Table2[HomeTeam], AG$1)</f>
        <v>10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7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6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6</v>
      </c>
      <c r="G105" s="145">
        <f>SUMIFS(Table2[NewPointsAway],Table2[GameDate], "&lt;=" &amp; $A105, Table2[AwayTeam], G$1)+SUMIFS(Table2[NewPointsHome],Table2[GameDate], "&lt;=" &amp; $A105, Table2[HomeTeam], G$1)</f>
        <v>3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12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7</v>
      </c>
      <c r="M105" s="145">
        <f>SUMIFS(Table2[NewPointsAway],Table2[GameDate], "&lt;=" &amp; $A105, Table2[AwayTeam], M$1)+SUMIFS(Table2[NewPointsHome],Table2[GameDate], "&lt;=" &amp; $A105, Table2[HomeTeam], M$1)</f>
        <v>8</v>
      </c>
      <c r="N105" s="145">
        <f>SUMIFS(Table2[NewPointsAway],Table2[GameDate], "&lt;=" &amp; $A105, Table2[AwayTeam], N$1)+SUMIFS(Table2[NewPointsHome],Table2[GameDate], "&lt;=" &amp; $A105, Table2[HomeTeam], N$1)</f>
        <v>6</v>
      </c>
      <c r="O105" s="145">
        <f>SUMIFS(Table2[NewPointsAway],Table2[GameDate], "&lt;=" &amp; $A105, Table2[AwayTeam], O$1)+SUMIFS(Table2[NewPointsHome],Table2[GameDate], "&lt;=" &amp; $A105, Table2[HomeTeam], O$1)</f>
        <v>7</v>
      </c>
      <c r="P105" s="145">
        <f>SUMIFS(Table2[NewPointsAway],Table2[GameDate], "&lt;=" &amp; $A105, Table2[AwayTeam], P$1)+SUMIFS(Table2[NewPointsHome],Table2[GameDate], "&lt;=" &amp; $A105, Table2[HomeTeam], P$1)</f>
        <v>12</v>
      </c>
      <c r="Q105" s="145">
        <f>SUMIFS(Table2[NewPointsAway],Table2[GameDate], "&lt;=" &amp; $A105, Table2[AwayTeam], Q$1)+SUMIFS(Table2[NewPointsHome],Table2[GameDate], "&lt;=" &amp; $A105, Table2[HomeTeam], Q$1)</f>
        <v>12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6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5</v>
      </c>
      <c r="V105" s="145">
        <f>SUMIFS(Table2[NewPointsAway],Table2[GameDate], "&lt;=" &amp; $A105, Table2[AwayTeam], V$1)+SUMIFS(Table2[NewPointsHome],Table2[GameDate], "&lt;=" &amp; $A105, Table2[HomeTeam], V$1)</f>
        <v>7</v>
      </c>
      <c r="W105" s="145">
        <f>SUMIFS(Table2[NewPointsAway],Table2[GameDate], "&lt;=" &amp; $A105, Table2[AwayTeam], W$1)+SUMIFS(Table2[NewPointsHome],Table2[GameDate], "&lt;=" &amp; $A105, Table2[HomeTeam], W$1)</f>
        <v>10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10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12</v>
      </c>
      <c r="AF105" s="145">
        <f>SUMIFS(Table2[NewPointsAway],Table2[GameDate], "&lt;=" &amp; $A105, Table2[AwayTeam], AF$1)+SUMIFS(Table2[NewPointsHome],Table2[GameDate], "&lt;=" &amp; $A105, Table2[HomeTeam], AF$1)</f>
        <v>10</v>
      </c>
      <c r="AG105" s="145">
        <f>SUMIFS(Table2[NewPointsAway],Table2[GameDate], "&lt;=" &amp; $A105, Table2[AwayTeam], AG$1)+SUMIFS(Table2[NewPointsHome],Table2[GameDate], "&lt;=" &amp; $A105, Table2[HomeTeam], AG$1)</f>
        <v>10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7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6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6</v>
      </c>
      <c r="G106" s="145">
        <f>SUMIFS(Table2[NewPointsAway],Table2[GameDate], "&lt;=" &amp; $A106, Table2[AwayTeam], G$1)+SUMIFS(Table2[NewPointsHome],Table2[GameDate], "&lt;=" &amp; $A106, Table2[HomeTeam], G$1)</f>
        <v>3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12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7</v>
      </c>
      <c r="M106" s="145">
        <f>SUMIFS(Table2[NewPointsAway],Table2[GameDate], "&lt;=" &amp; $A106, Table2[AwayTeam], M$1)+SUMIFS(Table2[NewPointsHome],Table2[GameDate], "&lt;=" &amp; $A106, Table2[HomeTeam], M$1)</f>
        <v>8</v>
      </c>
      <c r="N106" s="145">
        <f>SUMIFS(Table2[NewPointsAway],Table2[GameDate], "&lt;=" &amp; $A106, Table2[AwayTeam], N$1)+SUMIFS(Table2[NewPointsHome],Table2[GameDate], "&lt;=" &amp; $A106, Table2[HomeTeam], N$1)</f>
        <v>6</v>
      </c>
      <c r="O106" s="145">
        <f>SUMIFS(Table2[NewPointsAway],Table2[GameDate], "&lt;=" &amp; $A106, Table2[AwayTeam], O$1)+SUMIFS(Table2[NewPointsHome],Table2[GameDate], "&lt;=" &amp; $A106, Table2[HomeTeam], O$1)</f>
        <v>7</v>
      </c>
      <c r="P106" s="145">
        <f>SUMIFS(Table2[NewPointsAway],Table2[GameDate], "&lt;=" &amp; $A106, Table2[AwayTeam], P$1)+SUMIFS(Table2[NewPointsHome],Table2[GameDate], "&lt;=" &amp; $A106, Table2[HomeTeam], P$1)</f>
        <v>12</v>
      </c>
      <c r="Q106" s="145">
        <f>SUMIFS(Table2[NewPointsAway],Table2[GameDate], "&lt;=" &amp; $A106, Table2[AwayTeam], Q$1)+SUMIFS(Table2[NewPointsHome],Table2[GameDate], "&lt;=" &amp; $A106, Table2[HomeTeam], Q$1)</f>
        <v>12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6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5</v>
      </c>
      <c r="V106" s="145">
        <f>SUMIFS(Table2[NewPointsAway],Table2[GameDate], "&lt;=" &amp; $A106, Table2[AwayTeam], V$1)+SUMIFS(Table2[NewPointsHome],Table2[GameDate], "&lt;=" &amp; $A106, Table2[HomeTeam], V$1)</f>
        <v>7</v>
      </c>
      <c r="W106" s="145">
        <f>SUMIFS(Table2[NewPointsAway],Table2[GameDate], "&lt;=" &amp; $A106, Table2[AwayTeam], W$1)+SUMIFS(Table2[NewPointsHome],Table2[GameDate], "&lt;=" &amp; $A106, Table2[HomeTeam], W$1)</f>
        <v>10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10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12</v>
      </c>
      <c r="AF106" s="145">
        <f>SUMIFS(Table2[NewPointsAway],Table2[GameDate], "&lt;=" &amp; $A106, Table2[AwayTeam], AF$1)+SUMIFS(Table2[NewPointsHome],Table2[GameDate], "&lt;=" &amp; $A106, Table2[HomeTeam], AF$1)</f>
        <v>10</v>
      </c>
      <c r="AG106" s="145">
        <f>SUMIFS(Table2[NewPointsAway],Table2[GameDate], "&lt;=" &amp; $A106, Table2[AwayTeam], AG$1)+SUMIFS(Table2[NewPointsHome],Table2[GameDate], "&lt;=" &amp; $A106, Table2[HomeTeam], AG$1)</f>
        <v>10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7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6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6</v>
      </c>
      <c r="G107" s="145">
        <f>SUMIFS(Table2[NewPointsAway],Table2[GameDate], "&lt;=" &amp; $A107, Table2[AwayTeam], G$1)+SUMIFS(Table2[NewPointsHome],Table2[GameDate], "&lt;=" &amp; $A107, Table2[HomeTeam], G$1)</f>
        <v>3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12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7</v>
      </c>
      <c r="M107" s="145">
        <f>SUMIFS(Table2[NewPointsAway],Table2[GameDate], "&lt;=" &amp; $A107, Table2[AwayTeam], M$1)+SUMIFS(Table2[NewPointsHome],Table2[GameDate], "&lt;=" &amp; $A107, Table2[HomeTeam], M$1)</f>
        <v>8</v>
      </c>
      <c r="N107" s="145">
        <f>SUMIFS(Table2[NewPointsAway],Table2[GameDate], "&lt;=" &amp; $A107, Table2[AwayTeam], N$1)+SUMIFS(Table2[NewPointsHome],Table2[GameDate], "&lt;=" &amp; $A107, Table2[HomeTeam], N$1)</f>
        <v>6</v>
      </c>
      <c r="O107" s="145">
        <f>SUMIFS(Table2[NewPointsAway],Table2[GameDate], "&lt;=" &amp; $A107, Table2[AwayTeam], O$1)+SUMIFS(Table2[NewPointsHome],Table2[GameDate], "&lt;=" &amp; $A107, Table2[HomeTeam], O$1)</f>
        <v>7</v>
      </c>
      <c r="P107" s="145">
        <f>SUMIFS(Table2[NewPointsAway],Table2[GameDate], "&lt;=" &amp; $A107, Table2[AwayTeam], P$1)+SUMIFS(Table2[NewPointsHome],Table2[GameDate], "&lt;=" &amp; $A107, Table2[HomeTeam], P$1)</f>
        <v>12</v>
      </c>
      <c r="Q107" s="145">
        <f>SUMIFS(Table2[NewPointsAway],Table2[GameDate], "&lt;=" &amp; $A107, Table2[AwayTeam], Q$1)+SUMIFS(Table2[NewPointsHome],Table2[GameDate], "&lt;=" &amp; $A107, Table2[HomeTeam], Q$1)</f>
        <v>12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6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5</v>
      </c>
      <c r="V107" s="145">
        <f>SUMIFS(Table2[NewPointsAway],Table2[GameDate], "&lt;=" &amp; $A107, Table2[AwayTeam], V$1)+SUMIFS(Table2[NewPointsHome],Table2[GameDate], "&lt;=" &amp; $A107, Table2[HomeTeam], V$1)</f>
        <v>7</v>
      </c>
      <c r="W107" s="145">
        <f>SUMIFS(Table2[NewPointsAway],Table2[GameDate], "&lt;=" &amp; $A107, Table2[AwayTeam], W$1)+SUMIFS(Table2[NewPointsHome],Table2[GameDate], "&lt;=" &amp; $A107, Table2[HomeTeam], W$1)</f>
        <v>10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10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12</v>
      </c>
      <c r="AF107" s="145">
        <f>SUMIFS(Table2[NewPointsAway],Table2[GameDate], "&lt;=" &amp; $A107, Table2[AwayTeam], AF$1)+SUMIFS(Table2[NewPointsHome],Table2[GameDate], "&lt;=" &amp; $A107, Table2[HomeTeam], AF$1)</f>
        <v>10</v>
      </c>
      <c r="AG107" s="145">
        <f>SUMIFS(Table2[NewPointsAway],Table2[GameDate], "&lt;=" &amp; $A107, Table2[AwayTeam], AG$1)+SUMIFS(Table2[NewPointsHome],Table2[GameDate], "&lt;=" &amp; $A107, Table2[HomeTeam], AG$1)</f>
        <v>10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7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6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6</v>
      </c>
      <c r="G108" s="145">
        <f>SUMIFS(Table2[NewPointsAway],Table2[GameDate], "&lt;=" &amp; $A108, Table2[AwayTeam], G$1)+SUMIFS(Table2[NewPointsHome],Table2[GameDate], "&lt;=" &amp; $A108, Table2[HomeTeam], G$1)</f>
        <v>3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12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7</v>
      </c>
      <c r="M108" s="145">
        <f>SUMIFS(Table2[NewPointsAway],Table2[GameDate], "&lt;=" &amp; $A108, Table2[AwayTeam], M$1)+SUMIFS(Table2[NewPointsHome],Table2[GameDate], "&lt;=" &amp; $A108, Table2[HomeTeam], M$1)</f>
        <v>8</v>
      </c>
      <c r="N108" s="145">
        <f>SUMIFS(Table2[NewPointsAway],Table2[GameDate], "&lt;=" &amp; $A108, Table2[AwayTeam], N$1)+SUMIFS(Table2[NewPointsHome],Table2[GameDate], "&lt;=" &amp; $A108, Table2[HomeTeam], N$1)</f>
        <v>6</v>
      </c>
      <c r="O108" s="145">
        <f>SUMIFS(Table2[NewPointsAway],Table2[GameDate], "&lt;=" &amp; $A108, Table2[AwayTeam], O$1)+SUMIFS(Table2[NewPointsHome],Table2[GameDate], "&lt;=" &amp; $A108, Table2[HomeTeam], O$1)</f>
        <v>7</v>
      </c>
      <c r="P108" s="145">
        <f>SUMIFS(Table2[NewPointsAway],Table2[GameDate], "&lt;=" &amp; $A108, Table2[AwayTeam], P$1)+SUMIFS(Table2[NewPointsHome],Table2[GameDate], "&lt;=" &amp; $A108, Table2[HomeTeam], P$1)</f>
        <v>12</v>
      </c>
      <c r="Q108" s="145">
        <f>SUMIFS(Table2[NewPointsAway],Table2[GameDate], "&lt;=" &amp; $A108, Table2[AwayTeam], Q$1)+SUMIFS(Table2[NewPointsHome],Table2[GameDate], "&lt;=" &amp; $A108, Table2[HomeTeam], Q$1)</f>
        <v>12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6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5</v>
      </c>
      <c r="V108" s="145">
        <f>SUMIFS(Table2[NewPointsAway],Table2[GameDate], "&lt;=" &amp; $A108, Table2[AwayTeam], V$1)+SUMIFS(Table2[NewPointsHome],Table2[GameDate], "&lt;=" &amp; $A108, Table2[HomeTeam], V$1)</f>
        <v>7</v>
      </c>
      <c r="W108" s="145">
        <f>SUMIFS(Table2[NewPointsAway],Table2[GameDate], "&lt;=" &amp; $A108, Table2[AwayTeam], W$1)+SUMIFS(Table2[NewPointsHome],Table2[GameDate], "&lt;=" &amp; $A108, Table2[HomeTeam], W$1)</f>
        <v>10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10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12</v>
      </c>
      <c r="AF108" s="145">
        <f>SUMIFS(Table2[NewPointsAway],Table2[GameDate], "&lt;=" &amp; $A108, Table2[AwayTeam], AF$1)+SUMIFS(Table2[NewPointsHome],Table2[GameDate], "&lt;=" &amp; $A108, Table2[HomeTeam], AF$1)</f>
        <v>10</v>
      </c>
      <c r="AG108" s="145">
        <f>SUMIFS(Table2[NewPointsAway],Table2[GameDate], "&lt;=" &amp; $A108, Table2[AwayTeam], AG$1)+SUMIFS(Table2[NewPointsHome],Table2[GameDate], "&lt;=" &amp; $A108, Table2[HomeTeam], AG$1)</f>
        <v>10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7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6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6</v>
      </c>
      <c r="G109" s="145">
        <f>SUMIFS(Table2[NewPointsAway],Table2[GameDate], "&lt;=" &amp; $A109, Table2[AwayTeam], G$1)+SUMIFS(Table2[NewPointsHome],Table2[GameDate], "&lt;=" &amp; $A109, Table2[HomeTeam], G$1)</f>
        <v>3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12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7</v>
      </c>
      <c r="M109" s="145">
        <f>SUMIFS(Table2[NewPointsAway],Table2[GameDate], "&lt;=" &amp; $A109, Table2[AwayTeam], M$1)+SUMIFS(Table2[NewPointsHome],Table2[GameDate], "&lt;=" &amp; $A109, Table2[HomeTeam], M$1)</f>
        <v>8</v>
      </c>
      <c r="N109" s="145">
        <f>SUMIFS(Table2[NewPointsAway],Table2[GameDate], "&lt;=" &amp; $A109, Table2[AwayTeam], N$1)+SUMIFS(Table2[NewPointsHome],Table2[GameDate], "&lt;=" &amp; $A109, Table2[HomeTeam], N$1)</f>
        <v>6</v>
      </c>
      <c r="O109" s="145">
        <f>SUMIFS(Table2[NewPointsAway],Table2[GameDate], "&lt;=" &amp; $A109, Table2[AwayTeam], O$1)+SUMIFS(Table2[NewPointsHome],Table2[GameDate], "&lt;=" &amp; $A109, Table2[HomeTeam], O$1)</f>
        <v>7</v>
      </c>
      <c r="P109" s="145">
        <f>SUMIFS(Table2[NewPointsAway],Table2[GameDate], "&lt;=" &amp; $A109, Table2[AwayTeam], P$1)+SUMIFS(Table2[NewPointsHome],Table2[GameDate], "&lt;=" &amp; $A109, Table2[HomeTeam], P$1)</f>
        <v>12</v>
      </c>
      <c r="Q109" s="145">
        <f>SUMIFS(Table2[NewPointsAway],Table2[GameDate], "&lt;=" &amp; $A109, Table2[AwayTeam], Q$1)+SUMIFS(Table2[NewPointsHome],Table2[GameDate], "&lt;=" &amp; $A109, Table2[HomeTeam], Q$1)</f>
        <v>12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6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5</v>
      </c>
      <c r="V109" s="145">
        <f>SUMIFS(Table2[NewPointsAway],Table2[GameDate], "&lt;=" &amp; $A109, Table2[AwayTeam], V$1)+SUMIFS(Table2[NewPointsHome],Table2[GameDate], "&lt;=" &amp; $A109, Table2[HomeTeam], V$1)</f>
        <v>7</v>
      </c>
      <c r="W109" s="145">
        <f>SUMIFS(Table2[NewPointsAway],Table2[GameDate], "&lt;=" &amp; $A109, Table2[AwayTeam], W$1)+SUMIFS(Table2[NewPointsHome],Table2[GameDate], "&lt;=" &amp; $A109, Table2[HomeTeam], W$1)</f>
        <v>10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10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12</v>
      </c>
      <c r="AF109" s="145">
        <f>SUMIFS(Table2[NewPointsAway],Table2[GameDate], "&lt;=" &amp; $A109, Table2[AwayTeam], AF$1)+SUMIFS(Table2[NewPointsHome],Table2[GameDate], "&lt;=" &amp; $A109, Table2[HomeTeam], AF$1)</f>
        <v>10</v>
      </c>
      <c r="AG109" s="145">
        <f>SUMIFS(Table2[NewPointsAway],Table2[GameDate], "&lt;=" &amp; $A109, Table2[AwayTeam], AG$1)+SUMIFS(Table2[NewPointsHome],Table2[GameDate], "&lt;=" &amp; $A109, Table2[HomeTeam], AG$1)</f>
        <v>10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7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6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6</v>
      </c>
      <c r="G110" s="145">
        <f>SUMIFS(Table2[NewPointsAway],Table2[GameDate], "&lt;=" &amp; $A110, Table2[AwayTeam], G$1)+SUMIFS(Table2[NewPointsHome],Table2[GameDate], "&lt;=" &amp; $A110, Table2[HomeTeam], G$1)</f>
        <v>3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12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7</v>
      </c>
      <c r="M110" s="145">
        <f>SUMIFS(Table2[NewPointsAway],Table2[GameDate], "&lt;=" &amp; $A110, Table2[AwayTeam], M$1)+SUMIFS(Table2[NewPointsHome],Table2[GameDate], "&lt;=" &amp; $A110, Table2[HomeTeam], M$1)</f>
        <v>8</v>
      </c>
      <c r="N110" s="145">
        <f>SUMIFS(Table2[NewPointsAway],Table2[GameDate], "&lt;=" &amp; $A110, Table2[AwayTeam], N$1)+SUMIFS(Table2[NewPointsHome],Table2[GameDate], "&lt;=" &amp; $A110, Table2[HomeTeam], N$1)</f>
        <v>6</v>
      </c>
      <c r="O110" s="145">
        <f>SUMIFS(Table2[NewPointsAway],Table2[GameDate], "&lt;=" &amp; $A110, Table2[AwayTeam], O$1)+SUMIFS(Table2[NewPointsHome],Table2[GameDate], "&lt;=" &amp; $A110, Table2[HomeTeam], O$1)</f>
        <v>7</v>
      </c>
      <c r="P110" s="145">
        <f>SUMIFS(Table2[NewPointsAway],Table2[GameDate], "&lt;=" &amp; $A110, Table2[AwayTeam], P$1)+SUMIFS(Table2[NewPointsHome],Table2[GameDate], "&lt;=" &amp; $A110, Table2[HomeTeam], P$1)</f>
        <v>12</v>
      </c>
      <c r="Q110" s="145">
        <f>SUMIFS(Table2[NewPointsAway],Table2[GameDate], "&lt;=" &amp; $A110, Table2[AwayTeam], Q$1)+SUMIFS(Table2[NewPointsHome],Table2[GameDate], "&lt;=" &amp; $A110, Table2[HomeTeam], Q$1)</f>
        <v>12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6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5</v>
      </c>
      <c r="V110" s="145">
        <f>SUMIFS(Table2[NewPointsAway],Table2[GameDate], "&lt;=" &amp; $A110, Table2[AwayTeam], V$1)+SUMIFS(Table2[NewPointsHome],Table2[GameDate], "&lt;=" &amp; $A110, Table2[HomeTeam], V$1)</f>
        <v>7</v>
      </c>
      <c r="W110" s="145">
        <f>SUMIFS(Table2[NewPointsAway],Table2[GameDate], "&lt;=" &amp; $A110, Table2[AwayTeam], W$1)+SUMIFS(Table2[NewPointsHome],Table2[GameDate], "&lt;=" &amp; $A110, Table2[HomeTeam], W$1)</f>
        <v>10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10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12</v>
      </c>
      <c r="AF110" s="145">
        <f>SUMIFS(Table2[NewPointsAway],Table2[GameDate], "&lt;=" &amp; $A110, Table2[AwayTeam], AF$1)+SUMIFS(Table2[NewPointsHome],Table2[GameDate], "&lt;=" &amp; $A110, Table2[HomeTeam], AF$1)</f>
        <v>10</v>
      </c>
      <c r="AG110" s="145">
        <f>SUMIFS(Table2[NewPointsAway],Table2[GameDate], "&lt;=" &amp; $A110, Table2[AwayTeam], AG$1)+SUMIFS(Table2[NewPointsHome],Table2[GameDate], "&lt;=" &amp; $A110, Table2[HomeTeam], AG$1)</f>
        <v>10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7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6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6</v>
      </c>
      <c r="G111" s="145">
        <f>SUMIFS(Table2[NewPointsAway],Table2[GameDate], "&lt;=" &amp; $A111, Table2[AwayTeam], G$1)+SUMIFS(Table2[NewPointsHome],Table2[GameDate], "&lt;=" &amp; $A111, Table2[HomeTeam], G$1)</f>
        <v>3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12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7</v>
      </c>
      <c r="M111" s="145">
        <f>SUMIFS(Table2[NewPointsAway],Table2[GameDate], "&lt;=" &amp; $A111, Table2[AwayTeam], M$1)+SUMIFS(Table2[NewPointsHome],Table2[GameDate], "&lt;=" &amp; $A111, Table2[HomeTeam], M$1)</f>
        <v>8</v>
      </c>
      <c r="N111" s="145">
        <f>SUMIFS(Table2[NewPointsAway],Table2[GameDate], "&lt;=" &amp; $A111, Table2[AwayTeam], N$1)+SUMIFS(Table2[NewPointsHome],Table2[GameDate], "&lt;=" &amp; $A111, Table2[HomeTeam], N$1)</f>
        <v>6</v>
      </c>
      <c r="O111" s="145">
        <f>SUMIFS(Table2[NewPointsAway],Table2[GameDate], "&lt;=" &amp; $A111, Table2[AwayTeam], O$1)+SUMIFS(Table2[NewPointsHome],Table2[GameDate], "&lt;=" &amp; $A111, Table2[HomeTeam], O$1)</f>
        <v>7</v>
      </c>
      <c r="P111" s="145">
        <f>SUMIFS(Table2[NewPointsAway],Table2[GameDate], "&lt;=" &amp; $A111, Table2[AwayTeam], P$1)+SUMIFS(Table2[NewPointsHome],Table2[GameDate], "&lt;=" &amp; $A111, Table2[HomeTeam], P$1)</f>
        <v>12</v>
      </c>
      <c r="Q111" s="145">
        <f>SUMIFS(Table2[NewPointsAway],Table2[GameDate], "&lt;=" &amp; $A111, Table2[AwayTeam], Q$1)+SUMIFS(Table2[NewPointsHome],Table2[GameDate], "&lt;=" &amp; $A111, Table2[HomeTeam], Q$1)</f>
        <v>12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6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5</v>
      </c>
      <c r="V111" s="145">
        <f>SUMIFS(Table2[NewPointsAway],Table2[GameDate], "&lt;=" &amp; $A111, Table2[AwayTeam], V$1)+SUMIFS(Table2[NewPointsHome],Table2[GameDate], "&lt;=" &amp; $A111, Table2[HomeTeam], V$1)</f>
        <v>7</v>
      </c>
      <c r="W111" s="145">
        <f>SUMIFS(Table2[NewPointsAway],Table2[GameDate], "&lt;=" &amp; $A111, Table2[AwayTeam], W$1)+SUMIFS(Table2[NewPointsHome],Table2[GameDate], "&lt;=" &amp; $A111, Table2[HomeTeam], W$1)</f>
        <v>10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10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12</v>
      </c>
      <c r="AF111" s="145">
        <f>SUMIFS(Table2[NewPointsAway],Table2[GameDate], "&lt;=" &amp; $A111, Table2[AwayTeam], AF$1)+SUMIFS(Table2[NewPointsHome],Table2[GameDate], "&lt;=" &amp; $A111, Table2[HomeTeam], AF$1)</f>
        <v>10</v>
      </c>
      <c r="AG111" s="145">
        <f>SUMIFS(Table2[NewPointsAway],Table2[GameDate], "&lt;=" &amp; $A111, Table2[AwayTeam], AG$1)+SUMIFS(Table2[NewPointsHome],Table2[GameDate], "&lt;=" &amp; $A111, Table2[HomeTeam], AG$1)</f>
        <v>10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7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6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6</v>
      </c>
      <c r="G112" s="145">
        <f>SUMIFS(Table2[NewPointsAway],Table2[GameDate], "&lt;=" &amp; $A112, Table2[AwayTeam], G$1)+SUMIFS(Table2[NewPointsHome],Table2[GameDate], "&lt;=" &amp; $A112, Table2[HomeTeam], G$1)</f>
        <v>3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12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7</v>
      </c>
      <c r="M112" s="145">
        <f>SUMIFS(Table2[NewPointsAway],Table2[GameDate], "&lt;=" &amp; $A112, Table2[AwayTeam], M$1)+SUMIFS(Table2[NewPointsHome],Table2[GameDate], "&lt;=" &amp; $A112, Table2[HomeTeam], M$1)</f>
        <v>8</v>
      </c>
      <c r="N112" s="145">
        <f>SUMIFS(Table2[NewPointsAway],Table2[GameDate], "&lt;=" &amp; $A112, Table2[AwayTeam], N$1)+SUMIFS(Table2[NewPointsHome],Table2[GameDate], "&lt;=" &amp; $A112, Table2[HomeTeam], N$1)</f>
        <v>6</v>
      </c>
      <c r="O112" s="145">
        <f>SUMIFS(Table2[NewPointsAway],Table2[GameDate], "&lt;=" &amp; $A112, Table2[AwayTeam], O$1)+SUMIFS(Table2[NewPointsHome],Table2[GameDate], "&lt;=" &amp; $A112, Table2[HomeTeam], O$1)</f>
        <v>7</v>
      </c>
      <c r="P112" s="145">
        <f>SUMIFS(Table2[NewPointsAway],Table2[GameDate], "&lt;=" &amp; $A112, Table2[AwayTeam], P$1)+SUMIFS(Table2[NewPointsHome],Table2[GameDate], "&lt;=" &amp; $A112, Table2[HomeTeam], P$1)</f>
        <v>12</v>
      </c>
      <c r="Q112" s="145">
        <f>SUMIFS(Table2[NewPointsAway],Table2[GameDate], "&lt;=" &amp; $A112, Table2[AwayTeam], Q$1)+SUMIFS(Table2[NewPointsHome],Table2[GameDate], "&lt;=" &amp; $A112, Table2[HomeTeam], Q$1)</f>
        <v>12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6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5</v>
      </c>
      <c r="V112" s="145">
        <f>SUMIFS(Table2[NewPointsAway],Table2[GameDate], "&lt;=" &amp; $A112, Table2[AwayTeam], V$1)+SUMIFS(Table2[NewPointsHome],Table2[GameDate], "&lt;=" &amp; $A112, Table2[HomeTeam], V$1)</f>
        <v>7</v>
      </c>
      <c r="W112" s="145">
        <f>SUMIFS(Table2[NewPointsAway],Table2[GameDate], "&lt;=" &amp; $A112, Table2[AwayTeam], W$1)+SUMIFS(Table2[NewPointsHome],Table2[GameDate], "&lt;=" &amp; $A112, Table2[HomeTeam], W$1)</f>
        <v>10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10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12</v>
      </c>
      <c r="AF112" s="145">
        <f>SUMIFS(Table2[NewPointsAway],Table2[GameDate], "&lt;=" &amp; $A112, Table2[AwayTeam], AF$1)+SUMIFS(Table2[NewPointsHome],Table2[GameDate], "&lt;=" &amp; $A112, Table2[HomeTeam], AF$1)</f>
        <v>10</v>
      </c>
      <c r="AG112" s="145">
        <f>SUMIFS(Table2[NewPointsAway],Table2[GameDate], "&lt;=" &amp; $A112, Table2[AwayTeam], AG$1)+SUMIFS(Table2[NewPointsHome],Table2[GameDate], "&lt;=" &amp; $A112, Table2[HomeTeam], AG$1)</f>
        <v>10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7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6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6</v>
      </c>
      <c r="G113" s="145">
        <f>SUMIFS(Table2[NewPointsAway],Table2[GameDate], "&lt;=" &amp; $A113, Table2[AwayTeam], G$1)+SUMIFS(Table2[NewPointsHome],Table2[GameDate], "&lt;=" &amp; $A113, Table2[HomeTeam], G$1)</f>
        <v>3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12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7</v>
      </c>
      <c r="M113" s="145">
        <f>SUMIFS(Table2[NewPointsAway],Table2[GameDate], "&lt;=" &amp; $A113, Table2[AwayTeam], M$1)+SUMIFS(Table2[NewPointsHome],Table2[GameDate], "&lt;=" &amp; $A113, Table2[HomeTeam], M$1)</f>
        <v>8</v>
      </c>
      <c r="N113" s="145">
        <f>SUMIFS(Table2[NewPointsAway],Table2[GameDate], "&lt;=" &amp; $A113, Table2[AwayTeam], N$1)+SUMIFS(Table2[NewPointsHome],Table2[GameDate], "&lt;=" &amp; $A113, Table2[HomeTeam], N$1)</f>
        <v>6</v>
      </c>
      <c r="O113" s="145">
        <f>SUMIFS(Table2[NewPointsAway],Table2[GameDate], "&lt;=" &amp; $A113, Table2[AwayTeam], O$1)+SUMIFS(Table2[NewPointsHome],Table2[GameDate], "&lt;=" &amp; $A113, Table2[HomeTeam], O$1)</f>
        <v>7</v>
      </c>
      <c r="P113" s="145">
        <f>SUMIFS(Table2[NewPointsAway],Table2[GameDate], "&lt;=" &amp; $A113, Table2[AwayTeam], P$1)+SUMIFS(Table2[NewPointsHome],Table2[GameDate], "&lt;=" &amp; $A113, Table2[HomeTeam], P$1)</f>
        <v>12</v>
      </c>
      <c r="Q113" s="145">
        <f>SUMIFS(Table2[NewPointsAway],Table2[GameDate], "&lt;=" &amp; $A113, Table2[AwayTeam], Q$1)+SUMIFS(Table2[NewPointsHome],Table2[GameDate], "&lt;=" &amp; $A113, Table2[HomeTeam], Q$1)</f>
        <v>12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6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5</v>
      </c>
      <c r="V113" s="145">
        <f>SUMIFS(Table2[NewPointsAway],Table2[GameDate], "&lt;=" &amp; $A113, Table2[AwayTeam], V$1)+SUMIFS(Table2[NewPointsHome],Table2[GameDate], "&lt;=" &amp; $A113, Table2[HomeTeam], V$1)</f>
        <v>7</v>
      </c>
      <c r="W113" s="145">
        <f>SUMIFS(Table2[NewPointsAway],Table2[GameDate], "&lt;=" &amp; $A113, Table2[AwayTeam], W$1)+SUMIFS(Table2[NewPointsHome],Table2[GameDate], "&lt;=" &amp; $A113, Table2[HomeTeam], W$1)</f>
        <v>10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10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12</v>
      </c>
      <c r="AF113" s="145">
        <f>SUMIFS(Table2[NewPointsAway],Table2[GameDate], "&lt;=" &amp; $A113, Table2[AwayTeam], AF$1)+SUMIFS(Table2[NewPointsHome],Table2[GameDate], "&lt;=" &amp; $A113, Table2[HomeTeam], AF$1)</f>
        <v>10</v>
      </c>
      <c r="AG113" s="145">
        <f>SUMIFS(Table2[NewPointsAway],Table2[GameDate], "&lt;=" &amp; $A113, Table2[AwayTeam], AG$1)+SUMIFS(Table2[NewPointsHome],Table2[GameDate], "&lt;=" &amp; $A113, Table2[HomeTeam], AG$1)</f>
        <v>10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7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6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6</v>
      </c>
      <c r="G114" s="145">
        <f>SUMIFS(Table2[NewPointsAway],Table2[GameDate], "&lt;=" &amp; $A114, Table2[AwayTeam], G$1)+SUMIFS(Table2[NewPointsHome],Table2[GameDate], "&lt;=" &amp; $A114, Table2[HomeTeam], G$1)</f>
        <v>3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12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7</v>
      </c>
      <c r="M114" s="145">
        <f>SUMIFS(Table2[NewPointsAway],Table2[GameDate], "&lt;=" &amp; $A114, Table2[AwayTeam], M$1)+SUMIFS(Table2[NewPointsHome],Table2[GameDate], "&lt;=" &amp; $A114, Table2[HomeTeam], M$1)</f>
        <v>8</v>
      </c>
      <c r="N114" s="145">
        <f>SUMIFS(Table2[NewPointsAway],Table2[GameDate], "&lt;=" &amp; $A114, Table2[AwayTeam], N$1)+SUMIFS(Table2[NewPointsHome],Table2[GameDate], "&lt;=" &amp; $A114, Table2[HomeTeam], N$1)</f>
        <v>6</v>
      </c>
      <c r="O114" s="145">
        <f>SUMIFS(Table2[NewPointsAway],Table2[GameDate], "&lt;=" &amp; $A114, Table2[AwayTeam], O$1)+SUMIFS(Table2[NewPointsHome],Table2[GameDate], "&lt;=" &amp; $A114, Table2[HomeTeam], O$1)</f>
        <v>7</v>
      </c>
      <c r="P114" s="145">
        <f>SUMIFS(Table2[NewPointsAway],Table2[GameDate], "&lt;=" &amp; $A114, Table2[AwayTeam], P$1)+SUMIFS(Table2[NewPointsHome],Table2[GameDate], "&lt;=" &amp; $A114, Table2[HomeTeam], P$1)</f>
        <v>12</v>
      </c>
      <c r="Q114" s="145">
        <f>SUMIFS(Table2[NewPointsAway],Table2[GameDate], "&lt;=" &amp; $A114, Table2[AwayTeam], Q$1)+SUMIFS(Table2[NewPointsHome],Table2[GameDate], "&lt;=" &amp; $A114, Table2[HomeTeam], Q$1)</f>
        <v>12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6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5</v>
      </c>
      <c r="V114" s="145">
        <f>SUMIFS(Table2[NewPointsAway],Table2[GameDate], "&lt;=" &amp; $A114, Table2[AwayTeam], V$1)+SUMIFS(Table2[NewPointsHome],Table2[GameDate], "&lt;=" &amp; $A114, Table2[HomeTeam], V$1)</f>
        <v>7</v>
      </c>
      <c r="W114" s="145">
        <f>SUMIFS(Table2[NewPointsAway],Table2[GameDate], "&lt;=" &amp; $A114, Table2[AwayTeam], W$1)+SUMIFS(Table2[NewPointsHome],Table2[GameDate], "&lt;=" &amp; $A114, Table2[HomeTeam], W$1)</f>
        <v>10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10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12</v>
      </c>
      <c r="AF114" s="145">
        <f>SUMIFS(Table2[NewPointsAway],Table2[GameDate], "&lt;=" &amp; $A114, Table2[AwayTeam], AF$1)+SUMIFS(Table2[NewPointsHome],Table2[GameDate], "&lt;=" &amp; $A114, Table2[HomeTeam], AF$1)</f>
        <v>10</v>
      </c>
      <c r="AG114" s="145">
        <f>SUMIFS(Table2[NewPointsAway],Table2[GameDate], "&lt;=" &amp; $A114, Table2[AwayTeam], AG$1)+SUMIFS(Table2[NewPointsHome],Table2[GameDate], "&lt;=" &amp; $A114, Table2[HomeTeam], AG$1)</f>
        <v>10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7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6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6</v>
      </c>
      <c r="G115" s="145">
        <f>SUMIFS(Table2[NewPointsAway],Table2[GameDate], "&lt;=" &amp; $A115, Table2[AwayTeam], G$1)+SUMIFS(Table2[NewPointsHome],Table2[GameDate], "&lt;=" &amp; $A115, Table2[HomeTeam], G$1)</f>
        <v>3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12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7</v>
      </c>
      <c r="M115" s="145">
        <f>SUMIFS(Table2[NewPointsAway],Table2[GameDate], "&lt;=" &amp; $A115, Table2[AwayTeam], M$1)+SUMIFS(Table2[NewPointsHome],Table2[GameDate], "&lt;=" &amp; $A115, Table2[HomeTeam], M$1)</f>
        <v>8</v>
      </c>
      <c r="N115" s="145">
        <f>SUMIFS(Table2[NewPointsAway],Table2[GameDate], "&lt;=" &amp; $A115, Table2[AwayTeam], N$1)+SUMIFS(Table2[NewPointsHome],Table2[GameDate], "&lt;=" &amp; $A115, Table2[HomeTeam], N$1)</f>
        <v>6</v>
      </c>
      <c r="O115" s="145">
        <f>SUMIFS(Table2[NewPointsAway],Table2[GameDate], "&lt;=" &amp; $A115, Table2[AwayTeam], O$1)+SUMIFS(Table2[NewPointsHome],Table2[GameDate], "&lt;=" &amp; $A115, Table2[HomeTeam], O$1)</f>
        <v>7</v>
      </c>
      <c r="P115" s="145">
        <f>SUMIFS(Table2[NewPointsAway],Table2[GameDate], "&lt;=" &amp; $A115, Table2[AwayTeam], P$1)+SUMIFS(Table2[NewPointsHome],Table2[GameDate], "&lt;=" &amp; $A115, Table2[HomeTeam], P$1)</f>
        <v>12</v>
      </c>
      <c r="Q115" s="145">
        <f>SUMIFS(Table2[NewPointsAway],Table2[GameDate], "&lt;=" &amp; $A115, Table2[AwayTeam], Q$1)+SUMIFS(Table2[NewPointsHome],Table2[GameDate], "&lt;=" &amp; $A115, Table2[HomeTeam], Q$1)</f>
        <v>12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6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5</v>
      </c>
      <c r="V115" s="145">
        <f>SUMIFS(Table2[NewPointsAway],Table2[GameDate], "&lt;=" &amp; $A115, Table2[AwayTeam], V$1)+SUMIFS(Table2[NewPointsHome],Table2[GameDate], "&lt;=" &amp; $A115, Table2[HomeTeam], V$1)</f>
        <v>7</v>
      </c>
      <c r="W115" s="145">
        <f>SUMIFS(Table2[NewPointsAway],Table2[GameDate], "&lt;=" &amp; $A115, Table2[AwayTeam], W$1)+SUMIFS(Table2[NewPointsHome],Table2[GameDate], "&lt;=" &amp; $A115, Table2[HomeTeam], W$1)</f>
        <v>10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10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12</v>
      </c>
      <c r="AF115" s="145">
        <f>SUMIFS(Table2[NewPointsAway],Table2[GameDate], "&lt;=" &amp; $A115, Table2[AwayTeam], AF$1)+SUMIFS(Table2[NewPointsHome],Table2[GameDate], "&lt;=" &amp; $A115, Table2[HomeTeam], AF$1)</f>
        <v>10</v>
      </c>
      <c r="AG115" s="145">
        <f>SUMIFS(Table2[NewPointsAway],Table2[GameDate], "&lt;=" &amp; $A115, Table2[AwayTeam], AG$1)+SUMIFS(Table2[NewPointsHome],Table2[GameDate], "&lt;=" &amp; $A115, Table2[HomeTeam], AG$1)</f>
        <v>10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7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6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6</v>
      </c>
      <c r="G116" s="145">
        <f>SUMIFS(Table2[NewPointsAway],Table2[GameDate], "&lt;=" &amp; $A116, Table2[AwayTeam], G$1)+SUMIFS(Table2[NewPointsHome],Table2[GameDate], "&lt;=" &amp; $A116, Table2[HomeTeam], G$1)</f>
        <v>3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12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7</v>
      </c>
      <c r="M116" s="145">
        <f>SUMIFS(Table2[NewPointsAway],Table2[GameDate], "&lt;=" &amp; $A116, Table2[AwayTeam], M$1)+SUMIFS(Table2[NewPointsHome],Table2[GameDate], "&lt;=" &amp; $A116, Table2[HomeTeam], M$1)</f>
        <v>8</v>
      </c>
      <c r="N116" s="145">
        <f>SUMIFS(Table2[NewPointsAway],Table2[GameDate], "&lt;=" &amp; $A116, Table2[AwayTeam], N$1)+SUMIFS(Table2[NewPointsHome],Table2[GameDate], "&lt;=" &amp; $A116, Table2[HomeTeam], N$1)</f>
        <v>6</v>
      </c>
      <c r="O116" s="145">
        <f>SUMIFS(Table2[NewPointsAway],Table2[GameDate], "&lt;=" &amp; $A116, Table2[AwayTeam], O$1)+SUMIFS(Table2[NewPointsHome],Table2[GameDate], "&lt;=" &amp; $A116, Table2[HomeTeam], O$1)</f>
        <v>7</v>
      </c>
      <c r="P116" s="145">
        <f>SUMIFS(Table2[NewPointsAway],Table2[GameDate], "&lt;=" &amp; $A116, Table2[AwayTeam], P$1)+SUMIFS(Table2[NewPointsHome],Table2[GameDate], "&lt;=" &amp; $A116, Table2[HomeTeam], P$1)</f>
        <v>12</v>
      </c>
      <c r="Q116" s="145">
        <f>SUMIFS(Table2[NewPointsAway],Table2[GameDate], "&lt;=" &amp; $A116, Table2[AwayTeam], Q$1)+SUMIFS(Table2[NewPointsHome],Table2[GameDate], "&lt;=" &amp; $A116, Table2[HomeTeam], Q$1)</f>
        <v>12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6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5</v>
      </c>
      <c r="V116" s="145">
        <f>SUMIFS(Table2[NewPointsAway],Table2[GameDate], "&lt;=" &amp; $A116, Table2[AwayTeam], V$1)+SUMIFS(Table2[NewPointsHome],Table2[GameDate], "&lt;=" &amp; $A116, Table2[HomeTeam], V$1)</f>
        <v>7</v>
      </c>
      <c r="W116" s="145">
        <f>SUMIFS(Table2[NewPointsAway],Table2[GameDate], "&lt;=" &amp; $A116, Table2[AwayTeam], W$1)+SUMIFS(Table2[NewPointsHome],Table2[GameDate], "&lt;=" &amp; $A116, Table2[HomeTeam], W$1)</f>
        <v>10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10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12</v>
      </c>
      <c r="AF116" s="145">
        <f>SUMIFS(Table2[NewPointsAway],Table2[GameDate], "&lt;=" &amp; $A116, Table2[AwayTeam], AF$1)+SUMIFS(Table2[NewPointsHome],Table2[GameDate], "&lt;=" &amp; $A116, Table2[HomeTeam], AF$1)</f>
        <v>10</v>
      </c>
      <c r="AG116" s="145">
        <f>SUMIFS(Table2[NewPointsAway],Table2[GameDate], "&lt;=" &amp; $A116, Table2[AwayTeam], AG$1)+SUMIFS(Table2[NewPointsHome],Table2[GameDate], "&lt;=" &amp; $A116, Table2[HomeTeam], AG$1)</f>
        <v>10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7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6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6</v>
      </c>
      <c r="G117" s="145">
        <f>SUMIFS(Table2[NewPointsAway],Table2[GameDate], "&lt;=" &amp; $A117, Table2[AwayTeam], G$1)+SUMIFS(Table2[NewPointsHome],Table2[GameDate], "&lt;=" &amp; $A117, Table2[HomeTeam], G$1)</f>
        <v>3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12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7</v>
      </c>
      <c r="M117" s="145">
        <f>SUMIFS(Table2[NewPointsAway],Table2[GameDate], "&lt;=" &amp; $A117, Table2[AwayTeam], M$1)+SUMIFS(Table2[NewPointsHome],Table2[GameDate], "&lt;=" &amp; $A117, Table2[HomeTeam], M$1)</f>
        <v>8</v>
      </c>
      <c r="N117" s="145">
        <f>SUMIFS(Table2[NewPointsAway],Table2[GameDate], "&lt;=" &amp; $A117, Table2[AwayTeam], N$1)+SUMIFS(Table2[NewPointsHome],Table2[GameDate], "&lt;=" &amp; $A117, Table2[HomeTeam], N$1)</f>
        <v>6</v>
      </c>
      <c r="O117" s="145">
        <f>SUMIFS(Table2[NewPointsAway],Table2[GameDate], "&lt;=" &amp; $A117, Table2[AwayTeam], O$1)+SUMIFS(Table2[NewPointsHome],Table2[GameDate], "&lt;=" &amp; $A117, Table2[HomeTeam], O$1)</f>
        <v>7</v>
      </c>
      <c r="P117" s="145">
        <f>SUMIFS(Table2[NewPointsAway],Table2[GameDate], "&lt;=" &amp; $A117, Table2[AwayTeam], P$1)+SUMIFS(Table2[NewPointsHome],Table2[GameDate], "&lt;=" &amp; $A117, Table2[HomeTeam], P$1)</f>
        <v>12</v>
      </c>
      <c r="Q117" s="145">
        <f>SUMIFS(Table2[NewPointsAway],Table2[GameDate], "&lt;=" &amp; $A117, Table2[AwayTeam], Q$1)+SUMIFS(Table2[NewPointsHome],Table2[GameDate], "&lt;=" &amp; $A117, Table2[HomeTeam], Q$1)</f>
        <v>12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6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5</v>
      </c>
      <c r="V117" s="145">
        <f>SUMIFS(Table2[NewPointsAway],Table2[GameDate], "&lt;=" &amp; $A117, Table2[AwayTeam], V$1)+SUMIFS(Table2[NewPointsHome],Table2[GameDate], "&lt;=" &amp; $A117, Table2[HomeTeam], V$1)</f>
        <v>7</v>
      </c>
      <c r="W117" s="145">
        <f>SUMIFS(Table2[NewPointsAway],Table2[GameDate], "&lt;=" &amp; $A117, Table2[AwayTeam], W$1)+SUMIFS(Table2[NewPointsHome],Table2[GameDate], "&lt;=" &amp; $A117, Table2[HomeTeam], W$1)</f>
        <v>10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10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12</v>
      </c>
      <c r="AF117" s="145">
        <f>SUMIFS(Table2[NewPointsAway],Table2[GameDate], "&lt;=" &amp; $A117, Table2[AwayTeam], AF$1)+SUMIFS(Table2[NewPointsHome],Table2[GameDate], "&lt;=" &amp; $A117, Table2[HomeTeam], AF$1)</f>
        <v>10</v>
      </c>
      <c r="AG117" s="145">
        <f>SUMIFS(Table2[NewPointsAway],Table2[GameDate], "&lt;=" &amp; $A117, Table2[AwayTeam], AG$1)+SUMIFS(Table2[NewPointsHome],Table2[GameDate], "&lt;=" &amp; $A117, Table2[HomeTeam], AG$1)</f>
        <v>10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7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6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6</v>
      </c>
      <c r="G118" s="145">
        <f>SUMIFS(Table2[NewPointsAway],Table2[GameDate], "&lt;=" &amp; $A118, Table2[AwayTeam], G$1)+SUMIFS(Table2[NewPointsHome],Table2[GameDate], "&lt;=" &amp; $A118, Table2[HomeTeam], G$1)</f>
        <v>3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12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7</v>
      </c>
      <c r="M118" s="145">
        <f>SUMIFS(Table2[NewPointsAway],Table2[GameDate], "&lt;=" &amp; $A118, Table2[AwayTeam], M$1)+SUMIFS(Table2[NewPointsHome],Table2[GameDate], "&lt;=" &amp; $A118, Table2[HomeTeam], M$1)</f>
        <v>8</v>
      </c>
      <c r="N118" s="145">
        <f>SUMIFS(Table2[NewPointsAway],Table2[GameDate], "&lt;=" &amp; $A118, Table2[AwayTeam], N$1)+SUMIFS(Table2[NewPointsHome],Table2[GameDate], "&lt;=" &amp; $A118, Table2[HomeTeam], N$1)</f>
        <v>6</v>
      </c>
      <c r="O118" s="145">
        <f>SUMIFS(Table2[NewPointsAway],Table2[GameDate], "&lt;=" &amp; $A118, Table2[AwayTeam], O$1)+SUMIFS(Table2[NewPointsHome],Table2[GameDate], "&lt;=" &amp; $A118, Table2[HomeTeam], O$1)</f>
        <v>7</v>
      </c>
      <c r="P118" s="145">
        <f>SUMIFS(Table2[NewPointsAway],Table2[GameDate], "&lt;=" &amp; $A118, Table2[AwayTeam], P$1)+SUMIFS(Table2[NewPointsHome],Table2[GameDate], "&lt;=" &amp; $A118, Table2[HomeTeam], P$1)</f>
        <v>12</v>
      </c>
      <c r="Q118" s="145">
        <f>SUMIFS(Table2[NewPointsAway],Table2[GameDate], "&lt;=" &amp; $A118, Table2[AwayTeam], Q$1)+SUMIFS(Table2[NewPointsHome],Table2[GameDate], "&lt;=" &amp; $A118, Table2[HomeTeam], Q$1)</f>
        <v>12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6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5</v>
      </c>
      <c r="V118" s="145">
        <f>SUMIFS(Table2[NewPointsAway],Table2[GameDate], "&lt;=" &amp; $A118, Table2[AwayTeam], V$1)+SUMIFS(Table2[NewPointsHome],Table2[GameDate], "&lt;=" &amp; $A118, Table2[HomeTeam], V$1)</f>
        <v>7</v>
      </c>
      <c r="W118" s="145">
        <f>SUMIFS(Table2[NewPointsAway],Table2[GameDate], "&lt;=" &amp; $A118, Table2[AwayTeam], W$1)+SUMIFS(Table2[NewPointsHome],Table2[GameDate], "&lt;=" &amp; $A118, Table2[HomeTeam], W$1)</f>
        <v>10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10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12</v>
      </c>
      <c r="AF118" s="145">
        <f>SUMIFS(Table2[NewPointsAway],Table2[GameDate], "&lt;=" &amp; $A118, Table2[AwayTeam], AF$1)+SUMIFS(Table2[NewPointsHome],Table2[GameDate], "&lt;=" &amp; $A118, Table2[HomeTeam], AF$1)</f>
        <v>10</v>
      </c>
      <c r="AG118" s="145">
        <f>SUMIFS(Table2[NewPointsAway],Table2[GameDate], "&lt;=" &amp; $A118, Table2[AwayTeam], AG$1)+SUMIFS(Table2[NewPointsHome],Table2[GameDate], "&lt;=" &amp; $A118, Table2[HomeTeam], AG$1)</f>
        <v>10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7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6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6</v>
      </c>
      <c r="G119" s="145">
        <f>SUMIFS(Table2[NewPointsAway],Table2[GameDate], "&lt;=" &amp; $A119, Table2[AwayTeam], G$1)+SUMIFS(Table2[NewPointsHome],Table2[GameDate], "&lt;=" &amp; $A119, Table2[HomeTeam], G$1)</f>
        <v>3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12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7</v>
      </c>
      <c r="M119" s="145">
        <f>SUMIFS(Table2[NewPointsAway],Table2[GameDate], "&lt;=" &amp; $A119, Table2[AwayTeam], M$1)+SUMIFS(Table2[NewPointsHome],Table2[GameDate], "&lt;=" &amp; $A119, Table2[HomeTeam], M$1)</f>
        <v>8</v>
      </c>
      <c r="N119" s="145">
        <f>SUMIFS(Table2[NewPointsAway],Table2[GameDate], "&lt;=" &amp; $A119, Table2[AwayTeam], N$1)+SUMIFS(Table2[NewPointsHome],Table2[GameDate], "&lt;=" &amp; $A119, Table2[HomeTeam], N$1)</f>
        <v>6</v>
      </c>
      <c r="O119" s="145">
        <f>SUMIFS(Table2[NewPointsAway],Table2[GameDate], "&lt;=" &amp; $A119, Table2[AwayTeam], O$1)+SUMIFS(Table2[NewPointsHome],Table2[GameDate], "&lt;=" &amp; $A119, Table2[HomeTeam], O$1)</f>
        <v>7</v>
      </c>
      <c r="P119" s="145">
        <f>SUMIFS(Table2[NewPointsAway],Table2[GameDate], "&lt;=" &amp; $A119, Table2[AwayTeam], P$1)+SUMIFS(Table2[NewPointsHome],Table2[GameDate], "&lt;=" &amp; $A119, Table2[HomeTeam], P$1)</f>
        <v>12</v>
      </c>
      <c r="Q119" s="145">
        <f>SUMIFS(Table2[NewPointsAway],Table2[GameDate], "&lt;=" &amp; $A119, Table2[AwayTeam], Q$1)+SUMIFS(Table2[NewPointsHome],Table2[GameDate], "&lt;=" &amp; $A119, Table2[HomeTeam], Q$1)</f>
        <v>12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6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5</v>
      </c>
      <c r="V119" s="145">
        <f>SUMIFS(Table2[NewPointsAway],Table2[GameDate], "&lt;=" &amp; $A119, Table2[AwayTeam], V$1)+SUMIFS(Table2[NewPointsHome],Table2[GameDate], "&lt;=" &amp; $A119, Table2[HomeTeam], V$1)</f>
        <v>7</v>
      </c>
      <c r="W119" s="145">
        <f>SUMIFS(Table2[NewPointsAway],Table2[GameDate], "&lt;=" &amp; $A119, Table2[AwayTeam], W$1)+SUMIFS(Table2[NewPointsHome],Table2[GameDate], "&lt;=" &amp; $A119, Table2[HomeTeam], W$1)</f>
        <v>10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10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12</v>
      </c>
      <c r="AF119" s="145">
        <f>SUMIFS(Table2[NewPointsAway],Table2[GameDate], "&lt;=" &amp; $A119, Table2[AwayTeam], AF$1)+SUMIFS(Table2[NewPointsHome],Table2[GameDate], "&lt;=" &amp; $A119, Table2[HomeTeam], AF$1)</f>
        <v>10</v>
      </c>
      <c r="AG119" s="145">
        <f>SUMIFS(Table2[NewPointsAway],Table2[GameDate], "&lt;=" &amp; $A119, Table2[AwayTeam], AG$1)+SUMIFS(Table2[NewPointsHome],Table2[GameDate], "&lt;=" &amp; $A119, Table2[HomeTeam], AG$1)</f>
        <v>10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7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6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6</v>
      </c>
      <c r="G120" s="145">
        <f>SUMIFS(Table2[NewPointsAway],Table2[GameDate], "&lt;=" &amp; $A120, Table2[AwayTeam], G$1)+SUMIFS(Table2[NewPointsHome],Table2[GameDate], "&lt;=" &amp; $A120, Table2[HomeTeam], G$1)</f>
        <v>3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12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7</v>
      </c>
      <c r="M120" s="145">
        <f>SUMIFS(Table2[NewPointsAway],Table2[GameDate], "&lt;=" &amp; $A120, Table2[AwayTeam], M$1)+SUMIFS(Table2[NewPointsHome],Table2[GameDate], "&lt;=" &amp; $A120, Table2[HomeTeam], M$1)</f>
        <v>8</v>
      </c>
      <c r="N120" s="145">
        <f>SUMIFS(Table2[NewPointsAway],Table2[GameDate], "&lt;=" &amp; $A120, Table2[AwayTeam], N$1)+SUMIFS(Table2[NewPointsHome],Table2[GameDate], "&lt;=" &amp; $A120, Table2[HomeTeam], N$1)</f>
        <v>6</v>
      </c>
      <c r="O120" s="145">
        <f>SUMIFS(Table2[NewPointsAway],Table2[GameDate], "&lt;=" &amp; $A120, Table2[AwayTeam], O$1)+SUMIFS(Table2[NewPointsHome],Table2[GameDate], "&lt;=" &amp; $A120, Table2[HomeTeam], O$1)</f>
        <v>7</v>
      </c>
      <c r="P120" s="145">
        <f>SUMIFS(Table2[NewPointsAway],Table2[GameDate], "&lt;=" &amp; $A120, Table2[AwayTeam], P$1)+SUMIFS(Table2[NewPointsHome],Table2[GameDate], "&lt;=" &amp; $A120, Table2[HomeTeam], P$1)</f>
        <v>12</v>
      </c>
      <c r="Q120" s="145">
        <f>SUMIFS(Table2[NewPointsAway],Table2[GameDate], "&lt;=" &amp; $A120, Table2[AwayTeam], Q$1)+SUMIFS(Table2[NewPointsHome],Table2[GameDate], "&lt;=" &amp; $A120, Table2[HomeTeam], Q$1)</f>
        <v>12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6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5</v>
      </c>
      <c r="V120" s="145">
        <f>SUMIFS(Table2[NewPointsAway],Table2[GameDate], "&lt;=" &amp; $A120, Table2[AwayTeam], V$1)+SUMIFS(Table2[NewPointsHome],Table2[GameDate], "&lt;=" &amp; $A120, Table2[HomeTeam], V$1)</f>
        <v>7</v>
      </c>
      <c r="W120" s="145">
        <f>SUMIFS(Table2[NewPointsAway],Table2[GameDate], "&lt;=" &amp; $A120, Table2[AwayTeam], W$1)+SUMIFS(Table2[NewPointsHome],Table2[GameDate], "&lt;=" &amp; $A120, Table2[HomeTeam], W$1)</f>
        <v>10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10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12</v>
      </c>
      <c r="AF120" s="145">
        <f>SUMIFS(Table2[NewPointsAway],Table2[GameDate], "&lt;=" &amp; $A120, Table2[AwayTeam], AF$1)+SUMIFS(Table2[NewPointsHome],Table2[GameDate], "&lt;=" &amp; $A120, Table2[HomeTeam], AF$1)</f>
        <v>10</v>
      </c>
      <c r="AG120" s="145">
        <f>SUMIFS(Table2[NewPointsAway],Table2[GameDate], "&lt;=" &amp; $A120, Table2[AwayTeam], AG$1)+SUMIFS(Table2[NewPointsHome],Table2[GameDate], "&lt;=" &amp; $A120, Table2[HomeTeam], AG$1)</f>
        <v>10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7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6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6</v>
      </c>
      <c r="G121" s="145">
        <f>SUMIFS(Table2[NewPointsAway],Table2[GameDate], "&lt;=" &amp; $A121, Table2[AwayTeam], G$1)+SUMIFS(Table2[NewPointsHome],Table2[GameDate], "&lt;=" &amp; $A121, Table2[HomeTeam], G$1)</f>
        <v>3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12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7</v>
      </c>
      <c r="M121" s="145">
        <f>SUMIFS(Table2[NewPointsAway],Table2[GameDate], "&lt;=" &amp; $A121, Table2[AwayTeam], M$1)+SUMIFS(Table2[NewPointsHome],Table2[GameDate], "&lt;=" &amp; $A121, Table2[HomeTeam], M$1)</f>
        <v>8</v>
      </c>
      <c r="N121" s="145">
        <f>SUMIFS(Table2[NewPointsAway],Table2[GameDate], "&lt;=" &amp; $A121, Table2[AwayTeam], N$1)+SUMIFS(Table2[NewPointsHome],Table2[GameDate], "&lt;=" &amp; $A121, Table2[HomeTeam], N$1)</f>
        <v>6</v>
      </c>
      <c r="O121" s="145">
        <f>SUMIFS(Table2[NewPointsAway],Table2[GameDate], "&lt;=" &amp; $A121, Table2[AwayTeam], O$1)+SUMIFS(Table2[NewPointsHome],Table2[GameDate], "&lt;=" &amp; $A121, Table2[HomeTeam], O$1)</f>
        <v>7</v>
      </c>
      <c r="P121" s="145">
        <f>SUMIFS(Table2[NewPointsAway],Table2[GameDate], "&lt;=" &amp; $A121, Table2[AwayTeam], P$1)+SUMIFS(Table2[NewPointsHome],Table2[GameDate], "&lt;=" &amp; $A121, Table2[HomeTeam], P$1)</f>
        <v>12</v>
      </c>
      <c r="Q121" s="145">
        <f>SUMIFS(Table2[NewPointsAway],Table2[GameDate], "&lt;=" &amp; $A121, Table2[AwayTeam], Q$1)+SUMIFS(Table2[NewPointsHome],Table2[GameDate], "&lt;=" &amp; $A121, Table2[HomeTeam], Q$1)</f>
        <v>12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6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5</v>
      </c>
      <c r="V121" s="145">
        <f>SUMIFS(Table2[NewPointsAway],Table2[GameDate], "&lt;=" &amp; $A121, Table2[AwayTeam], V$1)+SUMIFS(Table2[NewPointsHome],Table2[GameDate], "&lt;=" &amp; $A121, Table2[HomeTeam], V$1)</f>
        <v>7</v>
      </c>
      <c r="W121" s="145">
        <f>SUMIFS(Table2[NewPointsAway],Table2[GameDate], "&lt;=" &amp; $A121, Table2[AwayTeam], W$1)+SUMIFS(Table2[NewPointsHome],Table2[GameDate], "&lt;=" &amp; $A121, Table2[HomeTeam], W$1)</f>
        <v>10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10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12</v>
      </c>
      <c r="AF121" s="145">
        <f>SUMIFS(Table2[NewPointsAway],Table2[GameDate], "&lt;=" &amp; $A121, Table2[AwayTeam], AF$1)+SUMIFS(Table2[NewPointsHome],Table2[GameDate], "&lt;=" &amp; $A121, Table2[HomeTeam], AF$1)</f>
        <v>10</v>
      </c>
      <c r="AG121" s="145">
        <f>SUMIFS(Table2[NewPointsAway],Table2[GameDate], "&lt;=" &amp; $A121, Table2[AwayTeam], AG$1)+SUMIFS(Table2[NewPointsHome],Table2[GameDate], "&lt;=" &amp; $A121, Table2[HomeTeam], AG$1)</f>
        <v>10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7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6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6</v>
      </c>
      <c r="G122" s="145">
        <f>SUMIFS(Table2[NewPointsAway],Table2[GameDate], "&lt;=" &amp; $A122, Table2[AwayTeam], G$1)+SUMIFS(Table2[NewPointsHome],Table2[GameDate], "&lt;=" &amp; $A122, Table2[HomeTeam], G$1)</f>
        <v>3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12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7</v>
      </c>
      <c r="M122" s="145">
        <f>SUMIFS(Table2[NewPointsAway],Table2[GameDate], "&lt;=" &amp; $A122, Table2[AwayTeam], M$1)+SUMIFS(Table2[NewPointsHome],Table2[GameDate], "&lt;=" &amp; $A122, Table2[HomeTeam], M$1)</f>
        <v>8</v>
      </c>
      <c r="N122" s="145">
        <f>SUMIFS(Table2[NewPointsAway],Table2[GameDate], "&lt;=" &amp; $A122, Table2[AwayTeam], N$1)+SUMIFS(Table2[NewPointsHome],Table2[GameDate], "&lt;=" &amp; $A122, Table2[HomeTeam], N$1)</f>
        <v>6</v>
      </c>
      <c r="O122" s="145">
        <f>SUMIFS(Table2[NewPointsAway],Table2[GameDate], "&lt;=" &amp; $A122, Table2[AwayTeam], O$1)+SUMIFS(Table2[NewPointsHome],Table2[GameDate], "&lt;=" &amp; $A122, Table2[HomeTeam], O$1)</f>
        <v>7</v>
      </c>
      <c r="P122" s="145">
        <f>SUMIFS(Table2[NewPointsAway],Table2[GameDate], "&lt;=" &amp; $A122, Table2[AwayTeam], P$1)+SUMIFS(Table2[NewPointsHome],Table2[GameDate], "&lt;=" &amp; $A122, Table2[HomeTeam], P$1)</f>
        <v>12</v>
      </c>
      <c r="Q122" s="145">
        <f>SUMIFS(Table2[NewPointsAway],Table2[GameDate], "&lt;=" &amp; $A122, Table2[AwayTeam], Q$1)+SUMIFS(Table2[NewPointsHome],Table2[GameDate], "&lt;=" &amp; $A122, Table2[HomeTeam], Q$1)</f>
        <v>12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6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5</v>
      </c>
      <c r="V122" s="145">
        <f>SUMIFS(Table2[NewPointsAway],Table2[GameDate], "&lt;=" &amp; $A122, Table2[AwayTeam], V$1)+SUMIFS(Table2[NewPointsHome],Table2[GameDate], "&lt;=" &amp; $A122, Table2[HomeTeam], V$1)</f>
        <v>7</v>
      </c>
      <c r="W122" s="145">
        <f>SUMIFS(Table2[NewPointsAway],Table2[GameDate], "&lt;=" &amp; $A122, Table2[AwayTeam], W$1)+SUMIFS(Table2[NewPointsHome],Table2[GameDate], "&lt;=" &amp; $A122, Table2[HomeTeam], W$1)</f>
        <v>10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10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12</v>
      </c>
      <c r="AF122" s="145">
        <f>SUMIFS(Table2[NewPointsAway],Table2[GameDate], "&lt;=" &amp; $A122, Table2[AwayTeam], AF$1)+SUMIFS(Table2[NewPointsHome],Table2[GameDate], "&lt;=" &amp; $A122, Table2[HomeTeam], AF$1)</f>
        <v>10</v>
      </c>
      <c r="AG122" s="145">
        <f>SUMIFS(Table2[NewPointsAway],Table2[GameDate], "&lt;=" &amp; $A122, Table2[AwayTeam], AG$1)+SUMIFS(Table2[NewPointsHome],Table2[GameDate], "&lt;=" &amp; $A122, Table2[HomeTeam], AG$1)</f>
        <v>10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7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6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6</v>
      </c>
      <c r="G123" s="145">
        <f>SUMIFS(Table2[NewPointsAway],Table2[GameDate], "&lt;=" &amp; $A123, Table2[AwayTeam], G$1)+SUMIFS(Table2[NewPointsHome],Table2[GameDate], "&lt;=" &amp; $A123, Table2[HomeTeam], G$1)</f>
        <v>3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12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7</v>
      </c>
      <c r="M123" s="145">
        <f>SUMIFS(Table2[NewPointsAway],Table2[GameDate], "&lt;=" &amp; $A123, Table2[AwayTeam], M$1)+SUMIFS(Table2[NewPointsHome],Table2[GameDate], "&lt;=" &amp; $A123, Table2[HomeTeam], M$1)</f>
        <v>8</v>
      </c>
      <c r="N123" s="145">
        <f>SUMIFS(Table2[NewPointsAway],Table2[GameDate], "&lt;=" &amp; $A123, Table2[AwayTeam], N$1)+SUMIFS(Table2[NewPointsHome],Table2[GameDate], "&lt;=" &amp; $A123, Table2[HomeTeam], N$1)</f>
        <v>6</v>
      </c>
      <c r="O123" s="145">
        <f>SUMIFS(Table2[NewPointsAway],Table2[GameDate], "&lt;=" &amp; $A123, Table2[AwayTeam], O$1)+SUMIFS(Table2[NewPointsHome],Table2[GameDate], "&lt;=" &amp; $A123, Table2[HomeTeam], O$1)</f>
        <v>7</v>
      </c>
      <c r="P123" s="145">
        <f>SUMIFS(Table2[NewPointsAway],Table2[GameDate], "&lt;=" &amp; $A123, Table2[AwayTeam], P$1)+SUMIFS(Table2[NewPointsHome],Table2[GameDate], "&lt;=" &amp; $A123, Table2[HomeTeam], P$1)</f>
        <v>12</v>
      </c>
      <c r="Q123" s="145">
        <f>SUMIFS(Table2[NewPointsAway],Table2[GameDate], "&lt;=" &amp; $A123, Table2[AwayTeam], Q$1)+SUMIFS(Table2[NewPointsHome],Table2[GameDate], "&lt;=" &amp; $A123, Table2[HomeTeam], Q$1)</f>
        <v>12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6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5</v>
      </c>
      <c r="V123" s="145">
        <f>SUMIFS(Table2[NewPointsAway],Table2[GameDate], "&lt;=" &amp; $A123, Table2[AwayTeam], V$1)+SUMIFS(Table2[NewPointsHome],Table2[GameDate], "&lt;=" &amp; $A123, Table2[HomeTeam], V$1)</f>
        <v>7</v>
      </c>
      <c r="W123" s="145">
        <f>SUMIFS(Table2[NewPointsAway],Table2[GameDate], "&lt;=" &amp; $A123, Table2[AwayTeam], W$1)+SUMIFS(Table2[NewPointsHome],Table2[GameDate], "&lt;=" &amp; $A123, Table2[HomeTeam], W$1)</f>
        <v>10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10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12</v>
      </c>
      <c r="AF123" s="145">
        <f>SUMIFS(Table2[NewPointsAway],Table2[GameDate], "&lt;=" &amp; $A123, Table2[AwayTeam], AF$1)+SUMIFS(Table2[NewPointsHome],Table2[GameDate], "&lt;=" &amp; $A123, Table2[HomeTeam], AF$1)</f>
        <v>10</v>
      </c>
      <c r="AG123" s="145">
        <f>SUMIFS(Table2[NewPointsAway],Table2[GameDate], "&lt;=" &amp; $A123, Table2[AwayTeam], AG$1)+SUMIFS(Table2[NewPointsHome],Table2[GameDate], "&lt;=" &amp; $A123, Table2[HomeTeam], AG$1)</f>
        <v>10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7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6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6</v>
      </c>
      <c r="G124" s="145">
        <f>SUMIFS(Table2[NewPointsAway],Table2[GameDate], "&lt;=" &amp; $A124, Table2[AwayTeam], G$1)+SUMIFS(Table2[NewPointsHome],Table2[GameDate], "&lt;=" &amp; $A124, Table2[HomeTeam], G$1)</f>
        <v>3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12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7</v>
      </c>
      <c r="M124" s="145">
        <f>SUMIFS(Table2[NewPointsAway],Table2[GameDate], "&lt;=" &amp; $A124, Table2[AwayTeam], M$1)+SUMIFS(Table2[NewPointsHome],Table2[GameDate], "&lt;=" &amp; $A124, Table2[HomeTeam], M$1)</f>
        <v>8</v>
      </c>
      <c r="N124" s="145">
        <f>SUMIFS(Table2[NewPointsAway],Table2[GameDate], "&lt;=" &amp; $A124, Table2[AwayTeam], N$1)+SUMIFS(Table2[NewPointsHome],Table2[GameDate], "&lt;=" &amp; $A124, Table2[HomeTeam], N$1)</f>
        <v>6</v>
      </c>
      <c r="O124" s="145">
        <f>SUMIFS(Table2[NewPointsAway],Table2[GameDate], "&lt;=" &amp; $A124, Table2[AwayTeam], O$1)+SUMIFS(Table2[NewPointsHome],Table2[GameDate], "&lt;=" &amp; $A124, Table2[HomeTeam], O$1)</f>
        <v>7</v>
      </c>
      <c r="P124" s="145">
        <f>SUMIFS(Table2[NewPointsAway],Table2[GameDate], "&lt;=" &amp; $A124, Table2[AwayTeam], P$1)+SUMIFS(Table2[NewPointsHome],Table2[GameDate], "&lt;=" &amp; $A124, Table2[HomeTeam], P$1)</f>
        <v>12</v>
      </c>
      <c r="Q124" s="145">
        <f>SUMIFS(Table2[NewPointsAway],Table2[GameDate], "&lt;=" &amp; $A124, Table2[AwayTeam], Q$1)+SUMIFS(Table2[NewPointsHome],Table2[GameDate], "&lt;=" &amp; $A124, Table2[HomeTeam], Q$1)</f>
        <v>12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6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5</v>
      </c>
      <c r="V124" s="145">
        <f>SUMIFS(Table2[NewPointsAway],Table2[GameDate], "&lt;=" &amp; $A124, Table2[AwayTeam], V$1)+SUMIFS(Table2[NewPointsHome],Table2[GameDate], "&lt;=" &amp; $A124, Table2[HomeTeam], V$1)</f>
        <v>7</v>
      </c>
      <c r="W124" s="145">
        <f>SUMIFS(Table2[NewPointsAway],Table2[GameDate], "&lt;=" &amp; $A124, Table2[AwayTeam], W$1)+SUMIFS(Table2[NewPointsHome],Table2[GameDate], "&lt;=" &amp; $A124, Table2[HomeTeam], W$1)</f>
        <v>10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10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12</v>
      </c>
      <c r="AF124" s="145">
        <f>SUMIFS(Table2[NewPointsAway],Table2[GameDate], "&lt;=" &amp; $A124, Table2[AwayTeam], AF$1)+SUMIFS(Table2[NewPointsHome],Table2[GameDate], "&lt;=" &amp; $A124, Table2[HomeTeam], AF$1)</f>
        <v>10</v>
      </c>
      <c r="AG124" s="145">
        <f>SUMIFS(Table2[NewPointsAway],Table2[GameDate], "&lt;=" &amp; $A124, Table2[AwayTeam], AG$1)+SUMIFS(Table2[NewPointsHome],Table2[GameDate], "&lt;=" &amp; $A124, Table2[HomeTeam], AG$1)</f>
        <v>10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7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6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6</v>
      </c>
      <c r="G125" s="145">
        <f>SUMIFS(Table2[NewPointsAway],Table2[GameDate], "&lt;=" &amp; $A125, Table2[AwayTeam], G$1)+SUMIFS(Table2[NewPointsHome],Table2[GameDate], "&lt;=" &amp; $A125, Table2[HomeTeam], G$1)</f>
        <v>3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12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7</v>
      </c>
      <c r="M125" s="145">
        <f>SUMIFS(Table2[NewPointsAway],Table2[GameDate], "&lt;=" &amp; $A125, Table2[AwayTeam], M$1)+SUMIFS(Table2[NewPointsHome],Table2[GameDate], "&lt;=" &amp; $A125, Table2[HomeTeam], M$1)</f>
        <v>8</v>
      </c>
      <c r="N125" s="145">
        <f>SUMIFS(Table2[NewPointsAway],Table2[GameDate], "&lt;=" &amp; $A125, Table2[AwayTeam], N$1)+SUMIFS(Table2[NewPointsHome],Table2[GameDate], "&lt;=" &amp; $A125, Table2[HomeTeam], N$1)</f>
        <v>6</v>
      </c>
      <c r="O125" s="145">
        <f>SUMIFS(Table2[NewPointsAway],Table2[GameDate], "&lt;=" &amp; $A125, Table2[AwayTeam], O$1)+SUMIFS(Table2[NewPointsHome],Table2[GameDate], "&lt;=" &amp; $A125, Table2[HomeTeam], O$1)</f>
        <v>7</v>
      </c>
      <c r="P125" s="145">
        <f>SUMIFS(Table2[NewPointsAway],Table2[GameDate], "&lt;=" &amp; $A125, Table2[AwayTeam], P$1)+SUMIFS(Table2[NewPointsHome],Table2[GameDate], "&lt;=" &amp; $A125, Table2[HomeTeam], P$1)</f>
        <v>12</v>
      </c>
      <c r="Q125" s="145">
        <f>SUMIFS(Table2[NewPointsAway],Table2[GameDate], "&lt;=" &amp; $A125, Table2[AwayTeam], Q$1)+SUMIFS(Table2[NewPointsHome],Table2[GameDate], "&lt;=" &amp; $A125, Table2[HomeTeam], Q$1)</f>
        <v>12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6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5</v>
      </c>
      <c r="V125" s="145">
        <f>SUMIFS(Table2[NewPointsAway],Table2[GameDate], "&lt;=" &amp; $A125, Table2[AwayTeam], V$1)+SUMIFS(Table2[NewPointsHome],Table2[GameDate], "&lt;=" &amp; $A125, Table2[HomeTeam], V$1)</f>
        <v>7</v>
      </c>
      <c r="W125" s="145">
        <f>SUMIFS(Table2[NewPointsAway],Table2[GameDate], "&lt;=" &amp; $A125, Table2[AwayTeam], W$1)+SUMIFS(Table2[NewPointsHome],Table2[GameDate], "&lt;=" &amp; $A125, Table2[HomeTeam], W$1)</f>
        <v>10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10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12</v>
      </c>
      <c r="AF125" s="145">
        <f>SUMIFS(Table2[NewPointsAway],Table2[GameDate], "&lt;=" &amp; $A125, Table2[AwayTeam], AF$1)+SUMIFS(Table2[NewPointsHome],Table2[GameDate], "&lt;=" &amp; $A125, Table2[HomeTeam], AF$1)</f>
        <v>10</v>
      </c>
      <c r="AG125" s="145">
        <f>SUMIFS(Table2[NewPointsAway],Table2[GameDate], "&lt;=" &amp; $A125, Table2[AwayTeam], AG$1)+SUMIFS(Table2[NewPointsHome],Table2[GameDate], "&lt;=" &amp; $A125, Table2[HomeTeam], AG$1)</f>
        <v>10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7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6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6</v>
      </c>
      <c r="G126" s="145">
        <f>SUMIFS(Table2[NewPointsAway],Table2[GameDate], "&lt;=" &amp; $A126, Table2[AwayTeam], G$1)+SUMIFS(Table2[NewPointsHome],Table2[GameDate], "&lt;=" &amp; $A126, Table2[HomeTeam], G$1)</f>
        <v>3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12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7</v>
      </c>
      <c r="M126" s="145">
        <f>SUMIFS(Table2[NewPointsAway],Table2[GameDate], "&lt;=" &amp; $A126, Table2[AwayTeam], M$1)+SUMIFS(Table2[NewPointsHome],Table2[GameDate], "&lt;=" &amp; $A126, Table2[HomeTeam], M$1)</f>
        <v>8</v>
      </c>
      <c r="N126" s="145">
        <f>SUMIFS(Table2[NewPointsAway],Table2[GameDate], "&lt;=" &amp; $A126, Table2[AwayTeam], N$1)+SUMIFS(Table2[NewPointsHome],Table2[GameDate], "&lt;=" &amp; $A126, Table2[HomeTeam], N$1)</f>
        <v>6</v>
      </c>
      <c r="O126" s="145">
        <f>SUMIFS(Table2[NewPointsAway],Table2[GameDate], "&lt;=" &amp; $A126, Table2[AwayTeam], O$1)+SUMIFS(Table2[NewPointsHome],Table2[GameDate], "&lt;=" &amp; $A126, Table2[HomeTeam], O$1)</f>
        <v>7</v>
      </c>
      <c r="P126" s="145">
        <f>SUMIFS(Table2[NewPointsAway],Table2[GameDate], "&lt;=" &amp; $A126, Table2[AwayTeam], P$1)+SUMIFS(Table2[NewPointsHome],Table2[GameDate], "&lt;=" &amp; $A126, Table2[HomeTeam], P$1)</f>
        <v>12</v>
      </c>
      <c r="Q126" s="145">
        <f>SUMIFS(Table2[NewPointsAway],Table2[GameDate], "&lt;=" &amp; $A126, Table2[AwayTeam], Q$1)+SUMIFS(Table2[NewPointsHome],Table2[GameDate], "&lt;=" &amp; $A126, Table2[HomeTeam], Q$1)</f>
        <v>12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6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5</v>
      </c>
      <c r="V126" s="145">
        <f>SUMIFS(Table2[NewPointsAway],Table2[GameDate], "&lt;=" &amp; $A126, Table2[AwayTeam], V$1)+SUMIFS(Table2[NewPointsHome],Table2[GameDate], "&lt;=" &amp; $A126, Table2[HomeTeam], V$1)</f>
        <v>7</v>
      </c>
      <c r="W126" s="145">
        <f>SUMIFS(Table2[NewPointsAway],Table2[GameDate], "&lt;=" &amp; $A126, Table2[AwayTeam], W$1)+SUMIFS(Table2[NewPointsHome],Table2[GameDate], "&lt;=" &amp; $A126, Table2[HomeTeam], W$1)</f>
        <v>10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10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12</v>
      </c>
      <c r="AF126" s="145">
        <f>SUMIFS(Table2[NewPointsAway],Table2[GameDate], "&lt;=" &amp; $A126, Table2[AwayTeam], AF$1)+SUMIFS(Table2[NewPointsHome],Table2[GameDate], "&lt;=" &amp; $A126, Table2[HomeTeam], AF$1)</f>
        <v>10</v>
      </c>
      <c r="AG126" s="145">
        <f>SUMIFS(Table2[NewPointsAway],Table2[GameDate], "&lt;=" &amp; $A126, Table2[AwayTeam], AG$1)+SUMIFS(Table2[NewPointsHome],Table2[GameDate], "&lt;=" &amp; $A126, Table2[HomeTeam], AG$1)</f>
        <v>10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7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6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6</v>
      </c>
      <c r="G127" s="145">
        <f>SUMIFS(Table2[NewPointsAway],Table2[GameDate], "&lt;=" &amp; $A127, Table2[AwayTeam], G$1)+SUMIFS(Table2[NewPointsHome],Table2[GameDate], "&lt;=" &amp; $A127, Table2[HomeTeam], G$1)</f>
        <v>3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12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7</v>
      </c>
      <c r="M127" s="145">
        <f>SUMIFS(Table2[NewPointsAway],Table2[GameDate], "&lt;=" &amp; $A127, Table2[AwayTeam], M$1)+SUMIFS(Table2[NewPointsHome],Table2[GameDate], "&lt;=" &amp; $A127, Table2[HomeTeam], M$1)</f>
        <v>8</v>
      </c>
      <c r="N127" s="145">
        <f>SUMIFS(Table2[NewPointsAway],Table2[GameDate], "&lt;=" &amp; $A127, Table2[AwayTeam], N$1)+SUMIFS(Table2[NewPointsHome],Table2[GameDate], "&lt;=" &amp; $A127, Table2[HomeTeam], N$1)</f>
        <v>6</v>
      </c>
      <c r="O127" s="145">
        <f>SUMIFS(Table2[NewPointsAway],Table2[GameDate], "&lt;=" &amp; $A127, Table2[AwayTeam], O$1)+SUMIFS(Table2[NewPointsHome],Table2[GameDate], "&lt;=" &amp; $A127, Table2[HomeTeam], O$1)</f>
        <v>7</v>
      </c>
      <c r="P127" s="145">
        <f>SUMIFS(Table2[NewPointsAway],Table2[GameDate], "&lt;=" &amp; $A127, Table2[AwayTeam], P$1)+SUMIFS(Table2[NewPointsHome],Table2[GameDate], "&lt;=" &amp; $A127, Table2[HomeTeam], P$1)</f>
        <v>12</v>
      </c>
      <c r="Q127" s="145">
        <f>SUMIFS(Table2[NewPointsAway],Table2[GameDate], "&lt;=" &amp; $A127, Table2[AwayTeam], Q$1)+SUMIFS(Table2[NewPointsHome],Table2[GameDate], "&lt;=" &amp; $A127, Table2[HomeTeam], Q$1)</f>
        <v>12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6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5</v>
      </c>
      <c r="V127" s="145">
        <f>SUMIFS(Table2[NewPointsAway],Table2[GameDate], "&lt;=" &amp; $A127, Table2[AwayTeam], V$1)+SUMIFS(Table2[NewPointsHome],Table2[GameDate], "&lt;=" &amp; $A127, Table2[HomeTeam], V$1)</f>
        <v>7</v>
      </c>
      <c r="W127" s="145">
        <f>SUMIFS(Table2[NewPointsAway],Table2[GameDate], "&lt;=" &amp; $A127, Table2[AwayTeam], W$1)+SUMIFS(Table2[NewPointsHome],Table2[GameDate], "&lt;=" &amp; $A127, Table2[HomeTeam], W$1)</f>
        <v>10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10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12</v>
      </c>
      <c r="AF127" s="145">
        <f>SUMIFS(Table2[NewPointsAway],Table2[GameDate], "&lt;=" &amp; $A127, Table2[AwayTeam], AF$1)+SUMIFS(Table2[NewPointsHome],Table2[GameDate], "&lt;=" &amp; $A127, Table2[HomeTeam], AF$1)</f>
        <v>10</v>
      </c>
      <c r="AG127" s="145">
        <f>SUMIFS(Table2[NewPointsAway],Table2[GameDate], "&lt;=" &amp; $A127, Table2[AwayTeam], AG$1)+SUMIFS(Table2[NewPointsHome],Table2[GameDate], "&lt;=" &amp; $A127, Table2[HomeTeam], AG$1)</f>
        <v>10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7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6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6</v>
      </c>
      <c r="G128" s="145">
        <f>SUMIFS(Table2[NewPointsAway],Table2[GameDate], "&lt;=" &amp; $A128, Table2[AwayTeam], G$1)+SUMIFS(Table2[NewPointsHome],Table2[GameDate], "&lt;=" &amp; $A128, Table2[HomeTeam], G$1)</f>
        <v>3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12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7</v>
      </c>
      <c r="M128" s="145">
        <f>SUMIFS(Table2[NewPointsAway],Table2[GameDate], "&lt;=" &amp; $A128, Table2[AwayTeam], M$1)+SUMIFS(Table2[NewPointsHome],Table2[GameDate], "&lt;=" &amp; $A128, Table2[HomeTeam], M$1)</f>
        <v>8</v>
      </c>
      <c r="N128" s="145">
        <f>SUMIFS(Table2[NewPointsAway],Table2[GameDate], "&lt;=" &amp; $A128, Table2[AwayTeam], N$1)+SUMIFS(Table2[NewPointsHome],Table2[GameDate], "&lt;=" &amp; $A128, Table2[HomeTeam], N$1)</f>
        <v>6</v>
      </c>
      <c r="O128" s="145">
        <f>SUMIFS(Table2[NewPointsAway],Table2[GameDate], "&lt;=" &amp; $A128, Table2[AwayTeam], O$1)+SUMIFS(Table2[NewPointsHome],Table2[GameDate], "&lt;=" &amp; $A128, Table2[HomeTeam], O$1)</f>
        <v>7</v>
      </c>
      <c r="P128" s="145">
        <f>SUMIFS(Table2[NewPointsAway],Table2[GameDate], "&lt;=" &amp; $A128, Table2[AwayTeam], P$1)+SUMIFS(Table2[NewPointsHome],Table2[GameDate], "&lt;=" &amp; $A128, Table2[HomeTeam], P$1)</f>
        <v>12</v>
      </c>
      <c r="Q128" s="145">
        <f>SUMIFS(Table2[NewPointsAway],Table2[GameDate], "&lt;=" &amp; $A128, Table2[AwayTeam], Q$1)+SUMIFS(Table2[NewPointsHome],Table2[GameDate], "&lt;=" &amp; $A128, Table2[HomeTeam], Q$1)</f>
        <v>12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6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5</v>
      </c>
      <c r="V128" s="145">
        <f>SUMIFS(Table2[NewPointsAway],Table2[GameDate], "&lt;=" &amp; $A128, Table2[AwayTeam], V$1)+SUMIFS(Table2[NewPointsHome],Table2[GameDate], "&lt;=" &amp; $A128, Table2[HomeTeam], V$1)</f>
        <v>7</v>
      </c>
      <c r="W128" s="145">
        <f>SUMIFS(Table2[NewPointsAway],Table2[GameDate], "&lt;=" &amp; $A128, Table2[AwayTeam], W$1)+SUMIFS(Table2[NewPointsHome],Table2[GameDate], "&lt;=" &amp; $A128, Table2[HomeTeam], W$1)</f>
        <v>10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10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12</v>
      </c>
      <c r="AF128" s="145">
        <f>SUMIFS(Table2[NewPointsAway],Table2[GameDate], "&lt;=" &amp; $A128, Table2[AwayTeam], AF$1)+SUMIFS(Table2[NewPointsHome],Table2[GameDate], "&lt;=" &amp; $A128, Table2[HomeTeam], AF$1)</f>
        <v>10</v>
      </c>
      <c r="AG128" s="145">
        <f>SUMIFS(Table2[NewPointsAway],Table2[GameDate], "&lt;=" &amp; $A128, Table2[AwayTeam], AG$1)+SUMIFS(Table2[NewPointsHome],Table2[GameDate], "&lt;=" &amp; $A128, Table2[HomeTeam], AG$1)</f>
        <v>10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7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6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6</v>
      </c>
      <c r="G129" s="145">
        <f>SUMIFS(Table2[NewPointsAway],Table2[GameDate], "&lt;=" &amp; $A129, Table2[AwayTeam], G$1)+SUMIFS(Table2[NewPointsHome],Table2[GameDate], "&lt;=" &amp; $A129, Table2[HomeTeam], G$1)</f>
        <v>3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12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7</v>
      </c>
      <c r="M129" s="145">
        <f>SUMIFS(Table2[NewPointsAway],Table2[GameDate], "&lt;=" &amp; $A129, Table2[AwayTeam], M$1)+SUMIFS(Table2[NewPointsHome],Table2[GameDate], "&lt;=" &amp; $A129, Table2[HomeTeam], M$1)</f>
        <v>8</v>
      </c>
      <c r="N129" s="145">
        <f>SUMIFS(Table2[NewPointsAway],Table2[GameDate], "&lt;=" &amp; $A129, Table2[AwayTeam], N$1)+SUMIFS(Table2[NewPointsHome],Table2[GameDate], "&lt;=" &amp; $A129, Table2[HomeTeam], N$1)</f>
        <v>6</v>
      </c>
      <c r="O129" s="145">
        <f>SUMIFS(Table2[NewPointsAway],Table2[GameDate], "&lt;=" &amp; $A129, Table2[AwayTeam], O$1)+SUMIFS(Table2[NewPointsHome],Table2[GameDate], "&lt;=" &amp; $A129, Table2[HomeTeam], O$1)</f>
        <v>7</v>
      </c>
      <c r="P129" s="145">
        <f>SUMIFS(Table2[NewPointsAway],Table2[GameDate], "&lt;=" &amp; $A129, Table2[AwayTeam], P$1)+SUMIFS(Table2[NewPointsHome],Table2[GameDate], "&lt;=" &amp; $A129, Table2[HomeTeam], P$1)</f>
        <v>12</v>
      </c>
      <c r="Q129" s="145">
        <f>SUMIFS(Table2[NewPointsAway],Table2[GameDate], "&lt;=" &amp; $A129, Table2[AwayTeam], Q$1)+SUMIFS(Table2[NewPointsHome],Table2[GameDate], "&lt;=" &amp; $A129, Table2[HomeTeam], Q$1)</f>
        <v>12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6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5</v>
      </c>
      <c r="V129" s="145">
        <f>SUMIFS(Table2[NewPointsAway],Table2[GameDate], "&lt;=" &amp; $A129, Table2[AwayTeam], V$1)+SUMIFS(Table2[NewPointsHome],Table2[GameDate], "&lt;=" &amp; $A129, Table2[HomeTeam], V$1)</f>
        <v>7</v>
      </c>
      <c r="W129" s="145">
        <f>SUMIFS(Table2[NewPointsAway],Table2[GameDate], "&lt;=" &amp; $A129, Table2[AwayTeam], W$1)+SUMIFS(Table2[NewPointsHome],Table2[GameDate], "&lt;=" &amp; $A129, Table2[HomeTeam], W$1)</f>
        <v>10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10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12</v>
      </c>
      <c r="AF129" s="145">
        <f>SUMIFS(Table2[NewPointsAway],Table2[GameDate], "&lt;=" &amp; $A129, Table2[AwayTeam], AF$1)+SUMIFS(Table2[NewPointsHome],Table2[GameDate], "&lt;=" &amp; $A129, Table2[HomeTeam], AF$1)</f>
        <v>10</v>
      </c>
      <c r="AG129" s="145">
        <f>SUMIFS(Table2[NewPointsAway],Table2[GameDate], "&lt;=" &amp; $A129, Table2[AwayTeam], AG$1)+SUMIFS(Table2[NewPointsHome],Table2[GameDate], "&lt;=" &amp; $A129, Table2[HomeTeam], AG$1)</f>
        <v>10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7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6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6</v>
      </c>
      <c r="G130" s="145">
        <f>SUMIFS(Table2[NewPointsAway],Table2[GameDate], "&lt;=" &amp; $A130, Table2[AwayTeam], G$1)+SUMIFS(Table2[NewPointsHome],Table2[GameDate], "&lt;=" &amp; $A130, Table2[HomeTeam], G$1)</f>
        <v>3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12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7</v>
      </c>
      <c r="M130" s="145">
        <f>SUMIFS(Table2[NewPointsAway],Table2[GameDate], "&lt;=" &amp; $A130, Table2[AwayTeam], M$1)+SUMIFS(Table2[NewPointsHome],Table2[GameDate], "&lt;=" &amp; $A130, Table2[HomeTeam], M$1)</f>
        <v>8</v>
      </c>
      <c r="N130" s="145">
        <f>SUMIFS(Table2[NewPointsAway],Table2[GameDate], "&lt;=" &amp; $A130, Table2[AwayTeam], N$1)+SUMIFS(Table2[NewPointsHome],Table2[GameDate], "&lt;=" &amp; $A130, Table2[HomeTeam], N$1)</f>
        <v>6</v>
      </c>
      <c r="O130" s="145">
        <f>SUMIFS(Table2[NewPointsAway],Table2[GameDate], "&lt;=" &amp; $A130, Table2[AwayTeam], O$1)+SUMIFS(Table2[NewPointsHome],Table2[GameDate], "&lt;=" &amp; $A130, Table2[HomeTeam], O$1)</f>
        <v>7</v>
      </c>
      <c r="P130" s="145">
        <f>SUMIFS(Table2[NewPointsAway],Table2[GameDate], "&lt;=" &amp; $A130, Table2[AwayTeam], P$1)+SUMIFS(Table2[NewPointsHome],Table2[GameDate], "&lt;=" &amp; $A130, Table2[HomeTeam], P$1)</f>
        <v>12</v>
      </c>
      <c r="Q130" s="145">
        <f>SUMIFS(Table2[NewPointsAway],Table2[GameDate], "&lt;=" &amp; $A130, Table2[AwayTeam], Q$1)+SUMIFS(Table2[NewPointsHome],Table2[GameDate], "&lt;=" &amp; $A130, Table2[HomeTeam], Q$1)</f>
        <v>12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6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5</v>
      </c>
      <c r="V130" s="145">
        <f>SUMIFS(Table2[NewPointsAway],Table2[GameDate], "&lt;=" &amp; $A130, Table2[AwayTeam], V$1)+SUMIFS(Table2[NewPointsHome],Table2[GameDate], "&lt;=" &amp; $A130, Table2[HomeTeam], V$1)</f>
        <v>7</v>
      </c>
      <c r="W130" s="145">
        <f>SUMIFS(Table2[NewPointsAway],Table2[GameDate], "&lt;=" &amp; $A130, Table2[AwayTeam], W$1)+SUMIFS(Table2[NewPointsHome],Table2[GameDate], "&lt;=" &amp; $A130, Table2[HomeTeam], W$1)</f>
        <v>10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10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12</v>
      </c>
      <c r="AF130" s="145">
        <f>SUMIFS(Table2[NewPointsAway],Table2[GameDate], "&lt;=" &amp; $A130, Table2[AwayTeam], AF$1)+SUMIFS(Table2[NewPointsHome],Table2[GameDate], "&lt;=" &amp; $A130, Table2[HomeTeam], AF$1)</f>
        <v>10</v>
      </c>
      <c r="AG130" s="145">
        <f>SUMIFS(Table2[NewPointsAway],Table2[GameDate], "&lt;=" &amp; $A130, Table2[AwayTeam], AG$1)+SUMIFS(Table2[NewPointsHome],Table2[GameDate], "&lt;=" &amp; $A130, Table2[HomeTeam], AG$1)</f>
        <v>10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7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6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6</v>
      </c>
      <c r="G131" s="145">
        <f>SUMIFS(Table2[NewPointsAway],Table2[GameDate], "&lt;=" &amp; $A131, Table2[AwayTeam], G$1)+SUMIFS(Table2[NewPointsHome],Table2[GameDate], "&lt;=" &amp; $A131, Table2[HomeTeam], G$1)</f>
        <v>3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12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7</v>
      </c>
      <c r="M131" s="145">
        <f>SUMIFS(Table2[NewPointsAway],Table2[GameDate], "&lt;=" &amp; $A131, Table2[AwayTeam], M$1)+SUMIFS(Table2[NewPointsHome],Table2[GameDate], "&lt;=" &amp; $A131, Table2[HomeTeam], M$1)</f>
        <v>8</v>
      </c>
      <c r="N131" s="145">
        <f>SUMIFS(Table2[NewPointsAway],Table2[GameDate], "&lt;=" &amp; $A131, Table2[AwayTeam], N$1)+SUMIFS(Table2[NewPointsHome],Table2[GameDate], "&lt;=" &amp; $A131, Table2[HomeTeam], N$1)</f>
        <v>6</v>
      </c>
      <c r="O131" s="145">
        <f>SUMIFS(Table2[NewPointsAway],Table2[GameDate], "&lt;=" &amp; $A131, Table2[AwayTeam], O$1)+SUMIFS(Table2[NewPointsHome],Table2[GameDate], "&lt;=" &amp; $A131, Table2[HomeTeam], O$1)</f>
        <v>7</v>
      </c>
      <c r="P131" s="145">
        <f>SUMIFS(Table2[NewPointsAway],Table2[GameDate], "&lt;=" &amp; $A131, Table2[AwayTeam], P$1)+SUMIFS(Table2[NewPointsHome],Table2[GameDate], "&lt;=" &amp; $A131, Table2[HomeTeam], P$1)</f>
        <v>12</v>
      </c>
      <c r="Q131" s="145">
        <f>SUMIFS(Table2[NewPointsAway],Table2[GameDate], "&lt;=" &amp; $A131, Table2[AwayTeam], Q$1)+SUMIFS(Table2[NewPointsHome],Table2[GameDate], "&lt;=" &amp; $A131, Table2[HomeTeam], Q$1)</f>
        <v>12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6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5</v>
      </c>
      <c r="V131" s="145">
        <f>SUMIFS(Table2[NewPointsAway],Table2[GameDate], "&lt;=" &amp; $A131, Table2[AwayTeam], V$1)+SUMIFS(Table2[NewPointsHome],Table2[GameDate], "&lt;=" &amp; $A131, Table2[HomeTeam], V$1)</f>
        <v>7</v>
      </c>
      <c r="W131" s="145">
        <f>SUMIFS(Table2[NewPointsAway],Table2[GameDate], "&lt;=" &amp; $A131, Table2[AwayTeam], W$1)+SUMIFS(Table2[NewPointsHome],Table2[GameDate], "&lt;=" &amp; $A131, Table2[HomeTeam], W$1)</f>
        <v>10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10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12</v>
      </c>
      <c r="AF131" s="145">
        <f>SUMIFS(Table2[NewPointsAway],Table2[GameDate], "&lt;=" &amp; $A131, Table2[AwayTeam], AF$1)+SUMIFS(Table2[NewPointsHome],Table2[GameDate], "&lt;=" &amp; $A131, Table2[HomeTeam], AF$1)</f>
        <v>10</v>
      </c>
      <c r="AG131" s="145">
        <f>SUMIFS(Table2[NewPointsAway],Table2[GameDate], "&lt;=" &amp; $A131, Table2[AwayTeam], AG$1)+SUMIFS(Table2[NewPointsHome],Table2[GameDate], "&lt;=" &amp; $A131, Table2[HomeTeam], AG$1)</f>
        <v>10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7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6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6</v>
      </c>
      <c r="G132" s="145">
        <f>SUMIFS(Table2[NewPointsAway],Table2[GameDate], "&lt;=" &amp; $A132, Table2[AwayTeam], G$1)+SUMIFS(Table2[NewPointsHome],Table2[GameDate], "&lt;=" &amp; $A132, Table2[HomeTeam], G$1)</f>
        <v>3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12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7</v>
      </c>
      <c r="M132" s="145">
        <f>SUMIFS(Table2[NewPointsAway],Table2[GameDate], "&lt;=" &amp; $A132, Table2[AwayTeam], M$1)+SUMIFS(Table2[NewPointsHome],Table2[GameDate], "&lt;=" &amp; $A132, Table2[HomeTeam], M$1)</f>
        <v>8</v>
      </c>
      <c r="N132" s="145">
        <f>SUMIFS(Table2[NewPointsAway],Table2[GameDate], "&lt;=" &amp; $A132, Table2[AwayTeam], N$1)+SUMIFS(Table2[NewPointsHome],Table2[GameDate], "&lt;=" &amp; $A132, Table2[HomeTeam], N$1)</f>
        <v>6</v>
      </c>
      <c r="O132" s="145">
        <f>SUMIFS(Table2[NewPointsAway],Table2[GameDate], "&lt;=" &amp; $A132, Table2[AwayTeam], O$1)+SUMIFS(Table2[NewPointsHome],Table2[GameDate], "&lt;=" &amp; $A132, Table2[HomeTeam], O$1)</f>
        <v>7</v>
      </c>
      <c r="P132" s="145">
        <f>SUMIFS(Table2[NewPointsAway],Table2[GameDate], "&lt;=" &amp; $A132, Table2[AwayTeam], P$1)+SUMIFS(Table2[NewPointsHome],Table2[GameDate], "&lt;=" &amp; $A132, Table2[HomeTeam], P$1)</f>
        <v>12</v>
      </c>
      <c r="Q132" s="145">
        <f>SUMIFS(Table2[NewPointsAway],Table2[GameDate], "&lt;=" &amp; $A132, Table2[AwayTeam], Q$1)+SUMIFS(Table2[NewPointsHome],Table2[GameDate], "&lt;=" &amp; $A132, Table2[HomeTeam], Q$1)</f>
        <v>12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6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5</v>
      </c>
      <c r="V132" s="145">
        <f>SUMIFS(Table2[NewPointsAway],Table2[GameDate], "&lt;=" &amp; $A132, Table2[AwayTeam], V$1)+SUMIFS(Table2[NewPointsHome],Table2[GameDate], "&lt;=" &amp; $A132, Table2[HomeTeam], V$1)</f>
        <v>7</v>
      </c>
      <c r="W132" s="145">
        <f>SUMIFS(Table2[NewPointsAway],Table2[GameDate], "&lt;=" &amp; $A132, Table2[AwayTeam], W$1)+SUMIFS(Table2[NewPointsHome],Table2[GameDate], "&lt;=" &amp; $A132, Table2[HomeTeam], W$1)</f>
        <v>10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10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12</v>
      </c>
      <c r="AF132" s="145">
        <f>SUMIFS(Table2[NewPointsAway],Table2[GameDate], "&lt;=" &amp; $A132, Table2[AwayTeam], AF$1)+SUMIFS(Table2[NewPointsHome],Table2[GameDate], "&lt;=" &amp; $A132, Table2[HomeTeam], AF$1)</f>
        <v>10</v>
      </c>
      <c r="AG132" s="145">
        <f>SUMIFS(Table2[NewPointsAway],Table2[GameDate], "&lt;=" &amp; $A132, Table2[AwayTeam], AG$1)+SUMIFS(Table2[NewPointsHome],Table2[GameDate], "&lt;=" &amp; $A132, Table2[HomeTeam], AG$1)</f>
        <v>10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7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6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6</v>
      </c>
      <c r="G133" s="145">
        <f>SUMIFS(Table2[NewPointsAway],Table2[GameDate], "&lt;=" &amp; $A133, Table2[AwayTeam], G$1)+SUMIFS(Table2[NewPointsHome],Table2[GameDate], "&lt;=" &amp; $A133, Table2[HomeTeam], G$1)</f>
        <v>3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12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7</v>
      </c>
      <c r="M133" s="145">
        <f>SUMIFS(Table2[NewPointsAway],Table2[GameDate], "&lt;=" &amp; $A133, Table2[AwayTeam], M$1)+SUMIFS(Table2[NewPointsHome],Table2[GameDate], "&lt;=" &amp; $A133, Table2[HomeTeam], M$1)</f>
        <v>8</v>
      </c>
      <c r="N133" s="145">
        <f>SUMIFS(Table2[NewPointsAway],Table2[GameDate], "&lt;=" &amp; $A133, Table2[AwayTeam], N$1)+SUMIFS(Table2[NewPointsHome],Table2[GameDate], "&lt;=" &amp; $A133, Table2[HomeTeam], N$1)</f>
        <v>6</v>
      </c>
      <c r="O133" s="145">
        <f>SUMIFS(Table2[NewPointsAway],Table2[GameDate], "&lt;=" &amp; $A133, Table2[AwayTeam], O$1)+SUMIFS(Table2[NewPointsHome],Table2[GameDate], "&lt;=" &amp; $A133, Table2[HomeTeam], O$1)</f>
        <v>7</v>
      </c>
      <c r="P133" s="145">
        <f>SUMIFS(Table2[NewPointsAway],Table2[GameDate], "&lt;=" &amp; $A133, Table2[AwayTeam], P$1)+SUMIFS(Table2[NewPointsHome],Table2[GameDate], "&lt;=" &amp; $A133, Table2[HomeTeam], P$1)</f>
        <v>12</v>
      </c>
      <c r="Q133" s="145">
        <f>SUMIFS(Table2[NewPointsAway],Table2[GameDate], "&lt;=" &amp; $A133, Table2[AwayTeam], Q$1)+SUMIFS(Table2[NewPointsHome],Table2[GameDate], "&lt;=" &amp; $A133, Table2[HomeTeam], Q$1)</f>
        <v>12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6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5</v>
      </c>
      <c r="V133" s="145">
        <f>SUMIFS(Table2[NewPointsAway],Table2[GameDate], "&lt;=" &amp; $A133, Table2[AwayTeam], V$1)+SUMIFS(Table2[NewPointsHome],Table2[GameDate], "&lt;=" &amp; $A133, Table2[HomeTeam], V$1)</f>
        <v>7</v>
      </c>
      <c r="W133" s="145">
        <f>SUMIFS(Table2[NewPointsAway],Table2[GameDate], "&lt;=" &amp; $A133, Table2[AwayTeam], W$1)+SUMIFS(Table2[NewPointsHome],Table2[GameDate], "&lt;=" &amp; $A133, Table2[HomeTeam], W$1)</f>
        <v>10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10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12</v>
      </c>
      <c r="AF133" s="145">
        <f>SUMIFS(Table2[NewPointsAway],Table2[GameDate], "&lt;=" &amp; $A133, Table2[AwayTeam], AF$1)+SUMIFS(Table2[NewPointsHome],Table2[GameDate], "&lt;=" &amp; $A133, Table2[HomeTeam], AF$1)</f>
        <v>10</v>
      </c>
      <c r="AG133" s="145">
        <f>SUMIFS(Table2[NewPointsAway],Table2[GameDate], "&lt;=" &amp; $A133, Table2[AwayTeam], AG$1)+SUMIFS(Table2[NewPointsHome],Table2[GameDate], "&lt;=" &amp; $A133, Table2[HomeTeam], AG$1)</f>
        <v>10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7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6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6</v>
      </c>
      <c r="G134" s="145">
        <f>SUMIFS(Table2[NewPointsAway],Table2[GameDate], "&lt;=" &amp; $A134, Table2[AwayTeam], G$1)+SUMIFS(Table2[NewPointsHome],Table2[GameDate], "&lt;=" &amp; $A134, Table2[HomeTeam], G$1)</f>
        <v>3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12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7</v>
      </c>
      <c r="M134" s="145">
        <f>SUMIFS(Table2[NewPointsAway],Table2[GameDate], "&lt;=" &amp; $A134, Table2[AwayTeam], M$1)+SUMIFS(Table2[NewPointsHome],Table2[GameDate], "&lt;=" &amp; $A134, Table2[HomeTeam], M$1)</f>
        <v>8</v>
      </c>
      <c r="N134" s="145">
        <f>SUMIFS(Table2[NewPointsAway],Table2[GameDate], "&lt;=" &amp; $A134, Table2[AwayTeam], N$1)+SUMIFS(Table2[NewPointsHome],Table2[GameDate], "&lt;=" &amp; $A134, Table2[HomeTeam], N$1)</f>
        <v>6</v>
      </c>
      <c r="O134" s="145">
        <f>SUMIFS(Table2[NewPointsAway],Table2[GameDate], "&lt;=" &amp; $A134, Table2[AwayTeam], O$1)+SUMIFS(Table2[NewPointsHome],Table2[GameDate], "&lt;=" &amp; $A134, Table2[HomeTeam], O$1)</f>
        <v>7</v>
      </c>
      <c r="P134" s="145">
        <f>SUMIFS(Table2[NewPointsAway],Table2[GameDate], "&lt;=" &amp; $A134, Table2[AwayTeam], P$1)+SUMIFS(Table2[NewPointsHome],Table2[GameDate], "&lt;=" &amp; $A134, Table2[HomeTeam], P$1)</f>
        <v>12</v>
      </c>
      <c r="Q134" s="145">
        <f>SUMIFS(Table2[NewPointsAway],Table2[GameDate], "&lt;=" &amp; $A134, Table2[AwayTeam], Q$1)+SUMIFS(Table2[NewPointsHome],Table2[GameDate], "&lt;=" &amp; $A134, Table2[HomeTeam], Q$1)</f>
        <v>12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6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5</v>
      </c>
      <c r="V134" s="145">
        <f>SUMIFS(Table2[NewPointsAway],Table2[GameDate], "&lt;=" &amp; $A134, Table2[AwayTeam], V$1)+SUMIFS(Table2[NewPointsHome],Table2[GameDate], "&lt;=" &amp; $A134, Table2[HomeTeam], V$1)</f>
        <v>7</v>
      </c>
      <c r="W134" s="145">
        <f>SUMIFS(Table2[NewPointsAway],Table2[GameDate], "&lt;=" &amp; $A134, Table2[AwayTeam], W$1)+SUMIFS(Table2[NewPointsHome],Table2[GameDate], "&lt;=" &amp; $A134, Table2[HomeTeam], W$1)</f>
        <v>10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10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12</v>
      </c>
      <c r="AF134" s="145">
        <f>SUMIFS(Table2[NewPointsAway],Table2[GameDate], "&lt;=" &amp; $A134, Table2[AwayTeam], AF$1)+SUMIFS(Table2[NewPointsHome],Table2[GameDate], "&lt;=" &amp; $A134, Table2[HomeTeam], AF$1)</f>
        <v>10</v>
      </c>
      <c r="AG134" s="145">
        <f>SUMIFS(Table2[NewPointsAway],Table2[GameDate], "&lt;=" &amp; $A134, Table2[AwayTeam], AG$1)+SUMIFS(Table2[NewPointsHome],Table2[GameDate], "&lt;=" &amp; $A134, Table2[HomeTeam], AG$1)</f>
        <v>10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7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6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6</v>
      </c>
      <c r="G135" s="145">
        <f>SUMIFS(Table2[NewPointsAway],Table2[GameDate], "&lt;=" &amp; $A135, Table2[AwayTeam], G$1)+SUMIFS(Table2[NewPointsHome],Table2[GameDate], "&lt;=" &amp; $A135, Table2[HomeTeam], G$1)</f>
        <v>3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12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7</v>
      </c>
      <c r="M135" s="145">
        <f>SUMIFS(Table2[NewPointsAway],Table2[GameDate], "&lt;=" &amp; $A135, Table2[AwayTeam], M$1)+SUMIFS(Table2[NewPointsHome],Table2[GameDate], "&lt;=" &amp; $A135, Table2[HomeTeam], M$1)</f>
        <v>8</v>
      </c>
      <c r="N135" s="145">
        <f>SUMIFS(Table2[NewPointsAway],Table2[GameDate], "&lt;=" &amp; $A135, Table2[AwayTeam], N$1)+SUMIFS(Table2[NewPointsHome],Table2[GameDate], "&lt;=" &amp; $A135, Table2[HomeTeam], N$1)</f>
        <v>6</v>
      </c>
      <c r="O135" s="145">
        <f>SUMIFS(Table2[NewPointsAway],Table2[GameDate], "&lt;=" &amp; $A135, Table2[AwayTeam], O$1)+SUMIFS(Table2[NewPointsHome],Table2[GameDate], "&lt;=" &amp; $A135, Table2[HomeTeam], O$1)</f>
        <v>7</v>
      </c>
      <c r="P135" s="145">
        <f>SUMIFS(Table2[NewPointsAway],Table2[GameDate], "&lt;=" &amp; $A135, Table2[AwayTeam], P$1)+SUMIFS(Table2[NewPointsHome],Table2[GameDate], "&lt;=" &amp; $A135, Table2[HomeTeam], P$1)</f>
        <v>12</v>
      </c>
      <c r="Q135" s="145">
        <f>SUMIFS(Table2[NewPointsAway],Table2[GameDate], "&lt;=" &amp; $A135, Table2[AwayTeam], Q$1)+SUMIFS(Table2[NewPointsHome],Table2[GameDate], "&lt;=" &amp; $A135, Table2[HomeTeam], Q$1)</f>
        <v>12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6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5</v>
      </c>
      <c r="V135" s="145">
        <f>SUMIFS(Table2[NewPointsAway],Table2[GameDate], "&lt;=" &amp; $A135, Table2[AwayTeam], V$1)+SUMIFS(Table2[NewPointsHome],Table2[GameDate], "&lt;=" &amp; $A135, Table2[HomeTeam], V$1)</f>
        <v>7</v>
      </c>
      <c r="W135" s="145">
        <f>SUMIFS(Table2[NewPointsAway],Table2[GameDate], "&lt;=" &amp; $A135, Table2[AwayTeam], W$1)+SUMIFS(Table2[NewPointsHome],Table2[GameDate], "&lt;=" &amp; $A135, Table2[HomeTeam], W$1)</f>
        <v>10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10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12</v>
      </c>
      <c r="AF135" s="145">
        <f>SUMIFS(Table2[NewPointsAway],Table2[GameDate], "&lt;=" &amp; $A135, Table2[AwayTeam], AF$1)+SUMIFS(Table2[NewPointsHome],Table2[GameDate], "&lt;=" &amp; $A135, Table2[HomeTeam], AF$1)</f>
        <v>10</v>
      </c>
      <c r="AG135" s="145">
        <f>SUMIFS(Table2[NewPointsAway],Table2[GameDate], "&lt;=" &amp; $A135, Table2[AwayTeam], AG$1)+SUMIFS(Table2[NewPointsHome],Table2[GameDate], "&lt;=" &amp; $A135, Table2[HomeTeam], AG$1)</f>
        <v>10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7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6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6</v>
      </c>
      <c r="G136" s="145">
        <f>SUMIFS(Table2[NewPointsAway],Table2[GameDate], "&lt;=" &amp; $A136, Table2[AwayTeam], G$1)+SUMIFS(Table2[NewPointsHome],Table2[GameDate], "&lt;=" &amp; $A136, Table2[HomeTeam], G$1)</f>
        <v>3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12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7</v>
      </c>
      <c r="M136" s="145">
        <f>SUMIFS(Table2[NewPointsAway],Table2[GameDate], "&lt;=" &amp; $A136, Table2[AwayTeam], M$1)+SUMIFS(Table2[NewPointsHome],Table2[GameDate], "&lt;=" &amp; $A136, Table2[HomeTeam], M$1)</f>
        <v>8</v>
      </c>
      <c r="N136" s="145">
        <f>SUMIFS(Table2[NewPointsAway],Table2[GameDate], "&lt;=" &amp; $A136, Table2[AwayTeam], N$1)+SUMIFS(Table2[NewPointsHome],Table2[GameDate], "&lt;=" &amp; $A136, Table2[HomeTeam], N$1)</f>
        <v>6</v>
      </c>
      <c r="O136" s="145">
        <f>SUMIFS(Table2[NewPointsAway],Table2[GameDate], "&lt;=" &amp; $A136, Table2[AwayTeam], O$1)+SUMIFS(Table2[NewPointsHome],Table2[GameDate], "&lt;=" &amp; $A136, Table2[HomeTeam], O$1)</f>
        <v>7</v>
      </c>
      <c r="P136" s="145">
        <f>SUMIFS(Table2[NewPointsAway],Table2[GameDate], "&lt;=" &amp; $A136, Table2[AwayTeam], P$1)+SUMIFS(Table2[NewPointsHome],Table2[GameDate], "&lt;=" &amp; $A136, Table2[HomeTeam], P$1)</f>
        <v>12</v>
      </c>
      <c r="Q136" s="145">
        <f>SUMIFS(Table2[NewPointsAway],Table2[GameDate], "&lt;=" &amp; $A136, Table2[AwayTeam], Q$1)+SUMIFS(Table2[NewPointsHome],Table2[GameDate], "&lt;=" &amp; $A136, Table2[HomeTeam], Q$1)</f>
        <v>12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6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5</v>
      </c>
      <c r="V136" s="145">
        <f>SUMIFS(Table2[NewPointsAway],Table2[GameDate], "&lt;=" &amp; $A136, Table2[AwayTeam], V$1)+SUMIFS(Table2[NewPointsHome],Table2[GameDate], "&lt;=" &amp; $A136, Table2[HomeTeam], V$1)</f>
        <v>7</v>
      </c>
      <c r="W136" s="145">
        <f>SUMIFS(Table2[NewPointsAway],Table2[GameDate], "&lt;=" &amp; $A136, Table2[AwayTeam], W$1)+SUMIFS(Table2[NewPointsHome],Table2[GameDate], "&lt;=" &amp; $A136, Table2[HomeTeam], W$1)</f>
        <v>10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10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12</v>
      </c>
      <c r="AF136" s="145">
        <f>SUMIFS(Table2[NewPointsAway],Table2[GameDate], "&lt;=" &amp; $A136, Table2[AwayTeam], AF$1)+SUMIFS(Table2[NewPointsHome],Table2[GameDate], "&lt;=" &amp; $A136, Table2[HomeTeam], AF$1)</f>
        <v>10</v>
      </c>
      <c r="AG136" s="145">
        <f>SUMIFS(Table2[NewPointsAway],Table2[GameDate], "&lt;=" &amp; $A136, Table2[AwayTeam], AG$1)+SUMIFS(Table2[NewPointsHome],Table2[GameDate], "&lt;=" &amp; $A136, Table2[HomeTeam], AG$1)</f>
        <v>10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7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6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6</v>
      </c>
      <c r="G137" s="145">
        <f>SUMIFS(Table2[NewPointsAway],Table2[GameDate], "&lt;=" &amp; $A137, Table2[AwayTeam], G$1)+SUMIFS(Table2[NewPointsHome],Table2[GameDate], "&lt;=" &amp; $A137, Table2[HomeTeam], G$1)</f>
        <v>3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12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7</v>
      </c>
      <c r="M137" s="145">
        <f>SUMIFS(Table2[NewPointsAway],Table2[GameDate], "&lt;=" &amp; $A137, Table2[AwayTeam], M$1)+SUMIFS(Table2[NewPointsHome],Table2[GameDate], "&lt;=" &amp; $A137, Table2[HomeTeam], M$1)</f>
        <v>8</v>
      </c>
      <c r="N137" s="145">
        <f>SUMIFS(Table2[NewPointsAway],Table2[GameDate], "&lt;=" &amp; $A137, Table2[AwayTeam], N$1)+SUMIFS(Table2[NewPointsHome],Table2[GameDate], "&lt;=" &amp; $A137, Table2[HomeTeam], N$1)</f>
        <v>6</v>
      </c>
      <c r="O137" s="145">
        <f>SUMIFS(Table2[NewPointsAway],Table2[GameDate], "&lt;=" &amp; $A137, Table2[AwayTeam], O$1)+SUMIFS(Table2[NewPointsHome],Table2[GameDate], "&lt;=" &amp; $A137, Table2[HomeTeam], O$1)</f>
        <v>7</v>
      </c>
      <c r="P137" s="145">
        <f>SUMIFS(Table2[NewPointsAway],Table2[GameDate], "&lt;=" &amp; $A137, Table2[AwayTeam], P$1)+SUMIFS(Table2[NewPointsHome],Table2[GameDate], "&lt;=" &amp; $A137, Table2[HomeTeam], P$1)</f>
        <v>12</v>
      </c>
      <c r="Q137" s="145">
        <f>SUMIFS(Table2[NewPointsAway],Table2[GameDate], "&lt;=" &amp; $A137, Table2[AwayTeam], Q$1)+SUMIFS(Table2[NewPointsHome],Table2[GameDate], "&lt;=" &amp; $A137, Table2[HomeTeam], Q$1)</f>
        <v>12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6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5</v>
      </c>
      <c r="V137" s="145">
        <f>SUMIFS(Table2[NewPointsAway],Table2[GameDate], "&lt;=" &amp; $A137, Table2[AwayTeam], V$1)+SUMIFS(Table2[NewPointsHome],Table2[GameDate], "&lt;=" &amp; $A137, Table2[HomeTeam], V$1)</f>
        <v>7</v>
      </c>
      <c r="W137" s="145">
        <f>SUMIFS(Table2[NewPointsAway],Table2[GameDate], "&lt;=" &amp; $A137, Table2[AwayTeam], W$1)+SUMIFS(Table2[NewPointsHome],Table2[GameDate], "&lt;=" &amp; $A137, Table2[HomeTeam], W$1)</f>
        <v>10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10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12</v>
      </c>
      <c r="AF137" s="145">
        <f>SUMIFS(Table2[NewPointsAway],Table2[GameDate], "&lt;=" &amp; $A137, Table2[AwayTeam], AF$1)+SUMIFS(Table2[NewPointsHome],Table2[GameDate], "&lt;=" &amp; $A137, Table2[HomeTeam], AF$1)</f>
        <v>10</v>
      </c>
      <c r="AG137" s="145">
        <f>SUMIFS(Table2[NewPointsAway],Table2[GameDate], "&lt;=" &amp; $A137, Table2[AwayTeam], AG$1)+SUMIFS(Table2[NewPointsHome],Table2[GameDate], "&lt;=" &amp; $A137, Table2[HomeTeam], AG$1)</f>
        <v>10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7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6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6</v>
      </c>
      <c r="G138" s="145">
        <f>SUMIFS(Table2[NewPointsAway],Table2[GameDate], "&lt;=" &amp; $A138, Table2[AwayTeam], G$1)+SUMIFS(Table2[NewPointsHome],Table2[GameDate], "&lt;=" &amp; $A138, Table2[HomeTeam], G$1)</f>
        <v>3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12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7</v>
      </c>
      <c r="M138" s="145">
        <f>SUMIFS(Table2[NewPointsAway],Table2[GameDate], "&lt;=" &amp; $A138, Table2[AwayTeam], M$1)+SUMIFS(Table2[NewPointsHome],Table2[GameDate], "&lt;=" &amp; $A138, Table2[HomeTeam], M$1)</f>
        <v>8</v>
      </c>
      <c r="N138" s="145">
        <f>SUMIFS(Table2[NewPointsAway],Table2[GameDate], "&lt;=" &amp; $A138, Table2[AwayTeam], N$1)+SUMIFS(Table2[NewPointsHome],Table2[GameDate], "&lt;=" &amp; $A138, Table2[HomeTeam], N$1)</f>
        <v>6</v>
      </c>
      <c r="O138" s="145">
        <f>SUMIFS(Table2[NewPointsAway],Table2[GameDate], "&lt;=" &amp; $A138, Table2[AwayTeam], O$1)+SUMIFS(Table2[NewPointsHome],Table2[GameDate], "&lt;=" &amp; $A138, Table2[HomeTeam], O$1)</f>
        <v>7</v>
      </c>
      <c r="P138" s="145">
        <f>SUMIFS(Table2[NewPointsAway],Table2[GameDate], "&lt;=" &amp; $A138, Table2[AwayTeam], P$1)+SUMIFS(Table2[NewPointsHome],Table2[GameDate], "&lt;=" &amp; $A138, Table2[HomeTeam], P$1)</f>
        <v>12</v>
      </c>
      <c r="Q138" s="145">
        <f>SUMIFS(Table2[NewPointsAway],Table2[GameDate], "&lt;=" &amp; $A138, Table2[AwayTeam], Q$1)+SUMIFS(Table2[NewPointsHome],Table2[GameDate], "&lt;=" &amp; $A138, Table2[HomeTeam], Q$1)</f>
        <v>12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6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5</v>
      </c>
      <c r="V138" s="145">
        <f>SUMIFS(Table2[NewPointsAway],Table2[GameDate], "&lt;=" &amp; $A138, Table2[AwayTeam], V$1)+SUMIFS(Table2[NewPointsHome],Table2[GameDate], "&lt;=" &amp; $A138, Table2[HomeTeam], V$1)</f>
        <v>7</v>
      </c>
      <c r="W138" s="145">
        <f>SUMIFS(Table2[NewPointsAway],Table2[GameDate], "&lt;=" &amp; $A138, Table2[AwayTeam], W$1)+SUMIFS(Table2[NewPointsHome],Table2[GameDate], "&lt;=" &amp; $A138, Table2[HomeTeam], W$1)</f>
        <v>10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10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12</v>
      </c>
      <c r="AF138" s="145">
        <f>SUMIFS(Table2[NewPointsAway],Table2[GameDate], "&lt;=" &amp; $A138, Table2[AwayTeam], AF$1)+SUMIFS(Table2[NewPointsHome],Table2[GameDate], "&lt;=" &amp; $A138, Table2[HomeTeam], AF$1)</f>
        <v>10</v>
      </c>
      <c r="AG138" s="145">
        <f>SUMIFS(Table2[NewPointsAway],Table2[GameDate], "&lt;=" &amp; $A138, Table2[AwayTeam], AG$1)+SUMIFS(Table2[NewPointsHome],Table2[GameDate], "&lt;=" &amp; $A138, Table2[HomeTeam], AG$1)</f>
        <v>10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7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6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6</v>
      </c>
      <c r="G139" s="145">
        <f>SUMIFS(Table2[NewPointsAway],Table2[GameDate], "&lt;=" &amp; $A139, Table2[AwayTeam], G$1)+SUMIFS(Table2[NewPointsHome],Table2[GameDate], "&lt;=" &amp; $A139, Table2[HomeTeam], G$1)</f>
        <v>3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12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7</v>
      </c>
      <c r="M139" s="145">
        <f>SUMIFS(Table2[NewPointsAway],Table2[GameDate], "&lt;=" &amp; $A139, Table2[AwayTeam], M$1)+SUMIFS(Table2[NewPointsHome],Table2[GameDate], "&lt;=" &amp; $A139, Table2[HomeTeam], M$1)</f>
        <v>8</v>
      </c>
      <c r="N139" s="145">
        <f>SUMIFS(Table2[NewPointsAway],Table2[GameDate], "&lt;=" &amp; $A139, Table2[AwayTeam], N$1)+SUMIFS(Table2[NewPointsHome],Table2[GameDate], "&lt;=" &amp; $A139, Table2[HomeTeam], N$1)</f>
        <v>6</v>
      </c>
      <c r="O139" s="145">
        <f>SUMIFS(Table2[NewPointsAway],Table2[GameDate], "&lt;=" &amp; $A139, Table2[AwayTeam], O$1)+SUMIFS(Table2[NewPointsHome],Table2[GameDate], "&lt;=" &amp; $A139, Table2[HomeTeam], O$1)</f>
        <v>7</v>
      </c>
      <c r="P139" s="145">
        <f>SUMIFS(Table2[NewPointsAway],Table2[GameDate], "&lt;=" &amp; $A139, Table2[AwayTeam], P$1)+SUMIFS(Table2[NewPointsHome],Table2[GameDate], "&lt;=" &amp; $A139, Table2[HomeTeam], P$1)</f>
        <v>12</v>
      </c>
      <c r="Q139" s="145">
        <f>SUMIFS(Table2[NewPointsAway],Table2[GameDate], "&lt;=" &amp; $A139, Table2[AwayTeam], Q$1)+SUMIFS(Table2[NewPointsHome],Table2[GameDate], "&lt;=" &amp; $A139, Table2[HomeTeam], Q$1)</f>
        <v>12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6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5</v>
      </c>
      <c r="V139" s="145">
        <f>SUMIFS(Table2[NewPointsAway],Table2[GameDate], "&lt;=" &amp; $A139, Table2[AwayTeam], V$1)+SUMIFS(Table2[NewPointsHome],Table2[GameDate], "&lt;=" &amp; $A139, Table2[HomeTeam], V$1)</f>
        <v>7</v>
      </c>
      <c r="W139" s="145">
        <f>SUMIFS(Table2[NewPointsAway],Table2[GameDate], "&lt;=" &amp; $A139, Table2[AwayTeam], W$1)+SUMIFS(Table2[NewPointsHome],Table2[GameDate], "&lt;=" &amp; $A139, Table2[HomeTeam], W$1)</f>
        <v>10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10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12</v>
      </c>
      <c r="AF139" s="145">
        <f>SUMIFS(Table2[NewPointsAway],Table2[GameDate], "&lt;=" &amp; $A139, Table2[AwayTeam], AF$1)+SUMIFS(Table2[NewPointsHome],Table2[GameDate], "&lt;=" &amp; $A139, Table2[HomeTeam], AF$1)</f>
        <v>10</v>
      </c>
      <c r="AG139" s="145">
        <f>SUMIFS(Table2[NewPointsAway],Table2[GameDate], "&lt;=" &amp; $A139, Table2[AwayTeam], AG$1)+SUMIFS(Table2[NewPointsHome],Table2[GameDate], "&lt;=" &amp; $A139, Table2[HomeTeam], AG$1)</f>
        <v>10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7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6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6</v>
      </c>
      <c r="G140" s="145">
        <f>SUMIFS(Table2[NewPointsAway],Table2[GameDate], "&lt;=" &amp; $A140, Table2[AwayTeam], G$1)+SUMIFS(Table2[NewPointsHome],Table2[GameDate], "&lt;=" &amp; $A140, Table2[HomeTeam], G$1)</f>
        <v>3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12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7</v>
      </c>
      <c r="M140" s="145">
        <f>SUMIFS(Table2[NewPointsAway],Table2[GameDate], "&lt;=" &amp; $A140, Table2[AwayTeam], M$1)+SUMIFS(Table2[NewPointsHome],Table2[GameDate], "&lt;=" &amp; $A140, Table2[HomeTeam], M$1)</f>
        <v>8</v>
      </c>
      <c r="N140" s="145">
        <f>SUMIFS(Table2[NewPointsAway],Table2[GameDate], "&lt;=" &amp; $A140, Table2[AwayTeam], N$1)+SUMIFS(Table2[NewPointsHome],Table2[GameDate], "&lt;=" &amp; $A140, Table2[HomeTeam], N$1)</f>
        <v>6</v>
      </c>
      <c r="O140" s="145">
        <f>SUMIFS(Table2[NewPointsAway],Table2[GameDate], "&lt;=" &amp; $A140, Table2[AwayTeam], O$1)+SUMIFS(Table2[NewPointsHome],Table2[GameDate], "&lt;=" &amp; $A140, Table2[HomeTeam], O$1)</f>
        <v>7</v>
      </c>
      <c r="P140" s="145">
        <f>SUMIFS(Table2[NewPointsAway],Table2[GameDate], "&lt;=" &amp; $A140, Table2[AwayTeam], P$1)+SUMIFS(Table2[NewPointsHome],Table2[GameDate], "&lt;=" &amp; $A140, Table2[HomeTeam], P$1)</f>
        <v>12</v>
      </c>
      <c r="Q140" s="145">
        <f>SUMIFS(Table2[NewPointsAway],Table2[GameDate], "&lt;=" &amp; $A140, Table2[AwayTeam], Q$1)+SUMIFS(Table2[NewPointsHome],Table2[GameDate], "&lt;=" &amp; $A140, Table2[HomeTeam], Q$1)</f>
        <v>12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6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5</v>
      </c>
      <c r="V140" s="145">
        <f>SUMIFS(Table2[NewPointsAway],Table2[GameDate], "&lt;=" &amp; $A140, Table2[AwayTeam], V$1)+SUMIFS(Table2[NewPointsHome],Table2[GameDate], "&lt;=" &amp; $A140, Table2[HomeTeam], V$1)</f>
        <v>7</v>
      </c>
      <c r="W140" s="145">
        <f>SUMIFS(Table2[NewPointsAway],Table2[GameDate], "&lt;=" &amp; $A140, Table2[AwayTeam], W$1)+SUMIFS(Table2[NewPointsHome],Table2[GameDate], "&lt;=" &amp; $A140, Table2[HomeTeam], W$1)</f>
        <v>10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10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12</v>
      </c>
      <c r="AF140" s="145">
        <f>SUMIFS(Table2[NewPointsAway],Table2[GameDate], "&lt;=" &amp; $A140, Table2[AwayTeam], AF$1)+SUMIFS(Table2[NewPointsHome],Table2[GameDate], "&lt;=" &amp; $A140, Table2[HomeTeam], AF$1)</f>
        <v>10</v>
      </c>
      <c r="AG140" s="145">
        <f>SUMIFS(Table2[NewPointsAway],Table2[GameDate], "&lt;=" &amp; $A140, Table2[AwayTeam], AG$1)+SUMIFS(Table2[NewPointsHome],Table2[GameDate], "&lt;=" &amp; $A140, Table2[HomeTeam], AG$1)</f>
        <v>10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7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6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6</v>
      </c>
      <c r="G141" s="145">
        <f>SUMIFS(Table2[NewPointsAway],Table2[GameDate], "&lt;=" &amp; $A141, Table2[AwayTeam], G$1)+SUMIFS(Table2[NewPointsHome],Table2[GameDate], "&lt;=" &amp; $A141, Table2[HomeTeam], G$1)</f>
        <v>3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12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7</v>
      </c>
      <c r="M141" s="145">
        <f>SUMIFS(Table2[NewPointsAway],Table2[GameDate], "&lt;=" &amp; $A141, Table2[AwayTeam], M$1)+SUMIFS(Table2[NewPointsHome],Table2[GameDate], "&lt;=" &amp; $A141, Table2[HomeTeam], M$1)</f>
        <v>8</v>
      </c>
      <c r="N141" s="145">
        <f>SUMIFS(Table2[NewPointsAway],Table2[GameDate], "&lt;=" &amp; $A141, Table2[AwayTeam], N$1)+SUMIFS(Table2[NewPointsHome],Table2[GameDate], "&lt;=" &amp; $A141, Table2[HomeTeam], N$1)</f>
        <v>6</v>
      </c>
      <c r="O141" s="145">
        <f>SUMIFS(Table2[NewPointsAway],Table2[GameDate], "&lt;=" &amp; $A141, Table2[AwayTeam], O$1)+SUMIFS(Table2[NewPointsHome],Table2[GameDate], "&lt;=" &amp; $A141, Table2[HomeTeam], O$1)</f>
        <v>7</v>
      </c>
      <c r="P141" s="145">
        <f>SUMIFS(Table2[NewPointsAway],Table2[GameDate], "&lt;=" &amp; $A141, Table2[AwayTeam], P$1)+SUMIFS(Table2[NewPointsHome],Table2[GameDate], "&lt;=" &amp; $A141, Table2[HomeTeam], P$1)</f>
        <v>12</v>
      </c>
      <c r="Q141" s="145">
        <f>SUMIFS(Table2[NewPointsAway],Table2[GameDate], "&lt;=" &amp; $A141, Table2[AwayTeam], Q$1)+SUMIFS(Table2[NewPointsHome],Table2[GameDate], "&lt;=" &amp; $A141, Table2[HomeTeam], Q$1)</f>
        <v>12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6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5</v>
      </c>
      <c r="V141" s="145">
        <f>SUMIFS(Table2[NewPointsAway],Table2[GameDate], "&lt;=" &amp; $A141, Table2[AwayTeam], V$1)+SUMIFS(Table2[NewPointsHome],Table2[GameDate], "&lt;=" &amp; $A141, Table2[HomeTeam], V$1)</f>
        <v>7</v>
      </c>
      <c r="W141" s="145">
        <f>SUMIFS(Table2[NewPointsAway],Table2[GameDate], "&lt;=" &amp; $A141, Table2[AwayTeam], W$1)+SUMIFS(Table2[NewPointsHome],Table2[GameDate], "&lt;=" &amp; $A141, Table2[HomeTeam], W$1)</f>
        <v>10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10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12</v>
      </c>
      <c r="AF141" s="145">
        <f>SUMIFS(Table2[NewPointsAway],Table2[GameDate], "&lt;=" &amp; $A141, Table2[AwayTeam], AF$1)+SUMIFS(Table2[NewPointsHome],Table2[GameDate], "&lt;=" &amp; $A141, Table2[HomeTeam], AF$1)</f>
        <v>10</v>
      </c>
      <c r="AG141" s="145">
        <f>SUMIFS(Table2[NewPointsAway],Table2[GameDate], "&lt;=" &amp; $A141, Table2[AwayTeam], AG$1)+SUMIFS(Table2[NewPointsHome],Table2[GameDate], "&lt;=" &amp; $A141, Table2[HomeTeam], AG$1)</f>
        <v>10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7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6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6</v>
      </c>
      <c r="G142" s="145">
        <f>SUMIFS(Table2[NewPointsAway],Table2[GameDate], "&lt;=" &amp; $A142, Table2[AwayTeam], G$1)+SUMIFS(Table2[NewPointsHome],Table2[GameDate], "&lt;=" &amp; $A142, Table2[HomeTeam], G$1)</f>
        <v>3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12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7</v>
      </c>
      <c r="M142" s="145">
        <f>SUMIFS(Table2[NewPointsAway],Table2[GameDate], "&lt;=" &amp; $A142, Table2[AwayTeam], M$1)+SUMIFS(Table2[NewPointsHome],Table2[GameDate], "&lt;=" &amp; $A142, Table2[HomeTeam], M$1)</f>
        <v>8</v>
      </c>
      <c r="N142" s="145">
        <f>SUMIFS(Table2[NewPointsAway],Table2[GameDate], "&lt;=" &amp; $A142, Table2[AwayTeam], N$1)+SUMIFS(Table2[NewPointsHome],Table2[GameDate], "&lt;=" &amp; $A142, Table2[HomeTeam], N$1)</f>
        <v>6</v>
      </c>
      <c r="O142" s="145">
        <f>SUMIFS(Table2[NewPointsAway],Table2[GameDate], "&lt;=" &amp; $A142, Table2[AwayTeam], O$1)+SUMIFS(Table2[NewPointsHome],Table2[GameDate], "&lt;=" &amp; $A142, Table2[HomeTeam], O$1)</f>
        <v>7</v>
      </c>
      <c r="P142" s="145">
        <f>SUMIFS(Table2[NewPointsAway],Table2[GameDate], "&lt;=" &amp; $A142, Table2[AwayTeam], P$1)+SUMIFS(Table2[NewPointsHome],Table2[GameDate], "&lt;=" &amp; $A142, Table2[HomeTeam], P$1)</f>
        <v>12</v>
      </c>
      <c r="Q142" s="145">
        <f>SUMIFS(Table2[NewPointsAway],Table2[GameDate], "&lt;=" &amp; $A142, Table2[AwayTeam], Q$1)+SUMIFS(Table2[NewPointsHome],Table2[GameDate], "&lt;=" &amp; $A142, Table2[HomeTeam], Q$1)</f>
        <v>12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6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5</v>
      </c>
      <c r="V142" s="145">
        <f>SUMIFS(Table2[NewPointsAway],Table2[GameDate], "&lt;=" &amp; $A142, Table2[AwayTeam], V$1)+SUMIFS(Table2[NewPointsHome],Table2[GameDate], "&lt;=" &amp; $A142, Table2[HomeTeam], V$1)</f>
        <v>7</v>
      </c>
      <c r="W142" s="145">
        <f>SUMIFS(Table2[NewPointsAway],Table2[GameDate], "&lt;=" &amp; $A142, Table2[AwayTeam], W$1)+SUMIFS(Table2[NewPointsHome],Table2[GameDate], "&lt;=" &amp; $A142, Table2[HomeTeam], W$1)</f>
        <v>10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10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12</v>
      </c>
      <c r="AF142" s="145">
        <f>SUMIFS(Table2[NewPointsAway],Table2[GameDate], "&lt;=" &amp; $A142, Table2[AwayTeam], AF$1)+SUMIFS(Table2[NewPointsHome],Table2[GameDate], "&lt;=" &amp; $A142, Table2[HomeTeam], AF$1)</f>
        <v>10</v>
      </c>
      <c r="AG142" s="145">
        <f>SUMIFS(Table2[NewPointsAway],Table2[GameDate], "&lt;=" &amp; $A142, Table2[AwayTeam], AG$1)+SUMIFS(Table2[NewPointsHome],Table2[GameDate], "&lt;=" &amp; $A142, Table2[HomeTeam], AG$1)</f>
        <v>10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7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6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6</v>
      </c>
      <c r="G143" s="145">
        <f>SUMIFS(Table2[NewPointsAway],Table2[GameDate], "&lt;=" &amp; $A143, Table2[AwayTeam], G$1)+SUMIFS(Table2[NewPointsHome],Table2[GameDate], "&lt;=" &amp; $A143, Table2[HomeTeam], G$1)</f>
        <v>3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12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7</v>
      </c>
      <c r="M143" s="145">
        <f>SUMIFS(Table2[NewPointsAway],Table2[GameDate], "&lt;=" &amp; $A143, Table2[AwayTeam], M$1)+SUMIFS(Table2[NewPointsHome],Table2[GameDate], "&lt;=" &amp; $A143, Table2[HomeTeam], M$1)</f>
        <v>8</v>
      </c>
      <c r="N143" s="145">
        <f>SUMIFS(Table2[NewPointsAway],Table2[GameDate], "&lt;=" &amp; $A143, Table2[AwayTeam], N$1)+SUMIFS(Table2[NewPointsHome],Table2[GameDate], "&lt;=" &amp; $A143, Table2[HomeTeam], N$1)</f>
        <v>6</v>
      </c>
      <c r="O143" s="145">
        <f>SUMIFS(Table2[NewPointsAway],Table2[GameDate], "&lt;=" &amp; $A143, Table2[AwayTeam], O$1)+SUMIFS(Table2[NewPointsHome],Table2[GameDate], "&lt;=" &amp; $A143, Table2[HomeTeam], O$1)</f>
        <v>7</v>
      </c>
      <c r="P143" s="145">
        <f>SUMIFS(Table2[NewPointsAway],Table2[GameDate], "&lt;=" &amp; $A143, Table2[AwayTeam], P$1)+SUMIFS(Table2[NewPointsHome],Table2[GameDate], "&lt;=" &amp; $A143, Table2[HomeTeam], P$1)</f>
        <v>12</v>
      </c>
      <c r="Q143" s="145">
        <f>SUMIFS(Table2[NewPointsAway],Table2[GameDate], "&lt;=" &amp; $A143, Table2[AwayTeam], Q$1)+SUMIFS(Table2[NewPointsHome],Table2[GameDate], "&lt;=" &amp; $A143, Table2[HomeTeam], Q$1)</f>
        <v>12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6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5</v>
      </c>
      <c r="V143" s="145">
        <f>SUMIFS(Table2[NewPointsAway],Table2[GameDate], "&lt;=" &amp; $A143, Table2[AwayTeam], V$1)+SUMIFS(Table2[NewPointsHome],Table2[GameDate], "&lt;=" &amp; $A143, Table2[HomeTeam], V$1)</f>
        <v>7</v>
      </c>
      <c r="W143" s="145">
        <f>SUMIFS(Table2[NewPointsAway],Table2[GameDate], "&lt;=" &amp; $A143, Table2[AwayTeam], W$1)+SUMIFS(Table2[NewPointsHome],Table2[GameDate], "&lt;=" &amp; $A143, Table2[HomeTeam], W$1)</f>
        <v>10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10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12</v>
      </c>
      <c r="AF143" s="145">
        <f>SUMIFS(Table2[NewPointsAway],Table2[GameDate], "&lt;=" &amp; $A143, Table2[AwayTeam], AF$1)+SUMIFS(Table2[NewPointsHome],Table2[GameDate], "&lt;=" &amp; $A143, Table2[HomeTeam], AF$1)</f>
        <v>10</v>
      </c>
      <c r="AG143" s="145">
        <f>SUMIFS(Table2[NewPointsAway],Table2[GameDate], "&lt;=" &amp; $A143, Table2[AwayTeam], AG$1)+SUMIFS(Table2[NewPointsHome],Table2[GameDate], "&lt;=" &amp; $A143, Table2[HomeTeam], AG$1)</f>
        <v>10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7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6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6</v>
      </c>
      <c r="G144" s="145">
        <f>SUMIFS(Table2[NewPointsAway],Table2[GameDate], "&lt;=" &amp; $A144, Table2[AwayTeam], G$1)+SUMIFS(Table2[NewPointsHome],Table2[GameDate], "&lt;=" &amp; $A144, Table2[HomeTeam], G$1)</f>
        <v>3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12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7</v>
      </c>
      <c r="M144" s="145">
        <f>SUMIFS(Table2[NewPointsAway],Table2[GameDate], "&lt;=" &amp; $A144, Table2[AwayTeam], M$1)+SUMIFS(Table2[NewPointsHome],Table2[GameDate], "&lt;=" &amp; $A144, Table2[HomeTeam], M$1)</f>
        <v>8</v>
      </c>
      <c r="N144" s="145">
        <f>SUMIFS(Table2[NewPointsAway],Table2[GameDate], "&lt;=" &amp; $A144, Table2[AwayTeam], N$1)+SUMIFS(Table2[NewPointsHome],Table2[GameDate], "&lt;=" &amp; $A144, Table2[HomeTeam], N$1)</f>
        <v>6</v>
      </c>
      <c r="O144" s="145">
        <f>SUMIFS(Table2[NewPointsAway],Table2[GameDate], "&lt;=" &amp; $A144, Table2[AwayTeam], O$1)+SUMIFS(Table2[NewPointsHome],Table2[GameDate], "&lt;=" &amp; $A144, Table2[HomeTeam], O$1)</f>
        <v>7</v>
      </c>
      <c r="P144" s="145">
        <f>SUMIFS(Table2[NewPointsAway],Table2[GameDate], "&lt;=" &amp; $A144, Table2[AwayTeam], P$1)+SUMIFS(Table2[NewPointsHome],Table2[GameDate], "&lt;=" &amp; $A144, Table2[HomeTeam], P$1)</f>
        <v>12</v>
      </c>
      <c r="Q144" s="145">
        <f>SUMIFS(Table2[NewPointsAway],Table2[GameDate], "&lt;=" &amp; $A144, Table2[AwayTeam], Q$1)+SUMIFS(Table2[NewPointsHome],Table2[GameDate], "&lt;=" &amp; $A144, Table2[HomeTeam], Q$1)</f>
        <v>12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6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5</v>
      </c>
      <c r="V144" s="145">
        <f>SUMIFS(Table2[NewPointsAway],Table2[GameDate], "&lt;=" &amp; $A144, Table2[AwayTeam], V$1)+SUMIFS(Table2[NewPointsHome],Table2[GameDate], "&lt;=" &amp; $A144, Table2[HomeTeam], V$1)</f>
        <v>7</v>
      </c>
      <c r="W144" s="145">
        <f>SUMIFS(Table2[NewPointsAway],Table2[GameDate], "&lt;=" &amp; $A144, Table2[AwayTeam], W$1)+SUMIFS(Table2[NewPointsHome],Table2[GameDate], "&lt;=" &amp; $A144, Table2[HomeTeam], W$1)</f>
        <v>10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10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12</v>
      </c>
      <c r="AF144" s="145">
        <f>SUMIFS(Table2[NewPointsAway],Table2[GameDate], "&lt;=" &amp; $A144, Table2[AwayTeam], AF$1)+SUMIFS(Table2[NewPointsHome],Table2[GameDate], "&lt;=" &amp; $A144, Table2[HomeTeam], AF$1)</f>
        <v>10</v>
      </c>
      <c r="AG144" s="145">
        <f>SUMIFS(Table2[NewPointsAway],Table2[GameDate], "&lt;=" &amp; $A144, Table2[AwayTeam], AG$1)+SUMIFS(Table2[NewPointsHome],Table2[GameDate], "&lt;=" &amp; $A144, Table2[HomeTeam], AG$1)</f>
        <v>10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7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6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6</v>
      </c>
      <c r="G145" s="145">
        <f>SUMIFS(Table2[NewPointsAway],Table2[GameDate], "&lt;=" &amp; $A145, Table2[AwayTeam], G$1)+SUMIFS(Table2[NewPointsHome],Table2[GameDate], "&lt;=" &amp; $A145, Table2[HomeTeam], G$1)</f>
        <v>3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12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7</v>
      </c>
      <c r="M145" s="145">
        <f>SUMIFS(Table2[NewPointsAway],Table2[GameDate], "&lt;=" &amp; $A145, Table2[AwayTeam], M$1)+SUMIFS(Table2[NewPointsHome],Table2[GameDate], "&lt;=" &amp; $A145, Table2[HomeTeam], M$1)</f>
        <v>8</v>
      </c>
      <c r="N145" s="145">
        <f>SUMIFS(Table2[NewPointsAway],Table2[GameDate], "&lt;=" &amp; $A145, Table2[AwayTeam], N$1)+SUMIFS(Table2[NewPointsHome],Table2[GameDate], "&lt;=" &amp; $A145, Table2[HomeTeam], N$1)</f>
        <v>6</v>
      </c>
      <c r="O145" s="145">
        <f>SUMIFS(Table2[NewPointsAway],Table2[GameDate], "&lt;=" &amp; $A145, Table2[AwayTeam], O$1)+SUMIFS(Table2[NewPointsHome],Table2[GameDate], "&lt;=" &amp; $A145, Table2[HomeTeam], O$1)</f>
        <v>7</v>
      </c>
      <c r="P145" s="145">
        <f>SUMIFS(Table2[NewPointsAway],Table2[GameDate], "&lt;=" &amp; $A145, Table2[AwayTeam], P$1)+SUMIFS(Table2[NewPointsHome],Table2[GameDate], "&lt;=" &amp; $A145, Table2[HomeTeam], P$1)</f>
        <v>12</v>
      </c>
      <c r="Q145" s="145">
        <f>SUMIFS(Table2[NewPointsAway],Table2[GameDate], "&lt;=" &amp; $A145, Table2[AwayTeam], Q$1)+SUMIFS(Table2[NewPointsHome],Table2[GameDate], "&lt;=" &amp; $A145, Table2[HomeTeam], Q$1)</f>
        <v>12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6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5</v>
      </c>
      <c r="V145" s="145">
        <f>SUMIFS(Table2[NewPointsAway],Table2[GameDate], "&lt;=" &amp; $A145, Table2[AwayTeam], V$1)+SUMIFS(Table2[NewPointsHome],Table2[GameDate], "&lt;=" &amp; $A145, Table2[HomeTeam], V$1)</f>
        <v>7</v>
      </c>
      <c r="W145" s="145">
        <f>SUMIFS(Table2[NewPointsAway],Table2[GameDate], "&lt;=" &amp; $A145, Table2[AwayTeam], W$1)+SUMIFS(Table2[NewPointsHome],Table2[GameDate], "&lt;=" &amp; $A145, Table2[HomeTeam], W$1)</f>
        <v>10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10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12</v>
      </c>
      <c r="AF145" s="145">
        <f>SUMIFS(Table2[NewPointsAway],Table2[GameDate], "&lt;=" &amp; $A145, Table2[AwayTeam], AF$1)+SUMIFS(Table2[NewPointsHome],Table2[GameDate], "&lt;=" &amp; $A145, Table2[HomeTeam], AF$1)</f>
        <v>10</v>
      </c>
      <c r="AG145" s="145">
        <f>SUMIFS(Table2[NewPointsAway],Table2[GameDate], "&lt;=" &amp; $A145, Table2[AwayTeam], AG$1)+SUMIFS(Table2[NewPointsHome],Table2[GameDate], "&lt;=" &amp; $A145, Table2[HomeTeam], AG$1)</f>
        <v>10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7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6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6</v>
      </c>
      <c r="G146" s="145">
        <f>SUMIFS(Table2[NewPointsAway],Table2[GameDate], "&lt;=" &amp; $A146, Table2[AwayTeam], G$1)+SUMIFS(Table2[NewPointsHome],Table2[GameDate], "&lt;=" &amp; $A146, Table2[HomeTeam], G$1)</f>
        <v>3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12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7</v>
      </c>
      <c r="M146" s="145">
        <f>SUMIFS(Table2[NewPointsAway],Table2[GameDate], "&lt;=" &amp; $A146, Table2[AwayTeam], M$1)+SUMIFS(Table2[NewPointsHome],Table2[GameDate], "&lt;=" &amp; $A146, Table2[HomeTeam], M$1)</f>
        <v>8</v>
      </c>
      <c r="N146" s="145">
        <f>SUMIFS(Table2[NewPointsAway],Table2[GameDate], "&lt;=" &amp; $A146, Table2[AwayTeam], N$1)+SUMIFS(Table2[NewPointsHome],Table2[GameDate], "&lt;=" &amp; $A146, Table2[HomeTeam], N$1)</f>
        <v>6</v>
      </c>
      <c r="O146" s="145">
        <f>SUMIFS(Table2[NewPointsAway],Table2[GameDate], "&lt;=" &amp; $A146, Table2[AwayTeam], O$1)+SUMIFS(Table2[NewPointsHome],Table2[GameDate], "&lt;=" &amp; $A146, Table2[HomeTeam], O$1)</f>
        <v>7</v>
      </c>
      <c r="P146" s="145">
        <f>SUMIFS(Table2[NewPointsAway],Table2[GameDate], "&lt;=" &amp; $A146, Table2[AwayTeam], P$1)+SUMIFS(Table2[NewPointsHome],Table2[GameDate], "&lt;=" &amp; $A146, Table2[HomeTeam], P$1)</f>
        <v>12</v>
      </c>
      <c r="Q146" s="145">
        <f>SUMIFS(Table2[NewPointsAway],Table2[GameDate], "&lt;=" &amp; $A146, Table2[AwayTeam], Q$1)+SUMIFS(Table2[NewPointsHome],Table2[GameDate], "&lt;=" &amp; $A146, Table2[HomeTeam], Q$1)</f>
        <v>12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6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5</v>
      </c>
      <c r="V146" s="145">
        <f>SUMIFS(Table2[NewPointsAway],Table2[GameDate], "&lt;=" &amp; $A146, Table2[AwayTeam], V$1)+SUMIFS(Table2[NewPointsHome],Table2[GameDate], "&lt;=" &amp; $A146, Table2[HomeTeam], V$1)</f>
        <v>7</v>
      </c>
      <c r="W146" s="145">
        <f>SUMIFS(Table2[NewPointsAway],Table2[GameDate], "&lt;=" &amp; $A146, Table2[AwayTeam], W$1)+SUMIFS(Table2[NewPointsHome],Table2[GameDate], "&lt;=" &amp; $A146, Table2[HomeTeam], W$1)</f>
        <v>10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10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12</v>
      </c>
      <c r="AF146" s="145">
        <f>SUMIFS(Table2[NewPointsAway],Table2[GameDate], "&lt;=" &amp; $A146, Table2[AwayTeam], AF$1)+SUMIFS(Table2[NewPointsHome],Table2[GameDate], "&lt;=" &amp; $A146, Table2[HomeTeam], AF$1)</f>
        <v>10</v>
      </c>
      <c r="AG146" s="145">
        <f>SUMIFS(Table2[NewPointsAway],Table2[GameDate], "&lt;=" &amp; $A146, Table2[AwayTeam], AG$1)+SUMIFS(Table2[NewPointsHome],Table2[GameDate], "&lt;=" &amp; $A146, Table2[HomeTeam], AG$1)</f>
        <v>10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7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6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6</v>
      </c>
      <c r="G147" s="145">
        <f>SUMIFS(Table2[NewPointsAway],Table2[GameDate], "&lt;=" &amp; $A147, Table2[AwayTeam], G$1)+SUMIFS(Table2[NewPointsHome],Table2[GameDate], "&lt;=" &amp; $A147, Table2[HomeTeam], G$1)</f>
        <v>3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12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7</v>
      </c>
      <c r="M147" s="145">
        <f>SUMIFS(Table2[NewPointsAway],Table2[GameDate], "&lt;=" &amp; $A147, Table2[AwayTeam], M$1)+SUMIFS(Table2[NewPointsHome],Table2[GameDate], "&lt;=" &amp; $A147, Table2[HomeTeam], M$1)</f>
        <v>8</v>
      </c>
      <c r="N147" s="145">
        <f>SUMIFS(Table2[NewPointsAway],Table2[GameDate], "&lt;=" &amp; $A147, Table2[AwayTeam], N$1)+SUMIFS(Table2[NewPointsHome],Table2[GameDate], "&lt;=" &amp; $A147, Table2[HomeTeam], N$1)</f>
        <v>6</v>
      </c>
      <c r="O147" s="145">
        <f>SUMIFS(Table2[NewPointsAway],Table2[GameDate], "&lt;=" &amp; $A147, Table2[AwayTeam], O$1)+SUMIFS(Table2[NewPointsHome],Table2[GameDate], "&lt;=" &amp; $A147, Table2[HomeTeam], O$1)</f>
        <v>7</v>
      </c>
      <c r="P147" s="145">
        <f>SUMIFS(Table2[NewPointsAway],Table2[GameDate], "&lt;=" &amp; $A147, Table2[AwayTeam], P$1)+SUMIFS(Table2[NewPointsHome],Table2[GameDate], "&lt;=" &amp; $A147, Table2[HomeTeam], P$1)</f>
        <v>12</v>
      </c>
      <c r="Q147" s="145">
        <f>SUMIFS(Table2[NewPointsAway],Table2[GameDate], "&lt;=" &amp; $A147, Table2[AwayTeam], Q$1)+SUMIFS(Table2[NewPointsHome],Table2[GameDate], "&lt;=" &amp; $A147, Table2[HomeTeam], Q$1)</f>
        <v>12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6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5</v>
      </c>
      <c r="V147" s="145">
        <f>SUMIFS(Table2[NewPointsAway],Table2[GameDate], "&lt;=" &amp; $A147, Table2[AwayTeam], V$1)+SUMIFS(Table2[NewPointsHome],Table2[GameDate], "&lt;=" &amp; $A147, Table2[HomeTeam], V$1)</f>
        <v>7</v>
      </c>
      <c r="W147" s="145">
        <f>SUMIFS(Table2[NewPointsAway],Table2[GameDate], "&lt;=" &amp; $A147, Table2[AwayTeam], W$1)+SUMIFS(Table2[NewPointsHome],Table2[GameDate], "&lt;=" &amp; $A147, Table2[HomeTeam], W$1)</f>
        <v>10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10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12</v>
      </c>
      <c r="AF147" s="145">
        <f>SUMIFS(Table2[NewPointsAway],Table2[GameDate], "&lt;=" &amp; $A147, Table2[AwayTeam], AF$1)+SUMIFS(Table2[NewPointsHome],Table2[GameDate], "&lt;=" &amp; $A147, Table2[HomeTeam], AF$1)</f>
        <v>10</v>
      </c>
      <c r="AG147" s="145">
        <f>SUMIFS(Table2[NewPointsAway],Table2[GameDate], "&lt;=" &amp; $A147, Table2[AwayTeam], AG$1)+SUMIFS(Table2[NewPointsHome],Table2[GameDate], "&lt;=" &amp; $A147, Table2[HomeTeam], AG$1)</f>
        <v>10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7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6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6</v>
      </c>
      <c r="G148" s="145">
        <f>SUMIFS(Table2[NewPointsAway],Table2[GameDate], "&lt;=" &amp; $A148, Table2[AwayTeam], G$1)+SUMIFS(Table2[NewPointsHome],Table2[GameDate], "&lt;=" &amp; $A148, Table2[HomeTeam], G$1)</f>
        <v>3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12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7</v>
      </c>
      <c r="M148" s="145">
        <f>SUMIFS(Table2[NewPointsAway],Table2[GameDate], "&lt;=" &amp; $A148, Table2[AwayTeam], M$1)+SUMIFS(Table2[NewPointsHome],Table2[GameDate], "&lt;=" &amp; $A148, Table2[HomeTeam], M$1)</f>
        <v>8</v>
      </c>
      <c r="N148" s="145">
        <f>SUMIFS(Table2[NewPointsAway],Table2[GameDate], "&lt;=" &amp; $A148, Table2[AwayTeam], N$1)+SUMIFS(Table2[NewPointsHome],Table2[GameDate], "&lt;=" &amp; $A148, Table2[HomeTeam], N$1)</f>
        <v>6</v>
      </c>
      <c r="O148" s="145">
        <f>SUMIFS(Table2[NewPointsAway],Table2[GameDate], "&lt;=" &amp; $A148, Table2[AwayTeam], O$1)+SUMIFS(Table2[NewPointsHome],Table2[GameDate], "&lt;=" &amp; $A148, Table2[HomeTeam], O$1)</f>
        <v>7</v>
      </c>
      <c r="P148" s="145">
        <f>SUMIFS(Table2[NewPointsAway],Table2[GameDate], "&lt;=" &amp; $A148, Table2[AwayTeam], P$1)+SUMIFS(Table2[NewPointsHome],Table2[GameDate], "&lt;=" &amp; $A148, Table2[HomeTeam], P$1)</f>
        <v>12</v>
      </c>
      <c r="Q148" s="145">
        <f>SUMIFS(Table2[NewPointsAway],Table2[GameDate], "&lt;=" &amp; $A148, Table2[AwayTeam], Q$1)+SUMIFS(Table2[NewPointsHome],Table2[GameDate], "&lt;=" &amp; $A148, Table2[HomeTeam], Q$1)</f>
        <v>12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6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5</v>
      </c>
      <c r="V148" s="145">
        <f>SUMIFS(Table2[NewPointsAway],Table2[GameDate], "&lt;=" &amp; $A148, Table2[AwayTeam], V$1)+SUMIFS(Table2[NewPointsHome],Table2[GameDate], "&lt;=" &amp; $A148, Table2[HomeTeam], V$1)</f>
        <v>7</v>
      </c>
      <c r="W148" s="145">
        <f>SUMIFS(Table2[NewPointsAway],Table2[GameDate], "&lt;=" &amp; $A148, Table2[AwayTeam], W$1)+SUMIFS(Table2[NewPointsHome],Table2[GameDate], "&lt;=" &amp; $A148, Table2[HomeTeam], W$1)</f>
        <v>10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10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12</v>
      </c>
      <c r="AF148" s="145">
        <f>SUMIFS(Table2[NewPointsAway],Table2[GameDate], "&lt;=" &amp; $A148, Table2[AwayTeam], AF$1)+SUMIFS(Table2[NewPointsHome],Table2[GameDate], "&lt;=" &amp; $A148, Table2[HomeTeam], AF$1)</f>
        <v>10</v>
      </c>
      <c r="AG148" s="145">
        <f>SUMIFS(Table2[NewPointsAway],Table2[GameDate], "&lt;=" &amp; $A148, Table2[AwayTeam], AG$1)+SUMIFS(Table2[NewPointsHome],Table2[GameDate], "&lt;=" &amp; $A148, Table2[HomeTeam], AG$1)</f>
        <v>10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7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6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6</v>
      </c>
      <c r="G149" s="145">
        <f>SUMIFS(Table2[NewPointsAway],Table2[GameDate], "&lt;=" &amp; $A149, Table2[AwayTeam], G$1)+SUMIFS(Table2[NewPointsHome],Table2[GameDate], "&lt;=" &amp; $A149, Table2[HomeTeam], G$1)</f>
        <v>3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12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7</v>
      </c>
      <c r="M149" s="145">
        <f>SUMIFS(Table2[NewPointsAway],Table2[GameDate], "&lt;=" &amp; $A149, Table2[AwayTeam], M$1)+SUMIFS(Table2[NewPointsHome],Table2[GameDate], "&lt;=" &amp; $A149, Table2[HomeTeam], M$1)</f>
        <v>8</v>
      </c>
      <c r="N149" s="145">
        <f>SUMIFS(Table2[NewPointsAway],Table2[GameDate], "&lt;=" &amp; $A149, Table2[AwayTeam], N$1)+SUMIFS(Table2[NewPointsHome],Table2[GameDate], "&lt;=" &amp; $A149, Table2[HomeTeam], N$1)</f>
        <v>6</v>
      </c>
      <c r="O149" s="145">
        <f>SUMIFS(Table2[NewPointsAway],Table2[GameDate], "&lt;=" &amp; $A149, Table2[AwayTeam], O$1)+SUMIFS(Table2[NewPointsHome],Table2[GameDate], "&lt;=" &amp; $A149, Table2[HomeTeam], O$1)</f>
        <v>7</v>
      </c>
      <c r="P149" s="145">
        <f>SUMIFS(Table2[NewPointsAway],Table2[GameDate], "&lt;=" &amp; $A149, Table2[AwayTeam], P$1)+SUMIFS(Table2[NewPointsHome],Table2[GameDate], "&lt;=" &amp; $A149, Table2[HomeTeam], P$1)</f>
        <v>12</v>
      </c>
      <c r="Q149" s="145">
        <f>SUMIFS(Table2[NewPointsAway],Table2[GameDate], "&lt;=" &amp; $A149, Table2[AwayTeam], Q$1)+SUMIFS(Table2[NewPointsHome],Table2[GameDate], "&lt;=" &amp; $A149, Table2[HomeTeam], Q$1)</f>
        <v>12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6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5</v>
      </c>
      <c r="V149" s="145">
        <f>SUMIFS(Table2[NewPointsAway],Table2[GameDate], "&lt;=" &amp; $A149, Table2[AwayTeam], V$1)+SUMIFS(Table2[NewPointsHome],Table2[GameDate], "&lt;=" &amp; $A149, Table2[HomeTeam], V$1)</f>
        <v>7</v>
      </c>
      <c r="W149" s="145">
        <f>SUMIFS(Table2[NewPointsAway],Table2[GameDate], "&lt;=" &amp; $A149, Table2[AwayTeam], W$1)+SUMIFS(Table2[NewPointsHome],Table2[GameDate], "&lt;=" &amp; $A149, Table2[HomeTeam], W$1)</f>
        <v>10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10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12</v>
      </c>
      <c r="AF149" s="145">
        <f>SUMIFS(Table2[NewPointsAway],Table2[GameDate], "&lt;=" &amp; $A149, Table2[AwayTeam], AF$1)+SUMIFS(Table2[NewPointsHome],Table2[GameDate], "&lt;=" &amp; $A149, Table2[HomeTeam], AF$1)</f>
        <v>10</v>
      </c>
      <c r="AG149" s="145">
        <f>SUMIFS(Table2[NewPointsAway],Table2[GameDate], "&lt;=" &amp; $A149, Table2[AwayTeam], AG$1)+SUMIFS(Table2[NewPointsHome],Table2[GameDate], "&lt;=" &amp; $A149, Table2[HomeTeam], AG$1)</f>
        <v>10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7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6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6</v>
      </c>
      <c r="G150" s="145">
        <f>SUMIFS(Table2[NewPointsAway],Table2[GameDate], "&lt;=" &amp; $A150, Table2[AwayTeam], G$1)+SUMIFS(Table2[NewPointsHome],Table2[GameDate], "&lt;=" &amp; $A150, Table2[HomeTeam], G$1)</f>
        <v>3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12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7</v>
      </c>
      <c r="M150" s="145">
        <f>SUMIFS(Table2[NewPointsAway],Table2[GameDate], "&lt;=" &amp; $A150, Table2[AwayTeam], M$1)+SUMIFS(Table2[NewPointsHome],Table2[GameDate], "&lt;=" &amp; $A150, Table2[HomeTeam], M$1)</f>
        <v>8</v>
      </c>
      <c r="N150" s="145">
        <f>SUMIFS(Table2[NewPointsAway],Table2[GameDate], "&lt;=" &amp; $A150, Table2[AwayTeam], N$1)+SUMIFS(Table2[NewPointsHome],Table2[GameDate], "&lt;=" &amp; $A150, Table2[HomeTeam], N$1)</f>
        <v>6</v>
      </c>
      <c r="O150" s="145">
        <f>SUMIFS(Table2[NewPointsAway],Table2[GameDate], "&lt;=" &amp; $A150, Table2[AwayTeam], O$1)+SUMIFS(Table2[NewPointsHome],Table2[GameDate], "&lt;=" &amp; $A150, Table2[HomeTeam], O$1)</f>
        <v>7</v>
      </c>
      <c r="P150" s="145">
        <f>SUMIFS(Table2[NewPointsAway],Table2[GameDate], "&lt;=" &amp; $A150, Table2[AwayTeam], P$1)+SUMIFS(Table2[NewPointsHome],Table2[GameDate], "&lt;=" &amp; $A150, Table2[HomeTeam], P$1)</f>
        <v>12</v>
      </c>
      <c r="Q150" s="145">
        <f>SUMIFS(Table2[NewPointsAway],Table2[GameDate], "&lt;=" &amp; $A150, Table2[AwayTeam], Q$1)+SUMIFS(Table2[NewPointsHome],Table2[GameDate], "&lt;=" &amp; $A150, Table2[HomeTeam], Q$1)</f>
        <v>12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6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5</v>
      </c>
      <c r="V150" s="145">
        <f>SUMIFS(Table2[NewPointsAway],Table2[GameDate], "&lt;=" &amp; $A150, Table2[AwayTeam], V$1)+SUMIFS(Table2[NewPointsHome],Table2[GameDate], "&lt;=" &amp; $A150, Table2[HomeTeam], V$1)</f>
        <v>7</v>
      </c>
      <c r="W150" s="145">
        <f>SUMIFS(Table2[NewPointsAway],Table2[GameDate], "&lt;=" &amp; $A150, Table2[AwayTeam], W$1)+SUMIFS(Table2[NewPointsHome],Table2[GameDate], "&lt;=" &amp; $A150, Table2[HomeTeam], W$1)</f>
        <v>10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10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12</v>
      </c>
      <c r="AF150" s="145">
        <f>SUMIFS(Table2[NewPointsAway],Table2[GameDate], "&lt;=" &amp; $A150, Table2[AwayTeam], AF$1)+SUMIFS(Table2[NewPointsHome],Table2[GameDate], "&lt;=" &amp; $A150, Table2[HomeTeam], AF$1)</f>
        <v>10</v>
      </c>
      <c r="AG150" s="145">
        <f>SUMIFS(Table2[NewPointsAway],Table2[GameDate], "&lt;=" &amp; $A150, Table2[AwayTeam], AG$1)+SUMIFS(Table2[NewPointsHome],Table2[GameDate], "&lt;=" &amp; $A150, Table2[HomeTeam], AG$1)</f>
        <v>10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7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6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6</v>
      </c>
      <c r="G151" s="145">
        <f>SUMIFS(Table2[NewPointsAway],Table2[GameDate], "&lt;=" &amp; $A151, Table2[AwayTeam], G$1)+SUMIFS(Table2[NewPointsHome],Table2[GameDate], "&lt;=" &amp; $A151, Table2[HomeTeam], G$1)</f>
        <v>3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12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7</v>
      </c>
      <c r="M151" s="145">
        <f>SUMIFS(Table2[NewPointsAway],Table2[GameDate], "&lt;=" &amp; $A151, Table2[AwayTeam], M$1)+SUMIFS(Table2[NewPointsHome],Table2[GameDate], "&lt;=" &amp; $A151, Table2[HomeTeam], M$1)</f>
        <v>8</v>
      </c>
      <c r="N151" s="145">
        <f>SUMIFS(Table2[NewPointsAway],Table2[GameDate], "&lt;=" &amp; $A151, Table2[AwayTeam], N$1)+SUMIFS(Table2[NewPointsHome],Table2[GameDate], "&lt;=" &amp; $A151, Table2[HomeTeam], N$1)</f>
        <v>6</v>
      </c>
      <c r="O151" s="145">
        <f>SUMIFS(Table2[NewPointsAway],Table2[GameDate], "&lt;=" &amp; $A151, Table2[AwayTeam], O$1)+SUMIFS(Table2[NewPointsHome],Table2[GameDate], "&lt;=" &amp; $A151, Table2[HomeTeam], O$1)</f>
        <v>7</v>
      </c>
      <c r="P151" s="145">
        <f>SUMIFS(Table2[NewPointsAway],Table2[GameDate], "&lt;=" &amp; $A151, Table2[AwayTeam], P$1)+SUMIFS(Table2[NewPointsHome],Table2[GameDate], "&lt;=" &amp; $A151, Table2[HomeTeam], P$1)</f>
        <v>12</v>
      </c>
      <c r="Q151" s="145">
        <f>SUMIFS(Table2[NewPointsAway],Table2[GameDate], "&lt;=" &amp; $A151, Table2[AwayTeam], Q$1)+SUMIFS(Table2[NewPointsHome],Table2[GameDate], "&lt;=" &amp; $A151, Table2[HomeTeam], Q$1)</f>
        <v>12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6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5</v>
      </c>
      <c r="V151" s="145">
        <f>SUMIFS(Table2[NewPointsAway],Table2[GameDate], "&lt;=" &amp; $A151, Table2[AwayTeam], V$1)+SUMIFS(Table2[NewPointsHome],Table2[GameDate], "&lt;=" &amp; $A151, Table2[HomeTeam], V$1)</f>
        <v>7</v>
      </c>
      <c r="W151" s="145">
        <f>SUMIFS(Table2[NewPointsAway],Table2[GameDate], "&lt;=" &amp; $A151, Table2[AwayTeam], W$1)+SUMIFS(Table2[NewPointsHome],Table2[GameDate], "&lt;=" &amp; $A151, Table2[HomeTeam], W$1)</f>
        <v>10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10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12</v>
      </c>
      <c r="AF151" s="145">
        <f>SUMIFS(Table2[NewPointsAway],Table2[GameDate], "&lt;=" &amp; $A151, Table2[AwayTeam], AF$1)+SUMIFS(Table2[NewPointsHome],Table2[GameDate], "&lt;=" &amp; $A151, Table2[HomeTeam], AF$1)</f>
        <v>10</v>
      </c>
      <c r="AG151" s="145">
        <f>SUMIFS(Table2[NewPointsAway],Table2[GameDate], "&lt;=" &amp; $A151, Table2[AwayTeam], AG$1)+SUMIFS(Table2[NewPointsHome],Table2[GameDate], "&lt;=" &amp; $A151, Table2[HomeTeam], AG$1)</f>
        <v>10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7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6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6</v>
      </c>
      <c r="G152" s="145">
        <f>SUMIFS(Table2[NewPointsAway],Table2[GameDate], "&lt;=" &amp; $A152, Table2[AwayTeam], G$1)+SUMIFS(Table2[NewPointsHome],Table2[GameDate], "&lt;=" &amp; $A152, Table2[HomeTeam], G$1)</f>
        <v>3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12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7</v>
      </c>
      <c r="M152" s="145">
        <f>SUMIFS(Table2[NewPointsAway],Table2[GameDate], "&lt;=" &amp; $A152, Table2[AwayTeam], M$1)+SUMIFS(Table2[NewPointsHome],Table2[GameDate], "&lt;=" &amp; $A152, Table2[HomeTeam], M$1)</f>
        <v>8</v>
      </c>
      <c r="N152" s="145">
        <f>SUMIFS(Table2[NewPointsAway],Table2[GameDate], "&lt;=" &amp; $A152, Table2[AwayTeam], N$1)+SUMIFS(Table2[NewPointsHome],Table2[GameDate], "&lt;=" &amp; $A152, Table2[HomeTeam], N$1)</f>
        <v>6</v>
      </c>
      <c r="O152" s="145">
        <f>SUMIFS(Table2[NewPointsAway],Table2[GameDate], "&lt;=" &amp; $A152, Table2[AwayTeam], O$1)+SUMIFS(Table2[NewPointsHome],Table2[GameDate], "&lt;=" &amp; $A152, Table2[HomeTeam], O$1)</f>
        <v>7</v>
      </c>
      <c r="P152" s="145">
        <f>SUMIFS(Table2[NewPointsAway],Table2[GameDate], "&lt;=" &amp; $A152, Table2[AwayTeam], P$1)+SUMIFS(Table2[NewPointsHome],Table2[GameDate], "&lt;=" &amp; $A152, Table2[HomeTeam], P$1)</f>
        <v>12</v>
      </c>
      <c r="Q152" s="145">
        <f>SUMIFS(Table2[NewPointsAway],Table2[GameDate], "&lt;=" &amp; $A152, Table2[AwayTeam], Q$1)+SUMIFS(Table2[NewPointsHome],Table2[GameDate], "&lt;=" &amp; $A152, Table2[HomeTeam], Q$1)</f>
        <v>12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6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5</v>
      </c>
      <c r="V152" s="145">
        <f>SUMIFS(Table2[NewPointsAway],Table2[GameDate], "&lt;=" &amp; $A152, Table2[AwayTeam], V$1)+SUMIFS(Table2[NewPointsHome],Table2[GameDate], "&lt;=" &amp; $A152, Table2[HomeTeam], V$1)</f>
        <v>7</v>
      </c>
      <c r="W152" s="145">
        <f>SUMIFS(Table2[NewPointsAway],Table2[GameDate], "&lt;=" &amp; $A152, Table2[AwayTeam], W$1)+SUMIFS(Table2[NewPointsHome],Table2[GameDate], "&lt;=" &amp; $A152, Table2[HomeTeam], W$1)</f>
        <v>10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10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12</v>
      </c>
      <c r="AF152" s="145">
        <f>SUMIFS(Table2[NewPointsAway],Table2[GameDate], "&lt;=" &amp; $A152, Table2[AwayTeam], AF$1)+SUMIFS(Table2[NewPointsHome],Table2[GameDate], "&lt;=" &amp; $A152, Table2[HomeTeam], AF$1)</f>
        <v>10</v>
      </c>
      <c r="AG152" s="145">
        <f>SUMIFS(Table2[NewPointsAway],Table2[GameDate], "&lt;=" &amp; $A152, Table2[AwayTeam], AG$1)+SUMIFS(Table2[NewPointsHome],Table2[GameDate], "&lt;=" &amp; $A152, Table2[HomeTeam], AG$1)</f>
        <v>10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7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6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6</v>
      </c>
      <c r="G153" s="145">
        <f>SUMIFS(Table2[NewPointsAway],Table2[GameDate], "&lt;=" &amp; $A153, Table2[AwayTeam], G$1)+SUMIFS(Table2[NewPointsHome],Table2[GameDate], "&lt;=" &amp; $A153, Table2[HomeTeam], G$1)</f>
        <v>3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12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7</v>
      </c>
      <c r="M153" s="145">
        <f>SUMIFS(Table2[NewPointsAway],Table2[GameDate], "&lt;=" &amp; $A153, Table2[AwayTeam], M$1)+SUMIFS(Table2[NewPointsHome],Table2[GameDate], "&lt;=" &amp; $A153, Table2[HomeTeam], M$1)</f>
        <v>8</v>
      </c>
      <c r="N153" s="145">
        <f>SUMIFS(Table2[NewPointsAway],Table2[GameDate], "&lt;=" &amp; $A153, Table2[AwayTeam], N$1)+SUMIFS(Table2[NewPointsHome],Table2[GameDate], "&lt;=" &amp; $A153, Table2[HomeTeam], N$1)</f>
        <v>6</v>
      </c>
      <c r="O153" s="145">
        <f>SUMIFS(Table2[NewPointsAway],Table2[GameDate], "&lt;=" &amp; $A153, Table2[AwayTeam], O$1)+SUMIFS(Table2[NewPointsHome],Table2[GameDate], "&lt;=" &amp; $A153, Table2[HomeTeam], O$1)</f>
        <v>7</v>
      </c>
      <c r="P153" s="145">
        <f>SUMIFS(Table2[NewPointsAway],Table2[GameDate], "&lt;=" &amp; $A153, Table2[AwayTeam], P$1)+SUMIFS(Table2[NewPointsHome],Table2[GameDate], "&lt;=" &amp; $A153, Table2[HomeTeam], P$1)</f>
        <v>12</v>
      </c>
      <c r="Q153" s="145">
        <f>SUMIFS(Table2[NewPointsAway],Table2[GameDate], "&lt;=" &amp; $A153, Table2[AwayTeam], Q$1)+SUMIFS(Table2[NewPointsHome],Table2[GameDate], "&lt;=" &amp; $A153, Table2[HomeTeam], Q$1)</f>
        <v>12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6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5</v>
      </c>
      <c r="V153" s="145">
        <f>SUMIFS(Table2[NewPointsAway],Table2[GameDate], "&lt;=" &amp; $A153, Table2[AwayTeam], V$1)+SUMIFS(Table2[NewPointsHome],Table2[GameDate], "&lt;=" &amp; $A153, Table2[HomeTeam], V$1)</f>
        <v>7</v>
      </c>
      <c r="W153" s="145">
        <f>SUMIFS(Table2[NewPointsAway],Table2[GameDate], "&lt;=" &amp; $A153, Table2[AwayTeam], W$1)+SUMIFS(Table2[NewPointsHome],Table2[GameDate], "&lt;=" &amp; $A153, Table2[HomeTeam], W$1)</f>
        <v>10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10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12</v>
      </c>
      <c r="AF153" s="145">
        <f>SUMIFS(Table2[NewPointsAway],Table2[GameDate], "&lt;=" &amp; $A153, Table2[AwayTeam], AF$1)+SUMIFS(Table2[NewPointsHome],Table2[GameDate], "&lt;=" &amp; $A153, Table2[HomeTeam], AF$1)</f>
        <v>10</v>
      </c>
      <c r="AG153" s="145">
        <f>SUMIFS(Table2[NewPointsAway],Table2[GameDate], "&lt;=" &amp; $A153, Table2[AwayTeam], AG$1)+SUMIFS(Table2[NewPointsHome],Table2[GameDate], "&lt;=" &amp; $A153, Table2[HomeTeam], AG$1)</f>
        <v>10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7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6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6</v>
      </c>
      <c r="G154" s="145">
        <f>SUMIFS(Table2[NewPointsAway],Table2[GameDate], "&lt;=" &amp; $A154, Table2[AwayTeam], G$1)+SUMIFS(Table2[NewPointsHome],Table2[GameDate], "&lt;=" &amp; $A154, Table2[HomeTeam], G$1)</f>
        <v>3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12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7</v>
      </c>
      <c r="M154" s="145">
        <f>SUMIFS(Table2[NewPointsAway],Table2[GameDate], "&lt;=" &amp; $A154, Table2[AwayTeam], M$1)+SUMIFS(Table2[NewPointsHome],Table2[GameDate], "&lt;=" &amp; $A154, Table2[HomeTeam], M$1)</f>
        <v>8</v>
      </c>
      <c r="N154" s="145">
        <f>SUMIFS(Table2[NewPointsAway],Table2[GameDate], "&lt;=" &amp; $A154, Table2[AwayTeam], N$1)+SUMIFS(Table2[NewPointsHome],Table2[GameDate], "&lt;=" &amp; $A154, Table2[HomeTeam], N$1)</f>
        <v>6</v>
      </c>
      <c r="O154" s="145">
        <f>SUMIFS(Table2[NewPointsAway],Table2[GameDate], "&lt;=" &amp; $A154, Table2[AwayTeam], O$1)+SUMIFS(Table2[NewPointsHome],Table2[GameDate], "&lt;=" &amp; $A154, Table2[HomeTeam], O$1)</f>
        <v>7</v>
      </c>
      <c r="P154" s="145">
        <f>SUMIFS(Table2[NewPointsAway],Table2[GameDate], "&lt;=" &amp; $A154, Table2[AwayTeam], P$1)+SUMIFS(Table2[NewPointsHome],Table2[GameDate], "&lt;=" &amp; $A154, Table2[HomeTeam], P$1)</f>
        <v>12</v>
      </c>
      <c r="Q154" s="145">
        <f>SUMIFS(Table2[NewPointsAway],Table2[GameDate], "&lt;=" &amp; $A154, Table2[AwayTeam], Q$1)+SUMIFS(Table2[NewPointsHome],Table2[GameDate], "&lt;=" &amp; $A154, Table2[HomeTeam], Q$1)</f>
        <v>12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6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5</v>
      </c>
      <c r="V154" s="145">
        <f>SUMIFS(Table2[NewPointsAway],Table2[GameDate], "&lt;=" &amp; $A154, Table2[AwayTeam], V$1)+SUMIFS(Table2[NewPointsHome],Table2[GameDate], "&lt;=" &amp; $A154, Table2[HomeTeam], V$1)</f>
        <v>7</v>
      </c>
      <c r="W154" s="145">
        <f>SUMIFS(Table2[NewPointsAway],Table2[GameDate], "&lt;=" &amp; $A154, Table2[AwayTeam], W$1)+SUMIFS(Table2[NewPointsHome],Table2[GameDate], "&lt;=" &amp; $A154, Table2[HomeTeam], W$1)</f>
        <v>10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10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12</v>
      </c>
      <c r="AF154" s="145">
        <f>SUMIFS(Table2[NewPointsAway],Table2[GameDate], "&lt;=" &amp; $A154, Table2[AwayTeam], AF$1)+SUMIFS(Table2[NewPointsHome],Table2[GameDate], "&lt;=" &amp; $A154, Table2[HomeTeam], AF$1)</f>
        <v>10</v>
      </c>
      <c r="AG154" s="145">
        <f>SUMIFS(Table2[NewPointsAway],Table2[GameDate], "&lt;=" &amp; $A154, Table2[AwayTeam], AG$1)+SUMIFS(Table2[NewPointsHome],Table2[GameDate], "&lt;=" &amp; $A154, Table2[HomeTeam], AG$1)</f>
        <v>10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7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6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6</v>
      </c>
      <c r="G155" s="145">
        <f>SUMIFS(Table2[NewPointsAway],Table2[GameDate], "&lt;=" &amp; $A155, Table2[AwayTeam], G$1)+SUMIFS(Table2[NewPointsHome],Table2[GameDate], "&lt;=" &amp; $A155, Table2[HomeTeam], G$1)</f>
        <v>3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12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7</v>
      </c>
      <c r="M155" s="145">
        <f>SUMIFS(Table2[NewPointsAway],Table2[GameDate], "&lt;=" &amp; $A155, Table2[AwayTeam], M$1)+SUMIFS(Table2[NewPointsHome],Table2[GameDate], "&lt;=" &amp; $A155, Table2[HomeTeam], M$1)</f>
        <v>8</v>
      </c>
      <c r="N155" s="145">
        <f>SUMIFS(Table2[NewPointsAway],Table2[GameDate], "&lt;=" &amp; $A155, Table2[AwayTeam], N$1)+SUMIFS(Table2[NewPointsHome],Table2[GameDate], "&lt;=" &amp; $A155, Table2[HomeTeam], N$1)</f>
        <v>6</v>
      </c>
      <c r="O155" s="145">
        <f>SUMIFS(Table2[NewPointsAway],Table2[GameDate], "&lt;=" &amp; $A155, Table2[AwayTeam], O$1)+SUMIFS(Table2[NewPointsHome],Table2[GameDate], "&lt;=" &amp; $A155, Table2[HomeTeam], O$1)</f>
        <v>7</v>
      </c>
      <c r="P155" s="145">
        <f>SUMIFS(Table2[NewPointsAway],Table2[GameDate], "&lt;=" &amp; $A155, Table2[AwayTeam], P$1)+SUMIFS(Table2[NewPointsHome],Table2[GameDate], "&lt;=" &amp; $A155, Table2[HomeTeam], P$1)</f>
        <v>12</v>
      </c>
      <c r="Q155" s="145">
        <f>SUMIFS(Table2[NewPointsAway],Table2[GameDate], "&lt;=" &amp; $A155, Table2[AwayTeam], Q$1)+SUMIFS(Table2[NewPointsHome],Table2[GameDate], "&lt;=" &amp; $A155, Table2[HomeTeam], Q$1)</f>
        <v>12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6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5</v>
      </c>
      <c r="V155" s="145">
        <f>SUMIFS(Table2[NewPointsAway],Table2[GameDate], "&lt;=" &amp; $A155, Table2[AwayTeam], V$1)+SUMIFS(Table2[NewPointsHome],Table2[GameDate], "&lt;=" &amp; $A155, Table2[HomeTeam], V$1)</f>
        <v>7</v>
      </c>
      <c r="W155" s="145">
        <f>SUMIFS(Table2[NewPointsAway],Table2[GameDate], "&lt;=" &amp; $A155, Table2[AwayTeam], W$1)+SUMIFS(Table2[NewPointsHome],Table2[GameDate], "&lt;=" &amp; $A155, Table2[HomeTeam], W$1)</f>
        <v>10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10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12</v>
      </c>
      <c r="AF155" s="145">
        <f>SUMIFS(Table2[NewPointsAway],Table2[GameDate], "&lt;=" &amp; $A155, Table2[AwayTeam], AF$1)+SUMIFS(Table2[NewPointsHome],Table2[GameDate], "&lt;=" &amp; $A155, Table2[HomeTeam], AF$1)</f>
        <v>10</v>
      </c>
      <c r="AG155" s="145">
        <f>SUMIFS(Table2[NewPointsAway],Table2[GameDate], "&lt;=" &amp; $A155, Table2[AwayTeam], AG$1)+SUMIFS(Table2[NewPointsHome],Table2[GameDate], "&lt;=" &amp; $A155, Table2[HomeTeam], AG$1)</f>
        <v>10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7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6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6</v>
      </c>
      <c r="G156" s="145">
        <f>SUMIFS(Table2[NewPointsAway],Table2[GameDate], "&lt;=" &amp; $A156, Table2[AwayTeam], G$1)+SUMIFS(Table2[NewPointsHome],Table2[GameDate], "&lt;=" &amp; $A156, Table2[HomeTeam], G$1)</f>
        <v>3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12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7</v>
      </c>
      <c r="M156" s="145">
        <f>SUMIFS(Table2[NewPointsAway],Table2[GameDate], "&lt;=" &amp; $A156, Table2[AwayTeam], M$1)+SUMIFS(Table2[NewPointsHome],Table2[GameDate], "&lt;=" &amp; $A156, Table2[HomeTeam], M$1)</f>
        <v>8</v>
      </c>
      <c r="N156" s="145">
        <f>SUMIFS(Table2[NewPointsAway],Table2[GameDate], "&lt;=" &amp; $A156, Table2[AwayTeam], N$1)+SUMIFS(Table2[NewPointsHome],Table2[GameDate], "&lt;=" &amp; $A156, Table2[HomeTeam], N$1)</f>
        <v>6</v>
      </c>
      <c r="O156" s="145">
        <f>SUMIFS(Table2[NewPointsAway],Table2[GameDate], "&lt;=" &amp; $A156, Table2[AwayTeam], O$1)+SUMIFS(Table2[NewPointsHome],Table2[GameDate], "&lt;=" &amp; $A156, Table2[HomeTeam], O$1)</f>
        <v>7</v>
      </c>
      <c r="P156" s="145">
        <f>SUMIFS(Table2[NewPointsAway],Table2[GameDate], "&lt;=" &amp; $A156, Table2[AwayTeam], P$1)+SUMIFS(Table2[NewPointsHome],Table2[GameDate], "&lt;=" &amp; $A156, Table2[HomeTeam], P$1)</f>
        <v>12</v>
      </c>
      <c r="Q156" s="145">
        <f>SUMIFS(Table2[NewPointsAway],Table2[GameDate], "&lt;=" &amp; $A156, Table2[AwayTeam], Q$1)+SUMIFS(Table2[NewPointsHome],Table2[GameDate], "&lt;=" &amp; $A156, Table2[HomeTeam], Q$1)</f>
        <v>12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6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5</v>
      </c>
      <c r="V156" s="145">
        <f>SUMIFS(Table2[NewPointsAway],Table2[GameDate], "&lt;=" &amp; $A156, Table2[AwayTeam], V$1)+SUMIFS(Table2[NewPointsHome],Table2[GameDate], "&lt;=" &amp; $A156, Table2[HomeTeam], V$1)</f>
        <v>7</v>
      </c>
      <c r="W156" s="145">
        <f>SUMIFS(Table2[NewPointsAway],Table2[GameDate], "&lt;=" &amp; $A156, Table2[AwayTeam], W$1)+SUMIFS(Table2[NewPointsHome],Table2[GameDate], "&lt;=" &amp; $A156, Table2[HomeTeam], W$1)</f>
        <v>10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10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12</v>
      </c>
      <c r="AF156" s="145">
        <f>SUMIFS(Table2[NewPointsAway],Table2[GameDate], "&lt;=" &amp; $A156, Table2[AwayTeam], AF$1)+SUMIFS(Table2[NewPointsHome],Table2[GameDate], "&lt;=" &amp; $A156, Table2[HomeTeam], AF$1)</f>
        <v>10</v>
      </c>
      <c r="AG156" s="145">
        <f>SUMIFS(Table2[NewPointsAway],Table2[GameDate], "&lt;=" &amp; $A156, Table2[AwayTeam], AG$1)+SUMIFS(Table2[NewPointsHome],Table2[GameDate], "&lt;=" &amp; $A156, Table2[HomeTeam], AG$1)</f>
        <v>10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7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6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6</v>
      </c>
      <c r="G157" s="145">
        <f>SUMIFS(Table2[NewPointsAway],Table2[GameDate], "&lt;=" &amp; $A157, Table2[AwayTeam], G$1)+SUMIFS(Table2[NewPointsHome],Table2[GameDate], "&lt;=" &amp; $A157, Table2[HomeTeam], G$1)</f>
        <v>3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12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7</v>
      </c>
      <c r="M157" s="145">
        <f>SUMIFS(Table2[NewPointsAway],Table2[GameDate], "&lt;=" &amp; $A157, Table2[AwayTeam], M$1)+SUMIFS(Table2[NewPointsHome],Table2[GameDate], "&lt;=" &amp; $A157, Table2[HomeTeam], M$1)</f>
        <v>8</v>
      </c>
      <c r="N157" s="145">
        <f>SUMIFS(Table2[NewPointsAway],Table2[GameDate], "&lt;=" &amp; $A157, Table2[AwayTeam], N$1)+SUMIFS(Table2[NewPointsHome],Table2[GameDate], "&lt;=" &amp; $A157, Table2[HomeTeam], N$1)</f>
        <v>6</v>
      </c>
      <c r="O157" s="145">
        <f>SUMIFS(Table2[NewPointsAway],Table2[GameDate], "&lt;=" &amp; $A157, Table2[AwayTeam], O$1)+SUMIFS(Table2[NewPointsHome],Table2[GameDate], "&lt;=" &amp; $A157, Table2[HomeTeam], O$1)</f>
        <v>7</v>
      </c>
      <c r="P157" s="145">
        <f>SUMIFS(Table2[NewPointsAway],Table2[GameDate], "&lt;=" &amp; $A157, Table2[AwayTeam], P$1)+SUMIFS(Table2[NewPointsHome],Table2[GameDate], "&lt;=" &amp; $A157, Table2[HomeTeam], P$1)</f>
        <v>12</v>
      </c>
      <c r="Q157" s="145">
        <f>SUMIFS(Table2[NewPointsAway],Table2[GameDate], "&lt;=" &amp; $A157, Table2[AwayTeam], Q$1)+SUMIFS(Table2[NewPointsHome],Table2[GameDate], "&lt;=" &amp; $A157, Table2[HomeTeam], Q$1)</f>
        <v>12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6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5</v>
      </c>
      <c r="V157" s="145">
        <f>SUMIFS(Table2[NewPointsAway],Table2[GameDate], "&lt;=" &amp; $A157, Table2[AwayTeam], V$1)+SUMIFS(Table2[NewPointsHome],Table2[GameDate], "&lt;=" &amp; $A157, Table2[HomeTeam], V$1)</f>
        <v>7</v>
      </c>
      <c r="W157" s="145">
        <f>SUMIFS(Table2[NewPointsAway],Table2[GameDate], "&lt;=" &amp; $A157, Table2[AwayTeam], W$1)+SUMIFS(Table2[NewPointsHome],Table2[GameDate], "&lt;=" &amp; $A157, Table2[HomeTeam], W$1)</f>
        <v>10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10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12</v>
      </c>
      <c r="AF157" s="145">
        <f>SUMIFS(Table2[NewPointsAway],Table2[GameDate], "&lt;=" &amp; $A157, Table2[AwayTeam], AF$1)+SUMIFS(Table2[NewPointsHome],Table2[GameDate], "&lt;=" &amp; $A157, Table2[HomeTeam], AF$1)</f>
        <v>10</v>
      </c>
      <c r="AG157" s="145">
        <f>SUMIFS(Table2[NewPointsAway],Table2[GameDate], "&lt;=" &amp; $A157, Table2[AwayTeam], AG$1)+SUMIFS(Table2[NewPointsHome],Table2[GameDate], "&lt;=" &amp; $A157, Table2[HomeTeam], AG$1)</f>
        <v>10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7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6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6</v>
      </c>
      <c r="G158" s="145">
        <f>SUMIFS(Table2[NewPointsAway],Table2[GameDate], "&lt;=" &amp; $A158, Table2[AwayTeam], G$1)+SUMIFS(Table2[NewPointsHome],Table2[GameDate], "&lt;=" &amp; $A158, Table2[HomeTeam], G$1)</f>
        <v>3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12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7</v>
      </c>
      <c r="M158" s="145">
        <f>SUMIFS(Table2[NewPointsAway],Table2[GameDate], "&lt;=" &amp; $A158, Table2[AwayTeam], M$1)+SUMIFS(Table2[NewPointsHome],Table2[GameDate], "&lt;=" &amp; $A158, Table2[HomeTeam], M$1)</f>
        <v>8</v>
      </c>
      <c r="N158" s="145">
        <f>SUMIFS(Table2[NewPointsAway],Table2[GameDate], "&lt;=" &amp; $A158, Table2[AwayTeam], N$1)+SUMIFS(Table2[NewPointsHome],Table2[GameDate], "&lt;=" &amp; $A158, Table2[HomeTeam], N$1)</f>
        <v>6</v>
      </c>
      <c r="O158" s="145">
        <f>SUMIFS(Table2[NewPointsAway],Table2[GameDate], "&lt;=" &amp; $A158, Table2[AwayTeam], O$1)+SUMIFS(Table2[NewPointsHome],Table2[GameDate], "&lt;=" &amp; $A158, Table2[HomeTeam], O$1)</f>
        <v>7</v>
      </c>
      <c r="P158" s="145">
        <f>SUMIFS(Table2[NewPointsAway],Table2[GameDate], "&lt;=" &amp; $A158, Table2[AwayTeam], P$1)+SUMIFS(Table2[NewPointsHome],Table2[GameDate], "&lt;=" &amp; $A158, Table2[HomeTeam], P$1)</f>
        <v>12</v>
      </c>
      <c r="Q158" s="145">
        <f>SUMIFS(Table2[NewPointsAway],Table2[GameDate], "&lt;=" &amp; $A158, Table2[AwayTeam], Q$1)+SUMIFS(Table2[NewPointsHome],Table2[GameDate], "&lt;=" &amp; $A158, Table2[HomeTeam], Q$1)</f>
        <v>12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6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5</v>
      </c>
      <c r="V158" s="145">
        <f>SUMIFS(Table2[NewPointsAway],Table2[GameDate], "&lt;=" &amp; $A158, Table2[AwayTeam], V$1)+SUMIFS(Table2[NewPointsHome],Table2[GameDate], "&lt;=" &amp; $A158, Table2[HomeTeam], V$1)</f>
        <v>7</v>
      </c>
      <c r="W158" s="145">
        <f>SUMIFS(Table2[NewPointsAway],Table2[GameDate], "&lt;=" &amp; $A158, Table2[AwayTeam], W$1)+SUMIFS(Table2[NewPointsHome],Table2[GameDate], "&lt;=" &amp; $A158, Table2[HomeTeam], W$1)</f>
        <v>10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10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12</v>
      </c>
      <c r="AF158" s="145">
        <f>SUMIFS(Table2[NewPointsAway],Table2[GameDate], "&lt;=" &amp; $A158, Table2[AwayTeam], AF$1)+SUMIFS(Table2[NewPointsHome],Table2[GameDate], "&lt;=" &amp; $A158, Table2[HomeTeam], AF$1)</f>
        <v>10</v>
      </c>
      <c r="AG158" s="145">
        <f>SUMIFS(Table2[NewPointsAway],Table2[GameDate], "&lt;=" &amp; $A158, Table2[AwayTeam], AG$1)+SUMIFS(Table2[NewPointsHome],Table2[GameDate], "&lt;=" &amp; $A158, Table2[HomeTeam], AG$1)</f>
        <v>10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7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6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6</v>
      </c>
      <c r="G159" s="145">
        <f>SUMIFS(Table2[NewPointsAway],Table2[GameDate], "&lt;=" &amp; $A159, Table2[AwayTeam], G$1)+SUMIFS(Table2[NewPointsHome],Table2[GameDate], "&lt;=" &amp; $A159, Table2[HomeTeam], G$1)</f>
        <v>3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12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7</v>
      </c>
      <c r="M159" s="145">
        <f>SUMIFS(Table2[NewPointsAway],Table2[GameDate], "&lt;=" &amp; $A159, Table2[AwayTeam], M$1)+SUMIFS(Table2[NewPointsHome],Table2[GameDate], "&lt;=" &amp; $A159, Table2[HomeTeam], M$1)</f>
        <v>8</v>
      </c>
      <c r="N159" s="145">
        <f>SUMIFS(Table2[NewPointsAway],Table2[GameDate], "&lt;=" &amp; $A159, Table2[AwayTeam], N$1)+SUMIFS(Table2[NewPointsHome],Table2[GameDate], "&lt;=" &amp; $A159, Table2[HomeTeam], N$1)</f>
        <v>6</v>
      </c>
      <c r="O159" s="145">
        <f>SUMIFS(Table2[NewPointsAway],Table2[GameDate], "&lt;=" &amp; $A159, Table2[AwayTeam], O$1)+SUMIFS(Table2[NewPointsHome],Table2[GameDate], "&lt;=" &amp; $A159, Table2[HomeTeam], O$1)</f>
        <v>7</v>
      </c>
      <c r="P159" s="145">
        <f>SUMIFS(Table2[NewPointsAway],Table2[GameDate], "&lt;=" &amp; $A159, Table2[AwayTeam], P$1)+SUMIFS(Table2[NewPointsHome],Table2[GameDate], "&lt;=" &amp; $A159, Table2[HomeTeam], P$1)</f>
        <v>12</v>
      </c>
      <c r="Q159" s="145">
        <f>SUMIFS(Table2[NewPointsAway],Table2[GameDate], "&lt;=" &amp; $A159, Table2[AwayTeam], Q$1)+SUMIFS(Table2[NewPointsHome],Table2[GameDate], "&lt;=" &amp; $A159, Table2[HomeTeam], Q$1)</f>
        <v>12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6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5</v>
      </c>
      <c r="V159" s="145">
        <f>SUMIFS(Table2[NewPointsAway],Table2[GameDate], "&lt;=" &amp; $A159, Table2[AwayTeam], V$1)+SUMIFS(Table2[NewPointsHome],Table2[GameDate], "&lt;=" &amp; $A159, Table2[HomeTeam], V$1)</f>
        <v>7</v>
      </c>
      <c r="W159" s="145">
        <f>SUMIFS(Table2[NewPointsAway],Table2[GameDate], "&lt;=" &amp; $A159, Table2[AwayTeam], W$1)+SUMIFS(Table2[NewPointsHome],Table2[GameDate], "&lt;=" &amp; $A159, Table2[HomeTeam], W$1)</f>
        <v>10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10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12</v>
      </c>
      <c r="AF159" s="145">
        <f>SUMIFS(Table2[NewPointsAway],Table2[GameDate], "&lt;=" &amp; $A159, Table2[AwayTeam], AF$1)+SUMIFS(Table2[NewPointsHome],Table2[GameDate], "&lt;=" &amp; $A159, Table2[HomeTeam], AF$1)</f>
        <v>10</v>
      </c>
      <c r="AG159" s="145">
        <f>SUMIFS(Table2[NewPointsAway],Table2[GameDate], "&lt;=" &amp; $A159, Table2[AwayTeam], AG$1)+SUMIFS(Table2[NewPointsHome],Table2[GameDate], "&lt;=" &amp; $A159, Table2[HomeTeam], AG$1)</f>
        <v>10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7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6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6</v>
      </c>
      <c r="G160" s="145">
        <f>SUMIFS(Table2[NewPointsAway],Table2[GameDate], "&lt;=" &amp; $A160, Table2[AwayTeam], G$1)+SUMIFS(Table2[NewPointsHome],Table2[GameDate], "&lt;=" &amp; $A160, Table2[HomeTeam], G$1)</f>
        <v>3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12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7</v>
      </c>
      <c r="M160" s="145">
        <f>SUMIFS(Table2[NewPointsAway],Table2[GameDate], "&lt;=" &amp; $A160, Table2[AwayTeam], M$1)+SUMIFS(Table2[NewPointsHome],Table2[GameDate], "&lt;=" &amp; $A160, Table2[HomeTeam], M$1)</f>
        <v>8</v>
      </c>
      <c r="N160" s="145">
        <f>SUMIFS(Table2[NewPointsAway],Table2[GameDate], "&lt;=" &amp; $A160, Table2[AwayTeam], N$1)+SUMIFS(Table2[NewPointsHome],Table2[GameDate], "&lt;=" &amp; $A160, Table2[HomeTeam], N$1)</f>
        <v>6</v>
      </c>
      <c r="O160" s="145">
        <f>SUMIFS(Table2[NewPointsAway],Table2[GameDate], "&lt;=" &amp; $A160, Table2[AwayTeam], O$1)+SUMIFS(Table2[NewPointsHome],Table2[GameDate], "&lt;=" &amp; $A160, Table2[HomeTeam], O$1)</f>
        <v>7</v>
      </c>
      <c r="P160" s="145">
        <f>SUMIFS(Table2[NewPointsAway],Table2[GameDate], "&lt;=" &amp; $A160, Table2[AwayTeam], P$1)+SUMIFS(Table2[NewPointsHome],Table2[GameDate], "&lt;=" &amp; $A160, Table2[HomeTeam], P$1)</f>
        <v>12</v>
      </c>
      <c r="Q160" s="145">
        <f>SUMIFS(Table2[NewPointsAway],Table2[GameDate], "&lt;=" &amp; $A160, Table2[AwayTeam], Q$1)+SUMIFS(Table2[NewPointsHome],Table2[GameDate], "&lt;=" &amp; $A160, Table2[HomeTeam], Q$1)</f>
        <v>12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6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5</v>
      </c>
      <c r="V160" s="145">
        <f>SUMIFS(Table2[NewPointsAway],Table2[GameDate], "&lt;=" &amp; $A160, Table2[AwayTeam], V$1)+SUMIFS(Table2[NewPointsHome],Table2[GameDate], "&lt;=" &amp; $A160, Table2[HomeTeam], V$1)</f>
        <v>7</v>
      </c>
      <c r="W160" s="145">
        <f>SUMIFS(Table2[NewPointsAway],Table2[GameDate], "&lt;=" &amp; $A160, Table2[AwayTeam], W$1)+SUMIFS(Table2[NewPointsHome],Table2[GameDate], "&lt;=" &amp; $A160, Table2[HomeTeam], W$1)</f>
        <v>10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10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12</v>
      </c>
      <c r="AF160" s="145">
        <f>SUMIFS(Table2[NewPointsAway],Table2[GameDate], "&lt;=" &amp; $A160, Table2[AwayTeam], AF$1)+SUMIFS(Table2[NewPointsHome],Table2[GameDate], "&lt;=" &amp; $A160, Table2[HomeTeam], AF$1)</f>
        <v>10</v>
      </c>
      <c r="AG160" s="145">
        <f>SUMIFS(Table2[NewPointsAway],Table2[GameDate], "&lt;=" &amp; $A160, Table2[AwayTeam], AG$1)+SUMIFS(Table2[NewPointsHome],Table2[GameDate], "&lt;=" &amp; $A160, Table2[HomeTeam], AG$1)</f>
        <v>10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7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6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6</v>
      </c>
      <c r="G161" s="145">
        <f>SUMIFS(Table2[NewPointsAway],Table2[GameDate], "&lt;=" &amp; $A161, Table2[AwayTeam], G$1)+SUMIFS(Table2[NewPointsHome],Table2[GameDate], "&lt;=" &amp; $A161, Table2[HomeTeam], G$1)</f>
        <v>3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12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7</v>
      </c>
      <c r="M161" s="145">
        <f>SUMIFS(Table2[NewPointsAway],Table2[GameDate], "&lt;=" &amp; $A161, Table2[AwayTeam], M$1)+SUMIFS(Table2[NewPointsHome],Table2[GameDate], "&lt;=" &amp; $A161, Table2[HomeTeam], M$1)</f>
        <v>8</v>
      </c>
      <c r="N161" s="145">
        <f>SUMIFS(Table2[NewPointsAway],Table2[GameDate], "&lt;=" &amp; $A161, Table2[AwayTeam], N$1)+SUMIFS(Table2[NewPointsHome],Table2[GameDate], "&lt;=" &amp; $A161, Table2[HomeTeam], N$1)</f>
        <v>6</v>
      </c>
      <c r="O161" s="145">
        <f>SUMIFS(Table2[NewPointsAway],Table2[GameDate], "&lt;=" &amp; $A161, Table2[AwayTeam], O$1)+SUMIFS(Table2[NewPointsHome],Table2[GameDate], "&lt;=" &amp; $A161, Table2[HomeTeam], O$1)</f>
        <v>7</v>
      </c>
      <c r="P161" s="145">
        <f>SUMIFS(Table2[NewPointsAway],Table2[GameDate], "&lt;=" &amp; $A161, Table2[AwayTeam], P$1)+SUMIFS(Table2[NewPointsHome],Table2[GameDate], "&lt;=" &amp; $A161, Table2[HomeTeam], P$1)</f>
        <v>12</v>
      </c>
      <c r="Q161" s="145">
        <f>SUMIFS(Table2[NewPointsAway],Table2[GameDate], "&lt;=" &amp; $A161, Table2[AwayTeam], Q$1)+SUMIFS(Table2[NewPointsHome],Table2[GameDate], "&lt;=" &amp; $A161, Table2[HomeTeam], Q$1)</f>
        <v>12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6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5</v>
      </c>
      <c r="V161" s="145">
        <f>SUMIFS(Table2[NewPointsAway],Table2[GameDate], "&lt;=" &amp; $A161, Table2[AwayTeam], V$1)+SUMIFS(Table2[NewPointsHome],Table2[GameDate], "&lt;=" &amp; $A161, Table2[HomeTeam], V$1)</f>
        <v>7</v>
      </c>
      <c r="W161" s="145">
        <f>SUMIFS(Table2[NewPointsAway],Table2[GameDate], "&lt;=" &amp; $A161, Table2[AwayTeam], W$1)+SUMIFS(Table2[NewPointsHome],Table2[GameDate], "&lt;=" &amp; $A161, Table2[HomeTeam], W$1)</f>
        <v>10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10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12</v>
      </c>
      <c r="AF161" s="145">
        <f>SUMIFS(Table2[NewPointsAway],Table2[GameDate], "&lt;=" &amp; $A161, Table2[AwayTeam], AF$1)+SUMIFS(Table2[NewPointsHome],Table2[GameDate], "&lt;=" &amp; $A161, Table2[HomeTeam], AF$1)</f>
        <v>10</v>
      </c>
      <c r="AG161" s="145">
        <f>SUMIFS(Table2[NewPointsAway],Table2[GameDate], "&lt;=" &amp; $A161, Table2[AwayTeam], AG$1)+SUMIFS(Table2[NewPointsHome],Table2[GameDate], "&lt;=" &amp; $A161, Table2[HomeTeam], AG$1)</f>
        <v>10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7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6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6</v>
      </c>
      <c r="G162" s="145">
        <f>SUMIFS(Table2[NewPointsAway],Table2[GameDate], "&lt;=" &amp; $A162, Table2[AwayTeam], G$1)+SUMIFS(Table2[NewPointsHome],Table2[GameDate], "&lt;=" &amp; $A162, Table2[HomeTeam], G$1)</f>
        <v>3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12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7</v>
      </c>
      <c r="M162" s="145">
        <f>SUMIFS(Table2[NewPointsAway],Table2[GameDate], "&lt;=" &amp; $A162, Table2[AwayTeam], M$1)+SUMIFS(Table2[NewPointsHome],Table2[GameDate], "&lt;=" &amp; $A162, Table2[HomeTeam], M$1)</f>
        <v>8</v>
      </c>
      <c r="N162" s="145">
        <f>SUMIFS(Table2[NewPointsAway],Table2[GameDate], "&lt;=" &amp; $A162, Table2[AwayTeam], N$1)+SUMIFS(Table2[NewPointsHome],Table2[GameDate], "&lt;=" &amp; $A162, Table2[HomeTeam], N$1)</f>
        <v>6</v>
      </c>
      <c r="O162" s="145">
        <f>SUMIFS(Table2[NewPointsAway],Table2[GameDate], "&lt;=" &amp; $A162, Table2[AwayTeam], O$1)+SUMIFS(Table2[NewPointsHome],Table2[GameDate], "&lt;=" &amp; $A162, Table2[HomeTeam], O$1)</f>
        <v>7</v>
      </c>
      <c r="P162" s="145">
        <f>SUMIFS(Table2[NewPointsAway],Table2[GameDate], "&lt;=" &amp; $A162, Table2[AwayTeam], P$1)+SUMIFS(Table2[NewPointsHome],Table2[GameDate], "&lt;=" &amp; $A162, Table2[HomeTeam], P$1)</f>
        <v>12</v>
      </c>
      <c r="Q162" s="145">
        <f>SUMIFS(Table2[NewPointsAway],Table2[GameDate], "&lt;=" &amp; $A162, Table2[AwayTeam], Q$1)+SUMIFS(Table2[NewPointsHome],Table2[GameDate], "&lt;=" &amp; $A162, Table2[HomeTeam], Q$1)</f>
        <v>12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6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5</v>
      </c>
      <c r="V162" s="145">
        <f>SUMIFS(Table2[NewPointsAway],Table2[GameDate], "&lt;=" &amp; $A162, Table2[AwayTeam], V$1)+SUMIFS(Table2[NewPointsHome],Table2[GameDate], "&lt;=" &amp; $A162, Table2[HomeTeam], V$1)</f>
        <v>7</v>
      </c>
      <c r="W162" s="145">
        <f>SUMIFS(Table2[NewPointsAway],Table2[GameDate], "&lt;=" &amp; $A162, Table2[AwayTeam], W$1)+SUMIFS(Table2[NewPointsHome],Table2[GameDate], "&lt;=" &amp; $A162, Table2[HomeTeam], W$1)</f>
        <v>10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10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12</v>
      </c>
      <c r="AF162" s="145">
        <f>SUMIFS(Table2[NewPointsAway],Table2[GameDate], "&lt;=" &amp; $A162, Table2[AwayTeam], AF$1)+SUMIFS(Table2[NewPointsHome],Table2[GameDate], "&lt;=" &amp; $A162, Table2[HomeTeam], AF$1)</f>
        <v>10</v>
      </c>
      <c r="AG162" s="145">
        <f>SUMIFS(Table2[NewPointsAway],Table2[GameDate], "&lt;=" &amp; $A162, Table2[AwayTeam], AG$1)+SUMIFS(Table2[NewPointsHome],Table2[GameDate], "&lt;=" &amp; $A162, Table2[HomeTeam], AG$1)</f>
        <v>10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7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6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6</v>
      </c>
      <c r="G163" s="145">
        <f>SUMIFS(Table2[NewPointsAway],Table2[GameDate], "&lt;=" &amp; $A163, Table2[AwayTeam], G$1)+SUMIFS(Table2[NewPointsHome],Table2[GameDate], "&lt;=" &amp; $A163, Table2[HomeTeam], G$1)</f>
        <v>3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12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7</v>
      </c>
      <c r="M163" s="145">
        <f>SUMIFS(Table2[NewPointsAway],Table2[GameDate], "&lt;=" &amp; $A163, Table2[AwayTeam], M$1)+SUMIFS(Table2[NewPointsHome],Table2[GameDate], "&lt;=" &amp; $A163, Table2[HomeTeam], M$1)</f>
        <v>8</v>
      </c>
      <c r="N163" s="145">
        <f>SUMIFS(Table2[NewPointsAway],Table2[GameDate], "&lt;=" &amp; $A163, Table2[AwayTeam], N$1)+SUMIFS(Table2[NewPointsHome],Table2[GameDate], "&lt;=" &amp; $A163, Table2[HomeTeam], N$1)</f>
        <v>6</v>
      </c>
      <c r="O163" s="145">
        <f>SUMIFS(Table2[NewPointsAway],Table2[GameDate], "&lt;=" &amp; $A163, Table2[AwayTeam], O$1)+SUMIFS(Table2[NewPointsHome],Table2[GameDate], "&lt;=" &amp; $A163, Table2[HomeTeam], O$1)</f>
        <v>7</v>
      </c>
      <c r="P163" s="145">
        <f>SUMIFS(Table2[NewPointsAway],Table2[GameDate], "&lt;=" &amp; $A163, Table2[AwayTeam], P$1)+SUMIFS(Table2[NewPointsHome],Table2[GameDate], "&lt;=" &amp; $A163, Table2[HomeTeam], P$1)</f>
        <v>12</v>
      </c>
      <c r="Q163" s="145">
        <f>SUMIFS(Table2[NewPointsAway],Table2[GameDate], "&lt;=" &amp; $A163, Table2[AwayTeam], Q$1)+SUMIFS(Table2[NewPointsHome],Table2[GameDate], "&lt;=" &amp; $A163, Table2[HomeTeam], Q$1)</f>
        <v>12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6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5</v>
      </c>
      <c r="V163" s="145">
        <f>SUMIFS(Table2[NewPointsAway],Table2[GameDate], "&lt;=" &amp; $A163, Table2[AwayTeam], V$1)+SUMIFS(Table2[NewPointsHome],Table2[GameDate], "&lt;=" &amp; $A163, Table2[HomeTeam], V$1)</f>
        <v>7</v>
      </c>
      <c r="W163" s="145">
        <f>SUMIFS(Table2[NewPointsAway],Table2[GameDate], "&lt;=" &amp; $A163, Table2[AwayTeam], W$1)+SUMIFS(Table2[NewPointsHome],Table2[GameDate], "&lt;=" &amp; $A163, Table2[HomeTeam], W$1)</f>
        <v>10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10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12</v>
      </c>
      <c r="AF163" s="145">
        <f>SUMIFS(Table2[NewPointsAway],Table2[GameDate], "&lt;=" &amp; $A163, Table2[AwayTeam], AF$1)+SUMIFS(Table2[NewPointsHome],Table2[GameDate], "&lt;=" &amp; $A163, Table2[HomeTeam], AF$1)</f>
        <v>10</v>
      </c>
      <c r="AG163" s="145">
        <f>SUMIFS(Table2[NewPointsAway],Table2[GameDate], "&lt;=" &amp; $A163, Table2[AwayTeam], AG$1)+SUMIFS(Table2[NewPointsHome],Table2[GameDate], "&lt;=" &amp; $A163, Table2[HomeTeam], AG$1)</f>
        <v>10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7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6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6</v>
      </c>
      <c r="G164" s="145">
        <f>SUMIFS(Table2[NewPointsAway],Table2[GameDate], "&lt;=" &amp; $A164, Table2[AwayTeam], G$1)+SUMIFS(Table2[NewPointsHome],Table2[GameDate], "&lt;=" &amp; $A164, Table2[HomeTeam], G$1)</f>
        <v>3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12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7</v>
      </c>
      <c r="M164" s="145">
        <f>SUMIFS(Table2[NewPointsAway],Table2[GameDate], "&lt;=" &amp; $A164, Table2[AwayTeam], M$1)+SUMIFS(Table2[NewPointsHome],Table2[GameDate], "&lt;=" &amp; $A164, Table2[HomeTeam], M$1)</f>
        <v>8</v>
      </c>
      <c r="N164" s="145">
        <f>SUMIFS(Table2[NewPointsAway],Table2[GameDate], "&lt;=" &amp; $A164, Table2[AwayTeam], N$1)+SUMIFS(Table2[NewPointsHome],Table2[GameDate], "&lt;=" &amp; $A164, Table2[HomeTeam], N$1)</f>
        <v>6</v>
      </c>
      <c r="O164" s="145">
        <f>SUMIFS(Table2[NewPointsAway],Table2[GameDate], "&lt;=" &amp; $A164, Table2[AwayTeam], O$1)+SUMIFS(Table2[NewPointsHome],Table2[GameDate], "&lt;=" &amp; $A164, Table2[HomeTeam], O$1)</f>
        <v>7</v>
      </c>
      <c r="P164" s="145">
        <f>SUMIFS(Table2[NewPointsAway],Table2[GameDate], "&lt;=" &amp; $A164, Table2[AwayTeam], P$1)+SUMIFS(Table2[NewPointsHome],Table2[GameDate], "&lt;=" &amp; $A164, Table2[HomeTeam], P$1)</f>
        <v>12</v>
      </c>
      <c r="Q164" s="145">
        <f>SUMIFS(Table2[NewPointsAway],Table2[GameDate], "&lt;=" &amp; $A164, Table2[AwayTeam], Q$1)+SUMIFS(Table2[NewPointsHome],Table2[GameDate], "&lt;=" &amp; $A164, Table2[HomeTeam], Q$1)</f>
        <v>12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6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5</v>
      </c>
      <c r="V164" s="145">
        <f>SUMIFS(Table2[NewPointsAway],Table2[GameDate], "&lt;=" &amp; $A164, Table2[AwayTeam], V$1)+SUMIFS(Table2[NewPointsHome],Table2[GameDate], "&lt;=" &amp; $A164, Table2[HomeTeam], V$1)</f>
        <v>7</v>
      </c>
      <c r="W164" s="145">
        <f>SUMIFS(Table2[NewPointsAway],Table2[GameDate], "&lt;=" &amp; $A164, Table2[AwayTeam], W$1)+SUMIFS(Table2[NewPointsHome],Table2[GameDate], "&lt;=" &amp; $A164, Table2[HomeTeam], W$1)</f>
        <v>10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10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12</v>
      </c>
      <c r="AF164" s="145">
        <f>SUMIFS(Table2[NewPointsAway],Table2[GameDate], "&lt;=" &amp; $A164, Table2[AwayTeam], AF$1)+SUMIFS(Table2[NewPointsHome],Table2[GameDate], "&lt;=" &amp; $A164, Table2[HomeTeam], AF$1)</f>
        <v>10</v>
      </c>
      <c r="AG164" s="145">
        <f>SUMIFS(Table2[NewPointsAway],Table2[GameDate], "&lt;=" &amp; $A164, Table2[AwayTeam], AG$1)+SUMIFS(Table2[NewPointsHome],Table2[GameDate], "&lt;=" &amp; $A164, Table2[HomeTeam], AG$1)</f>
        <v>10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7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6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6</v>
      </c>
      <c r="G165" s="145">
        <f>SUMIFS(Table2[NewPointsAway],Table2[GameDate], "&lt;=" &amp; $A165, Table2[AwayTeam], G$1)+SUMIFS(Table2[NewPointsHome],Table2[GameDate], "&lt;=" &amp; $A165, Table2[HomeTeam], G$1)</f>
        <v>3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12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7</v>
      </c>
      <c r="M165" s="145">
        <f>SUMIFS(Table2[NewPointsAway],Table2[GameDate], "&lt;=" &amp; $A165, Table2[AwayTeam], M$1)+SUMIFS(Table2[NewPointsHome],Table2[GameDate], "&lt;=" &amp; $A165, Table2[HomeTeam], M$1)</f>
        <v>8</v>
      </c>
      <c r="N165" s="145">
        <f>SUMIFS(Table2[NewPointsAway],Table2[GameDate], "&lt;=" &amp; $A165, Table2[AwayTeam], N$1)+SUMIFS(Table2[NewPointsHome],Table2[GameDate], "&lt;=" &amp; $A165, Table2[HomeTeam], N$1)</f>
        <v>6</v>
      </c>
      <c r="O165" s="145">
        <f>SUMIFS(Table2[NewPointsAway],Table2[GameDate], "&lt;=" &amp; $A165, Table2[AwayTeam], O$1)+SUMIFS(Table2[NewPointsHome],Table2[GameDate], "&lt;=" &amp; $A165, Table2[HomeTeam], O$1)</f>
        <v>7</v>
      </c>
      <c r="P165" s="145">
        <f>SUMIFS(Table2[NewPointsAway],Table2[GameDate], "&lt;=" &amp; $A165, Table2[AwayTeam], P$1)+SUMIFS(Table2[NewPointsHome],Table2[GameDate], "&lt;=" &amp; $A165, Table2[HomeTeam], P$1)</f>
        <v>12</v>
      </c>
      <c r="Q165" s="145">
        <f>SUMIFS(Table2[NewPointsAway],Table2[GameDate], "&lt;=" &amp; $A165, Table2[AwayTeam], Q$1)+SUMIFS(Table2[NewPointsHome],Table2[GameDate], "&lt;=" &amp; $A165, Table2[HomeTeam], Q$1)</f>
        <v>12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6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5</v>
      </c>
      <c r="V165" s="145">
        <f>SUMIFS(Table2[NewPointsAway],Table2[GameDate], "&lt;=" &amp; $A165, Table2[AwayTeam], V$1)+SUMIFS(Table2[NewPointsHome],Table2[GameDate], "&lt;=" &amp; $A165, Table2[HomeTeam], V$1)</f>
        <v>7</v>
      </c>
      <c r="W165" s="145">
        <f>SUMIFS(Table2[NewPointsAway],Table2[GameDate], "&lt;=" &amp; $A165, Table2[AwayTeam], W$1)+SUMIFS(Table2[NewPointsHome],Table2[GameDate], "&lt;=" &amp; $A165, Table2[HomeTeam], W$1)</f>
        <v>10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10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12</v>
      </c>
      <c r="AF165" s="145">
        <f>SUMIFS(Table2[NewPointsAway],Table2[GameDate], "&lt;=" &amp; $A165, Table2[AwayTeam], AF$1)+SUMIFS(Table2[NewPointsHome],Table2[GameDate], "&lt;=" &amp; $A165, Table2[HomeTeam], AF$1)</f>
        <v>10</v>
      </c>
      <c r="AG165" s="145">
        <f>SUMIFS(Table2[NewPointsAway],Table2[GameDate], "&lt;=" &amp; $A165, Table2[AwayTeam], AG$1)+SUMIFS(Table2[NewPointsHome],Table2[GameDate], "&lt;=" &amp; $A165, Table2[HomeTeam], AG$1)</f>
        <v>10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7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6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6</v>
      </c>
      <c r="G166" s="145">
        <f>SUMIFS(Table2[NewPointsAway],Table2[GameDate], "&lt;=" &amp; $A166, Table2[AwayTeam], G$1)+SUMIFS(Table2[NewPointsHome],Table2[GameDate], "&lt;=" &amp; $A166, Table2[HomeTeam], G$1)</f>
        <v>3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12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7</v>
      </c>
      <c r="M166" s="145">
        <f>SUMIFS(Table2[NewPointsAway],Table2[GameDate], "&lt;=" &amp; $A166, Table2[AwayTeam], M$1)+SUMIFS(Table2[NewPointsHome],Table2[GameDate], "&lt;=" &amp; $A166, Table2[HomeTeam], M$1)</f>
        <v>8</v>
      </c>
      <c r="N166" s="145">
        <f>SUMIFS(Table2[NewPointsAway],Table2[GameDate], "&lt;=" &amp; $A166, Table2[AwayTeam], N$1)+SUMIFS(Table2[NewPointsHome],Table2[GameDate], "&lt;=" &amp; $A166, Table2[HomeTeam], N$1)</f>
        <v>6</v>
      </c>
      <c r="O166" s="145">
        <f>SUMIFS(Table2[NewPointsAway],Table2[GameDate], "&lt;=" &amp; $A166, Table2[AwayTeam], O$1)+SUMIFS(Table2[NewPointsHome],Table2[GameDate], "&lt;=" &amp; $A166, Table2[HomeTeam], O$1)</f>
        <v>7</v>
      </c>
      <c r="P166" s="145">
        <f>SUMIFS(Table2[NewPointsAway],Table2[GameDate], "&lt;=" &amp; $A166, Table2[AwayTeam], P$1)+SUMIFS(Table2[NewPointsHome],Table2[GameDate], "&lt;=" &amp; $A166, Table2[HomeTeam], P$1)</f>
        <v>12</v>
      </c>
      <c r="Q166" s="145">
        <f>SUMIFS(Table2[NewPointsAway],Table2[GameDate], "&lt;=" &amp; $A166, Table2[AwayTeam], Q$1)+SUMIFS(Table2[NewPointsHome],Table2[GameDate], "&lt;=" &amp; $A166, Table2[HomeTeam], Q$1)</f>
        <v>12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6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5</v>
      </c>
      <c r="V166" s="145">
        <f>SUMIFS(Table2[NewPointsAway],Table2[GameDate], "&lt;=" &amp; $A166, Table2[AwayTeam], V$1)+SUMIFS(Table2[NewPointsHome],Table2[GameDate], "&lt;=" &amp; $A166, Table2[HomeTeam], V$1)</f>
        <v>7</v>
      </c>
      <c r="W166" s="145">
        <f>SUMIFS(Table2[NewPointsAway],Table2[GameDate], "&lt;=" &amp; $A166, Table2[AwayTeam], W$1)+SUMIFS(Table2[NewPointsHome],Table2[GameDate], "&lt;=" &amp; $A166, Table2[HomeTeam], W$1)</f>
        <v>10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10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12</v>
      </c>
      <c r="AF166" s="145">
        <f>SUMIFS(Table2[NewPointsAway],Table2[GameDate], "&lt;=" &amp; $A166, Table2[AwayTeam], AF$1)+SUMIFS(Table2[NewPointsHome],Table2[GameDate], "&lt;=" &amp; $A166, Table2[HomeTeam], AF$1)</f>
        <v>10</v>
      </c>
      <c r="AG166" s="145">
        <f>SUMIFS(Table2[NewPointsAway],Table2[GameDate], "&lt;=" &amp; $A166, Table2[AwayTeam], AG$1)+SUMIFS(Table2[NewPointsHome],Table2[GameDate], "&lt;=" &amp; $A166, Table2[HomeTeam], AG$1)</f>
        <v>10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7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6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6</v>
      </c>
      <c r="G167" s="145">
        <f>SUMIFS(Table2[NewPointsAway],Table2[GameDate], "&lt;=" &amp; $A167, Table2[AwayTeam], G$1)+SUMIFS(Table2[NewPointsHome],Table2[GameDate], "&lt;=" &amp; $A167, Table2[HomeTeam], G$1)</f>
        <v>3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12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7</v>
      </c>
      <c r="M167" s="145">
        <f>SUMIFS(Table2[NewPointsAway],Table2[GameDate], "&lt;=" &amp; $A167, Table2[AwayTeam], M$1)+SUMIFS(Table2[NewPointsHome],Table2[GameDate], "&lt;=" &amp; $A167, Table2[HomeTeam], M$1)</f>
        <v>8</v>
      </c>
      <c r="N167" s="145">
        <f>SUMIFS(Table2[NewPointsAway],Table2[GameDate], "&lt;=" &amp; $A167, Table2[AwayTeam], N$1)+SUMIFS(Table2[NewPointsHome],Table2[GameDate], "&lt;=" &amp; $A167, Table2[HomeTeam], N$1)</f>
        <v>6</v>
      </c>
      <c r="O167" s="145">
        <f>SUMIFS(Table2[NewPointsAway],Table2[GameDate], "&lt;=" &amp; $A167, Table2[AwayTeam], O$1)+SUMIFS(Table2[NewPointsHome],Table2[GameDate], "&lt;=" &amp; $A167, Table2[HomeTeam], O$1)</f>
        <v>7</v>
      </c>
      <c r="P167" s="145">
        <f>SUMIFS(Table2[NewPointsAway],Table2[GameDate], "&lt;=" &amp; $A167, Table2[AwayTeam], P$1)+SUMIFS(Table2[NewPointsHome],Table2[GameDate], "&lt;=" &amp; $A167, Table2[HomeTeam], P$1)</f>
        <v>12</v>
      </c>
      <c r="Q167" s="145">
        <f>SUMIFS(Table2[NewPointsAway],Table2[GameDate], "&lt;=" &amp; $A167, Table2[AwayTeam], Q$1)+SUMIFS(Table2[NewPointsHome],Table2[GameDate], "&lt;=" &amp; $A167, Table2[HomeTeam], Q$1)</f>
        <v>12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6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5</v>
      </c>
      <c r="V167" s="145">
        <f>SUMIFS(Table2[NewPointsAway],Table2[GameDate], "&lt;=" &amp; $A167, Table2[AwayTeam], V$1)+SUMIFS(Table2[NewPointsHome],Table2[GameDate], "&lt;=" &amp; $A167, Table2[HomeTeam], V$1)</f>
        <v>7</v>
      </c>
      <c r="W167" s="145">
        <f>SUMIFS(Table2[NewPointsAway],Table2[GameDate], "&lt;=" &amp; $A167, Table2[AwayTeam], W$1)+SUMIFS(Table2[NewPointsHome],Table2[GameDate], "&lt;=" &amp; $A167, Table2[HomeTeam], W$1)</f>
        <v>10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10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12</v>
      </c>
      <c r="AF167" s="145">
        <f>SUMIFS(Table2[NewPointsAway],Table2[GameDate], "&lt;=" &amp; $A167, Table2[AwayTeam], AF$1)+SUMIFS(Table2[NewPointsHome],Table2[GameDate], "&lt;=" &amp; $A167, Table2[HomeTeam], AF$1)</f>
        <v>10</v>
      </c>
      <c r="AG167" s="145">
        <f>SUMIFS(Table2[NewPointsAway],Table2[GameDate], "&lt;=" &amp; $A167, Table2[AwayTeam], AG$1)+SUMIFS(Table2[NewPointsHome],Table2[GameDate], "&lt;=" &amp; $A167, Table2[HomeTeam], AG$1)</f>
        <v>10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7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6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6</v>
      </c>
      <c r="G168" s="145">
        <f>SUMIFS(Table2[NewPointsAway],Table2[GameDate], "&lt;=" &amp; $A168, Table2[AwayTeam], G$1)+SUMIFS(Table2[NewPointsHome],Table2[GameDate], "&lt;=" &amp; $A168, Table2[HomeTeam], G$1)</f>
        <v>3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12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7</v>
      </c>
      <c r="M168" s="145">
        <f>SUMIFS(Table2[NewPointsAway],Table2[GameDate], "&lt;=" &amp; $A168, Table2[AwayTeam], M$1)+SUMIFS(Table2[NewPointsHome],Table2[GameDate], "&lt;=" &amp; $A168, Table2[HomeTeam], M$1)</f>
        <v>8</v>
      </c>
      <c r="N168" s="145">
        <f>SUMIFS(Table2[NewPointsAway],Table2[GameDate], "&lt;=" &amp; $A168, Table2[AwayTeam], N$1)+SUMIFS(Table2[NewPointsHome],Table2[GameDate], "&lt;=" &amp; $A168, Table2[HomeTeam], N$1)</f>
        <v>6</v>
      </c>
      <c r="O168" s="145">
        <f>SUMIFS(Table2[NewPointsAway],Table2[GameDate], "&lt;=" &amp; $A168, Table2[AwayTeam], O$1)+SUMIFS(Table2[NewPointsHome],Table2[GameDate], "&lt;=" &amp; $A168, Table2[HomeTeam], O$1)</f>
        <v>7</v>
      </c>
      <c r="P168" s="145">
        <f>SUMIFS(Table2[NewPointsAway],Table2[GameDate], "&lt;=" &amp; $A168, Table2[AwayTeam], P$1)+SUMIFS(Table2[NewPointsHome],Table2[GameDate], "&lt;=" &amp; $A168, Table2[HomeTeam], P$1)</f>
        <v>12</v>
      </c>
      <c r="Q168" s="145">
        <f>SUMIFS(Table2[NewPointsAway],Table2[GameDate], "&lt;=" &amp; $A168, Table2[AwayTeam], Q$1)+SUMIFS(Table2[NewPointsHome],Table2[GameDate], "&lt;=" &amp; $A168, Table2[HomeTeam], Q$1)</f>
        <v>12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6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5</v>
      </c>
      <c r="V168" s="145">
        <f>SUMIFS(Table2[NewPointsAway],Table2[GameDate], "&lt;=" &amp; $A168, Table2[AwayTeam], V$1)+SUMIFS(Table2[NewPointsHome],Table2[GameDate], "&lt;=" &amp; $A168, Table2[HomeTeam], V$1)</f>
        <v>7</v>
      </c>
      <c r="W168" s="145">
        <f>SUMIFS(Table2[NewPointsAway],Table2[GameDate], "&lt;=" &amp; $A168, Table2[AwayTeam], W$1)+SUMIFS(Table2[NewPointsHome],Table2[GameDate], "&lt;=" &amp; $A168, Table2[HomeTeam], W$1)</f>
        <v>10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10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12</v>
      </c>
      <c r="AF168" s="145">
        <f>SUMIFS(Table2[NewPointsAway],Table2[GameDate], "&lt;=" &amp; $A168, Table2[AwayTeam], AF$1)+SUMIFS(Table2[NewPointsHome],Table2[GameDate], "&lt;=" &amp; $A168, Table2[HomeTeam], AF$1)</f>
        <v>10</v>
      </c>
      <c r="AG168" s="145">
        <f>SUMIFS(Table2[NewPointsAway],Table2[GameDate], "&lt;=" &amp; $A168, Table2[AwayTeam], AG$1)+SUMIFS(Table2[NewPointsHome],Table2[GameDate], "&lt;=" &amp; $A168, Table2[HomeTeam], AG$1)</f>
        <v>10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7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6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6</v>
      </c>
      <c r="G169" s="145">
        <f>SUMIFS(Table2[NewPointsAway],Table2[GameDate], "&lt;=" &amp; $A169, Table2[AwayTeam], G$1)+SUMIFS(Table2[NewPointsHome],Table2[GameDate], "&lt;=" &amp; $A169, Table2[HomeTeam], G$1)</f>
        <v>3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12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7</v>
      </c>
      <c r="M169" s="145">
        <f>SUMIFS(Table2[NewPointsAway],Table2[GameDate], "&lt;=" &amp; $A169, Table2[AwayTeam], M$1)+SUMIFS(Table2[NewPointsHome],Table2[GameDate], "&lt;=" &amp; $A169, Table2[HomeTeam], M$1)</f>
        <v>8</v>
      </c>
      <c r="N169" s="145">
        <f>SUMIFS(Table2[NewPointsAway],Table2[GameDate], "&lt;=" &amp; $A169, Table2[AwayTeam], N$1)+SUMIFS(Table2[NewPointsHome],Table2[GameDate], "&lt;=" &amp; $A169, Table2[HomeTeam], N$1)</f>
        <v>6</v>
      </c>
      <c r="O169" s="145">
        <f>SUMIFS(Table2[NewPointsAway],Table2[GameDate], "&lt;=" &amp; $A169, Table2[AwayTeam], O$1)+SUMIFS(Table2[NewPointsHome],Table2[GameDate], "&lt;=" &amp; $A169, Table2[HomeTeam], O$1)</f>
        <v>7</v>
      </c>
      <c r="P169" s="145">
        <f>SUMIFS(Table2[NewPointsAway],Table2[GameDate], "&lt;=" &amp; $A169, Table2[AwayTeam], P$1)+SUMIFS(Table2[NewPointsHome],Table2[GameDate], "&lt;=" &amp; $A169, Table2[HomeTeam], P$1)</f>
        <v>12</v>
      </c>
      <c r="Q169" s="145">
        <f>SUMIFS(Table2[NewPointsAway],Table2[GameDate], "&lt;=" &amp; $A169, Table2[AwayTeam], Q$1)+SUMIFS(Table2[NewPointsHome],Table2[GameDate], "&lt;=" &amp; $A169, Table2[HomeTeam], Q$1)</f>
        <v>12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6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5</v>
      </c>
      <c r="V169" s="145">
        <f>SUMIFS(Table2[NewPointsAway],Table2[GameDate], "&lt;=" &amp; $A169, Table2[AwayTeam], V$1)+SUMIFS(Table2[NewPointsHome],Table2[GameDate], "&lt;=" &amp; $A169, Table2[HomeTeam], V$1)</f>
        <v>7</v>
      </c>
      <c r="W169" s="145">
        <f>SUMIFS(Table2[NewPointsAway],Table2[GameDate], "&lt;=" &amp; $A169, Table2[AwayTeam], W$1)+SUMIFS(Table2[NewPointsHome],Table2[GameDate], "&lt;=" &amp; $A169, Table2[HomeTeam], W$1)</f>
        <v>10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10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12</v>
      </c>
      <c r="AF169" s="145">
        <f>SUMIFS(Table2[NewPointsAway],Table2[GameDate], "&lt;=" &amp; $A169, Table2[AwayTeam], AF$1)+SUMIFS(Table2[NewPointsHome],Table2[GameDate], "&lt;=" &amp; $A169, Table2[HomeTeam], AF$1)</f>
        <v>10</v>
      </c>
      <c r="AG169" s="145">
        <f>SUMIFS(Table2[NewPointsAway],Table2[GameDate], "&lt;=" &amp; $A169, Table2[AwayTeam], AG$1)+SUMIFS(Table2[NewPointsHome],Table2[GameDate], "&lt;=" &amp; $A169, Table2[HomeTeam], AG$1)</f>
        <v>10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7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6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6</v>
      </c>
      <c r="G170" s="145">
        <f>SUMIFS(Table2[NewPointsAway],Table2[GameDate], "&lt;=" &amp; $A170, Table2[AwayTeam], G$1)+SUMIFS(Table2[NewPointsHome],Table2[GameDate], "&lt;=" &amp; $A170, Table2[HomeTeam], G$1)</f>
        <v>3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12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7</v>
      </c>
      <c r="M170" s="145">
        <f>SUMIFS(Table2[NewPointsAway],Table2[GameDate], "&lt;=" &amp; $A170, Table2[AwayTeam], M$1)+SUMIFS(Table2[NewPointsHome],Table2[GameDate], "&lt;=" &amp; $A170, Table2[HomeTeam], M$1)</f>
        <v>8</v>
      </c>
      <c r="N170" s="145">
        <f>SUMIFS(Table2[NewPointsAway],Table2[GameDate], "&lt;=" &amp; $A170, Table2[AwayTeam], N$1)+SUMIFS(Table2[NewPointsHome],Table2[GameDate], "&lt;=" &amp; $A170, Table2[HomeTeam], N$1)</f>
        <v>6</v>
      </c>
      <c r="O170" s="145">
        <f>SUMIFS(Table2[NewPointsAway],Table2[GameDate], "&lt;=" &amp; $A170, Table2[AwayTeam], O$1)+SUMIFS(Table2[NewPointsHome],Table2[GameDate], "&lt;=" &amp; $A170, Table2[HomeTeam], O$1)</f>
        <v>7</v>
      </c>
      <c r="P170" s="145">
        <f>SUMIFS(Table2[NewPointsAway],Table2[GameDate], "&lt;=" &amp; $A170, Table2[AwayTeam], P$1)+SUMIFS(Table2[NewPointsHome],Table2[GameDate], "&lt;=" &amp; $A170, Table2[HomeTeam], P$1)</f>
        <v>12</v>
      </c>
      <c r="Q170" s="145">
        <f>SUMIFS(Table2[NewPointsAway],Table2[GameDate], "&lt;=" &amp; $A170, Table2[AwayTeam], Q$1)+SUMIFS(Table2[NewPointsHome],Table2[GameDate], "&lt;=" &amp; $A170, Table2[HomeTeam], Q$1)</f>
        <v>12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6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5</v>
      </c>
      <c r="V170" s="145">
        <f>SUMIFS(Table2[NewPointsAway],Table2[GameDate], "&lt;=" &amp; $A170, Table2[AwayTeam], V$1)+SUMIFS(Table2[NewPointsHome],Table2[GameDate], "&lt;=" &amp; $A170, Table2[HomeTeam], V$1)</f>
        <v>7</v>
      </c>
      <c r="W170" s="145">
        <f>SUMIFS(Table2[NewPointsAway],Table2[GameDate], "&lt;=" &amp; $A170, Table2[AwayTeam], W$1)+SUMIFS(Table2[NewPointsHome],Table2[GameDate], "&lt;=" &amp; $A170, Table2[HomeTeam], W$1)</f>
        <v>10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10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12</v>
      </c>
      <c r="AF170" s="145">
        <f>SUMIFS(Table2[NewPointsAway],Table2[GameDate], "&lt;=" &amp; $A170, Table2[AwayTeam], AF$1)+SUMIFS(Table2[NewPointsHome],Table2[GameDate], "&lt;=" &amp; $A170, Table2[HomeTeam], AF$1)</f>
        <v>10</v>
      </c>
      <c r="AG170" s="145">
        <f>SUMIFS(Table2[NewPointsAway],Table2[GameDate], "&lt;=" &amp; $A170, Table2[AwayTeam], AG$1)+SUMIFS(Table2[NewPointsHome],Table2[GameDate], "&lt;=" &amp; $A170, Table2[HomeTeam], AG$1)</f>
        <v>10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7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6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6</v>
      </c>
      <c r="G171" s="145">
        <f>SUMIFS(Table2[NewPointsAway],Table2[GameDate], "&lt;=" &amp; $A171, Table2[AwayTeam], G$1)+SUMIFS(Table2[NewPointsHome],Table2[GameDate], "&lt;=" &amp; $A171, Table2[HomeTeam], G$1)</f>
        <v>3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12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7</v>
      </c>
      <c r="M171" s="145">
        <f>SUMIFS(Table2[NewPointsAway],Table2[GameDate], "&lt;=" &amp; $A171, Table2[AwayTeam], M$1)+SUMIFS(Table2[NewPointsHome],Table2[GameDate], "&lt;=" &amp; $A171, Table2[HomeTeam], M$1)</f>
        <v>8</v>
      </c>
      <c r="N171" s="145">
        <f>SUMIFS(Table2[NewPointsAway],Table2[GameDate], "&lt;=" &amp; $A171, Table2[AwayTeam], N$1)+SUMIFS(Table2[NewPointsHome],Table2[GameDate], "&lt;=" &amp; $A171, Table2[HomeTeam], N$1)</f>
        <v>6</v>
      </c>
      <c r="O171" s="145">
        <f>SUMIFS(Table2[NewPointsAway],Table2[GameDate], "&lt;=" &amp; $A171, Table2[AwayTeam], O$1)+SUMIFS(Table2[NewPointsHome],Table2[GameDate], "&lt;=" &amp; $A171, Table2[HomeTeam], O$1)</f>
        <v>7</v>
      </c>
      <c r="P171" s="145">
        <f>SUMIFS(Table2[NewPointsAway],Table2[GameDate], "&lt;=" &amp; $A171, Table2[AwayTeam], P$1)+SUMIFS(Table2[NewPointsHome],Table2[GameDate], "&lt;=" &amp; $A171, Table2[HomeTeam], P$1)</f>
        <v>12</v>
      </c>
      <c r="Q171" s="145">
        <f>SUMIFS(Table2[NewPointsAway],Table2[GameDate], "&lt;=" &amp; $A171, Table2[AwayTeam], Q$1)+SUMIFS(Table2[NewPointsHome],Table2[GameDate], "&lt;=" &amp; $A171, Table2[HomeTeam], Q$1)</f>
        <v>12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6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5</v>
      </c>
      <c r="V171" s="145">
        <f>SUMIFS(Table2[NewPointsAway],Table2[GameDate], "&lt;=" &amp; $A171, Table2[AwayTeam], V$1)+SUMIFS(Table2[NewPointsHome],Table2[GameDate], "&lt;=" &amp; $A171, Table2[HomeTeam], V$1)</f>
        <v>7</v>
      </c>
      <c r="W171" s="145">
        <f>SUMIFS(Table2[NewPointsAway],Table2[GameDate], "&lt;=" &amp; $A171, Table2[AwayTeam], W$1)+SUMIFS(Table2[NewPointsHome],Table2[GameDate], "&lt;=" &amp; $A171, Table2[HomeTeam], W$1)</f>
        <v>10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10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12</v>
      </c>
      <c r="AF171" s="145">
        <f>SUMIFS(Table2[NewPointsAway],Table2[GameDate], "&lt;=" &amp; $A171, Table2[AwayTeam], AF$1)+SUMIFS(Table2[NewPointsHome],Table2[GameDate], "&lt;=" &amp; $A171, Table2[HomeTeam], AF$1)</f>
        <v>10</v>
      </c>
      <c r="AG171" s="145">
        <f>SUMIFS(Table2[NewPointsAway],Table2[GameDate], "&lt;=" &amp; $A171, Table2[AwayTeam], AG$1)+SUMIFS(Table2[NewPointsHome],Table2[GameDate], "&lt;=" &amp; $A171, Table2[HomeTeam], AG$1)</f>
        <v>10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7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6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6</v>
      </c>
      <c r="G172" s="145">
        <f>SUMIFS(Table2[NewPointsAway],Table2[GameDate], "&lt;=" &amp; $A172, Table2[AwayTeam], G$1)+SUMIFS(Table2[NewPointsHome],Table2[GameDate], "&lt;=" &amp; $A172, Table2[HomeTeam], G$1)</f>
        <v>3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12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7</v>
      </c>
      <c r="M172" s="145">
        <f>SUMIFS(Table2[NewPointsAway],Table2[GameDate], "&lt;=" &amp; $A172, Table2[AwayTeam], M$1)+SUMIFS(Table2[NewPointsHome],Table2[GameDate], "&lt;=" &amp; $A172, Table2[HomeTeam], M$1)</f>
        <v>8</v>
      </c>
      <c r="N172" s="145">
        <f>SUMIFS(Table2[NewPointsAway],Table2[GameDate], "&lt;=" &amp; $A172, Table2[AwayTeam], N$1)+SUMIFS(Table2[NewPointsHome],Table2[GameDate], "&lt;=" &amp; $A172, Table2[HomeTeam], N$1)</f>
        <v>6</v>
      </c>
      <c r="O172" s="145">
        <f>SUMIFS(Table2[NewPointsAway],Table2[GameDate], "&lt;=" &amp; $A172, Table2[AwayTeam], O$1)+SUMIFS(Table2[NewPointsHome],Table2[GameDate], "&lt;=" &amp; $A172, Table2[HomeTeam], O$1)</f>
        <v>7</v>
      </c>
      <c r="P172" s="145">
        <f>SUMIFS(Table2[NewPointsAway],Table2[GameDate], "&lt;=" &amp; $A172, Table2[AwayTeam], P$1)+SUMIFS(Table2[NewPointsHome],Table2[GameDate], "&lt;=" &amp; $A172, Table2[HomeTeam], P$1)</f>
        <v>12</v>
      </c>
      <c r="Q172" s="145">
        <f>SUMIFS(Table2[NewPointsAway],Table2[GameDate], "&lt;=" &amp; $A172, Table2[AwayTeam], Q$1)+SUMIFS(Table2[NewPointsHome],Table2[GameDate], "&lt;=" &amp; $A172, Table2[HomeTeam], Q$1)</f>
        <v>12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6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5</v>
      </c>
      <c r="V172" s="145">
        <f>SUMIFS(Table2[NewPointsAway],Table2[GameDate], "&lt;=" &amp; $A172, Table2[AwayTeam], V$1)+SUMIFS(Table2[NewPointsHome],Table2[GameDate], "&lt;=" &amp; $A172, Table2[HomeTeam], V$1)</f>
        <v>7</v>
      </c>
      <c r="W172" s="145">
        <f>SUMIFS(Table2[NewPointsAway],Table2[GameDate], "&lt;=" &amp; $A172, Table2[AwayTeam], W$1)+SUMIFS(Table2[NewPointsHome],Table2[GameDate], "&lt;=" &amp; $A172, Table2[HomeTeam], W$1)</f>
        <v>10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10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12</v>
      </c>
      <c r="AF172" s="145">
        <f>SUMIFS(Table2[NewPointsAway],Table2[GameDate], "&lt;=" &amp; $A172, Table2[AwayTeam], AF$1)+SUMIFS(Table2[NewPointsHome],Table2[GameDate], "&lt;=" &amp; $A172, Table2[HomeTeam], AF$1)</f>
        <v>10</v>
      </c>
      <c r="AG172" s="145">
        <f>SUMIFS(Table2[NewPointsAway],Table2[GameDate], "&lt;=" &amp; $A172, Table2[AwayTeam], AG$1)+SUMIFS(Table2[NewPointsHome],Table2[GameDate], "&lt;=" &amp; $A172, Table2[HomeTeam], AG$1)</f>
        <v>10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7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6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6</v>
      </c>
      <c r="G173" s="145">
        <f>SUMIFS(Table2[NewPointsAway],Table2[GameDate], "&lt;=" &amp; $A173, Table2[AwayTeam], G$1)+SUMIFS(Table2[NewPointsHome],Table2[GameDate], "&lt;=" &amp; $A173, Table2[HomeTeam], G$1)</f>
        <v>3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12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7</v>
      </c>
      <c r="M173" s="145">
        <f>SUMIFS(Table2[NewPointsAway],Table2[GameDate], "&lt;=" &amp; $A173, Table2[AwayTeam], M$1)+SUMIFS(Table2[NewPointsHome],Table2[GameDate], "&lt;=" &amp; $A173, Table2[HomeTeam], M$1)</f>
        <v>8</v>
      </c>
      <c r="N173" s="145">
        <f>SUMIFS(Table2[NewPointsAway],Table2[GameDate], "&lt;=" &amp; $A173, Table2[AwayTeam], N$1)+SUMIFS(Table2[NewPointsHome],Table2[GameDate], "&lt;=" &amp; $A173, Table2[HomeTeam], N$1)</f>
        <v>6</v>
      </c>
      <c r="O173" s="145">
        <f>SUMIFS(Table2[NewPointsAway],Table2[GameDate], "&lt;=" &amp; $A173, Table2[AwayTeam], O$1)+SUMIFS(Table2[NewPointsHome],Table2[GameDate], "&lt;=" &amp; $A173, Table2[HomeTeam], O$1)</f>
        <v>7</v>
      </c>
      <c r="P173" s="145">
        <f>SUMIFS(Table2[NewPointsAway],Table2[GameDate], "&lt;=" &amp; $A173, Table2[AwayTeam], P$1)+SUMIFS(Table2[NewPointsHome],Table2[GameDate], "&lt;=" &amp; $A173, Table2[HomeTeam], P$1)</f>
        <v>12</v>
      </c>
      <c r="Q173" s="145">
        <f>SUMIFS(Table2[NewPointsAway],Table2[GameDate], "&lt;=" &amp; $A173, Table2[AwayTeam], Q$1)+SUMIFS(Table2[NewPointsHome],Table2[GameDate], "&lt;=" &amp; $A173, Table2[HomeTeam], Q$1)</f>
        <v>12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6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5</v>
      </c>
      <c r="V173" s="145">
        <f>SUMIFS(Table2[NewPointsAway],Table2[GameDate], "&lt;=" &amp; $A173, Table2[AwayTeam], V$1)+SUMIFS(Table2[NewPointsHome],Table2[GameDate], "&lt;=" &amp; $A173, Table2[HomeTeam], V$1)</f>
        <v>7</v>
      </c>
      <c r="W173" s="145">
        <f>SUMIFS(Table2[NewPointsAway],Table2[GameDate], "&lt;=" &amp; $A173, Table2[AwayTeam], W$1)+SUMIFS(Table2[NewPointsHome],Table2[GameDate], "&lt;=" &amp; $A173, Table2[HomeTeam], W$1)</f>
        <v>10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10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12</v>
      </c>
      <c r="AF173" s="145">
        <f>SUMIFS(Table2[NewPointsAway],Table2[GameDate], "&lt;=" &amp; $A173, Table2[AwayTeam], AF$1)+SUMIFS(Table2[NewPointsHome],Table2[GameDate], "&lt;=" &amp; $A173, Table2[HomeTeam], AF$1)</f>
        <v>10</v>
      </c>
      <c r="AG173" s="145">
        <f>SUMIFS(Table2[NewPointsAway],Table2[GameDate], "&lt;=" &amp; $A173, Table2[AwayTeam], AG$1)+SUMIFS(Table2[NewPointsHome],Table2[GameDate], "&lt;=" &amp; $A173, Table2[HomeTeam], AG$1)</f>
        <v>10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7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6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6</v>
      </c>
      <c r="G174" s="145">
        <f>SUMIFS(Table2[NewPointsAway],Table2[GameDate], "&lt;=" &amp; $A174, Table2[AwayTeam], G$1)+SUMIFS(Table2[NewPointsHome],Table2[GameDate], "&lt;=" &amp; $A174, Table2[HomeTeam], G$1)</f>
        <v>3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12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7</v>
      </c>
      <c r="M174" s="145">
        <f>SUMIFS(Table2[NewPointsAway],Table2[GameDate], "&lt;=" &amp; $A174, Table2[AwayTeam], M$1)+SUMIFS(Table2[NewPointsHome],Table2[GameDate], "&lt;=" &amp; $A174, Table2[HomeTeam], M$1)</f>
        <v>8</v>
      </c>
      <c r="N174" s="145">
        <f>SUMIFS(Table2[NewPointsAway],Table2[GameDate], "&lt;=" &amp; $A174, Table2[AwayTeam], N$1)+SUMIFS(Table2[NewPointsHome],Table2[GameDate], "&lt;=" &amp; $A174, Table2[HomeTeam], N$1)</f>
        <v>6</v>
      </c>
      <c r="O174" s="145">
        <f>SUMIFS(Table2[NewPointsAway],Table2[GameDate], "&lt;=" &amp; $A174, Table2[AwayTeam], O$1)+SUMIFS(Table2[NewPointsHome],Table2[GameDate], "&lt;=" &amp; $A174, Table2[HomeTeam], O$1)</f>
        <v>7</v>
      </c>
      <c r="P174" s="145">
        <f>SUMIFS(Table2[NewPointsAway],Table2[GameDate], "&lt;=" &amp; $A174, Table2[AwayTeam], P$1)+SUMIFS(Table2[NewPointsHome],Table2[GameDate], "&lt;=" &amp; $A174, Table2[HomeTeam], P$1)</f>
        <v>12</v>
      </c>
      <c r="Q174" s="145">
        <f>SUMIFS(Table2[NewPointsAway],Table2[GameDate], "&lt;=" &amp; $A174, Table2[AwayTeam], Q$1)+SUMIFS(Table2[NewPointsHome],Table2[GameDate], "&lt;=" &amp; $A174, Table2[HomeTeam], Q$1)</f>
        <v>12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6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5</v>
      </c>
      <c r="V174" s="145">
        <f>SUMIFS(Table2[NewPointsAway],Table2[GameDate], "&lt;=" &amp; $A174, Table2[AwayTeam], V$1)+SUMIFS(Table2[NewPointsHome],Table2[GameDate], "&lt;=" &amp; $A174, Table2[HomeTeam], V$1)</f>
        <v>7</v>
      </c>
      <c r="W174" s="145">
        <f>SUMIFS(Table2[NewPointsAway],Table2[GameDate], "&lt;=" &amp; $A174, Table2[AwayTeam], W$1)+SUMIFS(Table2[NewPointsHome],Table2[GameDate], "&lt;=" &amp; $A174, Table2[HomeTeam], W$1)</f>
        <v>10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10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12</v>
      </c>
      <c r="AF174" s="145">
        <f>SUMIFS(Table2[NewPointsAway],Table2[GameDate], "&lt;=" &amp; $A174, Table2[AwayTeam], AF$1)+SUMIFS(Table2[NewPointsHome],Table2[GameDate], "&lt;=" &amp; $A174, Table2[HomeTeam], AF$1)</f>
        <v>10</v>
      </c>
      <c r="AG174" s="145">
        <f>SUMIFS(Table2[NewPointsAway],Table2[GameDate], "&lt;=" &amp; $A174, Table2[AwayTeam], AG$1)+SUMIFS(Table2[NewPointsHome],Table2[GameDate], "&lt;=" &amp; $A174, Table2[HomeTeam], AG$1)</f>
        <v>10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7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6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6</v>
      </c>
      <c r="G175" s="145">
        <f>SUMIFS(Table2[NewPointsAway],Table2[GameDate], "&lt;=" &amp; $A175, Table2[AwayTeam], G$1)+SUMIFS(Table2[NewPointsHome],Table2[GameDate], "&lt;=" &amp; $A175, Table2[HomeTeam], G$1)</f>
        <v>3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12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7</v>
      </c>
      <c r="M175" s="145">
        <f>SUMIFS(Table2[NewPointsAway],Table2[GameDate], "&lt;=" &amp; $A175, Table2[AwayTeam], M$1)+SUMIFS(Table2[NewPointsHome],Table2[GameDate], "&lt;=" &amp; $A175, Table2[HomeTeam], M$1)</f>
        <v>8</v>
      </c>
      <c r="N175" s="145">
        <f>SUMIFS(Table2[NewPointsAway],Table2[GameDate], "&lt;=" &amp; $A175, Table2[AwayTeam], N$1)+SUMIFS(Table2[NewPointsHome],Table2[GameDate], "&lt;=" &amp; $A175, Table2[HomeTeam], N$1)</f>
        <v>6</v>
      </c>
      <c r="O175" s="145">
        <f>SUMIFS(Table2[NewPointsAway],Table2[GameDate], "&lt;=" &amp; $A175, Table2[AwayTeam], O$1)+SUMIFS(Table2[NewPointsHome],Table2[GameDate], "&lt;=" &amp; $A175, Table2[HomeTeam], O$1)</f>
        <v>7</v>
      </c>
      <c r="P175" s="145">
        <f>SUMIFS(Table2[NewPointsAway],Table2[GameDate], "&lt;=" &amp; $A175, Table2[AwayTeam], P$1)+SUMIFS(Table2[NewPointsHome],Table2[GameDate], "&lt;=" &amp; $A175, Table2[HomeTeam], P$1)</f>
        <v>12</v>
      </c>
      <c r="Q175" s="145">
        <f>SUMIFS(Table2[NewPointsAway],Table2[GameDate], "&lt;=" &amp; $A175, Table2[AwayTeam], Q$1)+SUMIFS(Table2[NewPointsHome],Table2[GameDate], "&lt;=" &amp; $A175, Table2[HomeTeam], Q$1)</f>
        <v>12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6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5</v>
      </c>
      <c r="V175" s="145">
        <f>SUMIFS(Table2[NewPointsAway],Table2[GameDate], "&lt;=" &amp; $A175, Table2[AwayTeam], V$1)+SUMIFS(Table2[NewPointsHome],Table2[GameDate], "&lt;=" &amp; $A175, Table2[HomeTeam], V$1)</f>
        <v>7</v>
      </c>
      <c r="W175" s="145">
        <f>SUMIFS(Table2[NewPointsAway],Table2[GameDate], "&lt;=" &amp; $A175, Table2[AwayTeam], W$1)+SUMIFS(Table2[NewPointsHome],Table2[GameDate], "&lt;=" &amp; $A175, Table2[HomeTeam], W$1)</f>
        <v>10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10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12</v>
      </c>
      <c r="AF175" s="145">
        <f>SUMIFS(Table2[NewPointsAway],Table2[GameDate], "&lt;=" &amp; $A175, Table2[AwayTeam], AF$1)+SUMIFS(Table2[NewPointsHome],Table2[GameDate], "&lt;=" &amp; $A175, Table2[HomeTeam], AF$1)</f>
        <v>10</v>
      </c>
      <c r="AG175" s="145">
        <f>SUMIFS(Table2[NewPointsAway],Table2[GameDate], "&lt;=" &amp; $A175, Table2[AwayTeam], AG$1)+SUMIFS(Table2[NewPointsHome],Table2[GameDate], "&lt;=" &amp; $A175, Table2[HomeTeam], AG$1)</f>
        <v>10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7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6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6</v>
      </c>
      <c r="G176" s="145">
        <f>SUMIFS(Table2[NewPointsAway],Table2[GameDate], "&lt;=" &amp; $A176, Table2[AwayTeam], G$1)+SUMIFS(Table2[NewPointsHome],Table2[GameDate], "&lt;=" &amp; $A176, Table2[HomeTeam], G$1)</f>
        <v>3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12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7</v>
      </c>
      <c r="M176" s="145">
        <f>SUMIFS(Table2[NewPointsAway],Table2[GameDate], "&lt;=" &amp; $A176, Table2[AwayTeam], M$1)+SUMIFS(Table2[NewPointsHome],Table2[GameDate], "&lt;=" &amp; $A176, Table2[HomeTeam], M$1)</f>
        <v>8</v>
      </c>
      <c r="N176" s="145">
        <f>SUMIFS(Table2[NewPointsAway],Table2[GameDate], "&lt;=" &amp; $A176, Table2[AwayTeam], N$1)+SUMIFS(Table2[NewPointsHome],Table2[GameDate], "&lt;=" &amp; $A176, Table2[HomeTeam], N$1)</f>
        <v>6</v>
      </c>
      <c r="O176" s="145">
        <f>SUMIFS(Table2[NewPointsAway],Table2[GameDate], "&lt;=" &amp; $A176, Table2[AwayTeam], O$1)+SUMIFS(Table2[NewPointsHome],Table2[GameDate], "&lt;=" &amp; $A176, Table2[HomeTeam], O$1)</f>
        <v>7</v>
      </c>
      <c r="P176" s="145">
        <f>SUMIFS(Table2[NewPointsAway],Table2[GameDate], "&lt;=" &amp; $A176, Table2[AwayTeam], P$1)+SUMIFS(Table2[NewPointsHome],Table2[GameDate], "&lt;=" &amp; $A176, Table2[HomeTeam], P$1)</f>
        <v>12</v>
      </c>
      <c r="Q176" s="145">
        <f>SUMIFS(Table2[NewPointsAway],Table2[GameDate], "&lt;=" &amp; $A176, Table2[AwayTeam], Q$1)+SUMIFS(Table2[NewPointsHome],Table2[GameDate], "&lt;=" &amp; $A176, Table2[HomeTeam], Q$1)</f>
        <v>12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6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5</v>
      </c>
      <c r="V176" s="145">
        <f>SUMIFS(Table2[NewPointsAway],Table2[GameDate], "&lt;=" &amp; $A176, Table2[AwayTeam], V$1)+SUMIFS(Table2[NewPointsHome],Table2[GameDate], "&lt;=" &amp; $A176, Table2[HomeTeam], V$1)</f>
        <v>7</v>
      </c>
      <c r="W176" s="145">
        <f>SUMIFS(Table2[NewPointsAway],Table2[GameDate], "&lt;=" &amp; $A176, Table2[AwayTeam], W$1)+SUMIFS(Table2[NewPointsHome],Table2[GameDate], "&lt;=" &amp; $A176, Table2[HomeTeam], W$1)</f>
        <v>10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10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12</v>
      </c>
      <c r="AF176" s="145">
        <f>SUMIFS(Table2[NewPointsAway],Table2[GameDate], "&lt;=" &amp; $A176, Table2[AwayTeam], AF$1)+SUMIFS(Table2[NewPointsHome],Table2[GameDate], "&lt;=" &amp; $A176, Table2[HomeTeam], AF$1)</f>
        <v>10</v>
      </c>
      <c r="AG176" s="145">
        <f>SUMIFS(Table2[NewPointsAway],Table2[GameDate], "&lt;=" &amp; $A176, Table2[AwayTeam], AG$1)+SUMIFS(Table2[NewPointsHome],Table2[GameDate], "&lt;=" &amp; $A176, Table2[HomeTeam], AG$1)</f>
        <v>10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7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6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6</v>
      </c>
      <c r="G177" s="145">
        <f>SUMIFS(Table2[NewPointsAway],Table2[GameDate], "&lt;=" &amp; $A177, Table2[AwayTeam], G$1)+SUMIFS(Table2[NewPointsHome],Table2[GameDate], "&lt;=" &amp; $A177, Table2[HomeTeam], G$1)</f>
        <v>3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12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7</v>
      </c>
      <c r="M177" s="145">
        <f>SUMIFS(Table2[NewPointsAway],Table2[GameDate], "&lt;=" &amp; $A177, Table2[AwayTeam], M$1)+SUMIFS(Table2[NewPointsHome],Table2[GameDate], "&lt;=" &amp; $A177, Table2[HomeTeam], M$1)</f>
        <v>8</v>
      </c>
      <c r="N177" s="145">
        <f>SUMIFS(Table2[NewPointsAway],Table2[GameDate], "&lt;=" &amp; $A177, Table2[AwayTeam], N$1)+SUMIFS(Table2[NewPointsHome],Table2[GameDate], "&lt;=" &amp; $A177, Table2[HomeTeam], N$1)</f>
        <v>6</v>
      </c>
      <c r="O177" s="145">
        <f>SUMIFS(Table2[NewPointsAway],Table2[GameDate], "&lt;=" &amp; $A177, Table2[AwayTeam], O$1)+SUMIFS(Table2[NewPointsHome],Table2[GameDate], "&lt;=" &amp; $A177, Table2[HomeTeam], O$1)</f>
        <v>7</v>
      </c>
      <c r="P177" s="145">
        <f>SUMIFS(Table2[NewPointsAway],Table2[GameDate], "&lt;=" &amp; $A177, Table2[AwayTeam], P$1)+SUMIFS(Table2[NewPointsHome],Table2[GameDate], "&lt;=" &amp; $A177, Table2[HomeTeam], P$1)</f>
        <v>12</v>
      </c>
      <c r="Q177" s="145">
        <f>SUMIFS(Table2[NewPointsAway],Table2[GameDate], "&lt;=" &amp; $A177, Table2[AwayTeam], Q$1)+SUMIFS(Table2[NewPointsHome],Table2[GameDate], "&lt;=" &amp; $A177, Table2[HomeTeam], Q$1)</f>
        <v>12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6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5</v>
      </c>
      <c r="V177" s="145">
        <f>SUMIFS(Table2[NewPointsAway],Table2[GameDate], "&lt;=" &amp; $A177, Table2[AwayTeam], V$1)+SUMIFS(Table2[NewPointsHome],Table2[GameDate], "&lt;=" &amp; $A177, Table2[HomeTeam], V$1)</f>
        <v>7</v>
      </c>
      <c r="W177" s="145">
        <f>SUMIFS(Table2[NewPointsAway],Table2[GameDate], "&lt;=" &amp; $A177, Table2[AwayTeam], W$1)+SUMIFS(Table2[NewPointsHome],Table2[GameDate], "&lt;=" &amp; $A177, Table2[HomeTeam], W$1)</f>
        <v>10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10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12</v>
      </c>
      <c r="AF177" s="145">
        <f>SUMIFS(Table2[NewPointsAway],Table2[GameDate], "&lt;=" &amp; $A177, Table2[AwayTeam], AF$1)+SUMIFS(Table2[NewPointsHome],Table2[GameDate], "&lt;=" &amp; $A177, Table2[HomeTeam], AF$1)</f>
        <v>10</v>
      </c>
      <c r="AG177" s="145">
        <f>SUMIFS(Table2[NewPointsAway],Table2[GameDate], "&lt;=" &amp; $A177, Table2[AwayTeam], AG$1)+SUMIFS(Table2[NewPointsHome],Table2[GameDate], "&lt;=" &amp; $A177, Table2[HomeTeam], AG$1)</f>
        <v>10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7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6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6</v>
      </c>
      <c r="G178" s="145">
        <f>SUMIFS(Table2[NewPointsAway],Table2[GameDate], "&lt;=" &amp; $A178, Table2[AwayTeam], G$1)+SUMIFS(Table2[NewPointsHome],Table2[GameDate], "&lt;=" &amp; $A178, Table2[HomeTeam], G$1)</f>
        <v>3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12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7</v>
      </c>
      <c r="M178" s="145">
        <f>SUMIFS(Table2[NewPointsAway],Table2[GameDate], "&lt;=" &amp; $A178, Table2[AwayTeam], M$1)+SUMIFS(Table2[NewPointsHome],Table2[GameDate], "&lt;=" &amp; $A178, Table2[HomeTeam], M$1)</f>
        <v>8</v>
      </c>
      <c r="N178" s="145">
        <f>SUMIFS(Table2[NewPointsAway],Table2[GameDate], "&lt;=" &amp; $A178, Table2[AwayTeam], N$1)+SUMIFS(Table2[NewPointsHome],Table2[GameDate], "&lt;=" &amp; $A178, Table2[HomeTeam], N$1)</f>
        <v>6</v>
      </c>
      <c r="O178" s="145">
        <f>SUMIFS(Table2[NewPointsAway],Table2[GameDate], "&lt;=" &amp; $A178, Table2[AwayTeam], O$1)+SUMIFS(Table2[NewPointsHome],Table2[GameDate], "&lt;=" &amp; $A178, Table2[HomeTeam], O$1)</f>
        <v>7</v>
      </c>
      <c r="P178" s="145">
        <f>SUMIFS(Table2[NewPointsAway],Table2[GameDate], "&lt;=" &amp; $A178, Table2[AwayTeam], P$1)+SUMIFS(Table2[NewPointsHome],Table2[GameDate], "&lt;=" &amp; $A178, Table2[HomeTeam], P$1)</f>
        <v>12</v>
      </c>
      <c r="Q178" s="145">
        <f>SUMIFS(Table2[NewPointsAway],Table2[GameDate], "&lt;=" &amp; $A178, Table2[AwayTeam], Q$1)+SUMIFS(Table2[NewPointsHome],Table2[GameDate], "&lt;=" &amp; $A178, Table2[HomeTeam], Q$1)</f>
        <v>12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6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5</v>
      </c>
      <c r="V178" s="145">
        <f>SUMIFS(Table2[NewPointsAway],Table2[GameDate], "&lt;=" &amp; $A178, Table2[AwayTeam], V$1)+SUMIFS(Table2[NewPointsHome],Table2[GameDate], "&lt;=" &amp; $A178, Table2[HomeTeam], V$1)</f>
        <v>7</v>
      </c>
      <c r="W178" s="145">
        <f>SUMIFS(Table2[NewPointsAway],Table2[GameDate], "&lt;=" &amp; $A178, Table2[AwayTeam], W$1)+SUMIFS(Table2[NewPointsHome],Table2[GameDate], "&lt;=" &amp; $A178, Table2[HomeTeam], W$1)</f>
        <v>10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10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12</v>
      </c>
      <c r="AF178" s="145">
        <f>SUMIFS(Table2[NewPointsAway],Table2[GameDate], "&lt;=" &amp; $A178, Table2[AwayTeam], AF$1)+SUMIFS(Table2[NewPointsHome],Table2[GameDate], "&lt;=" &amp; $A178, Table2[HomeTeam], AF$1)</f>
        <v>10</v>
      </c>
      <c r="AG178" s="145">
        <f>SUMIFS(Table2[NewPointsAway],Table2[GameDate], "&lt;=" &amp; $A178, Table2[AwayTeam], AG$1)+SUMIFS(Table2[NewPointsHome],Table2[GameDate], "&lt;=" &amp; $A178, Table2[HomeTeam], AG$1)</f>
        <v>10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7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6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6</v>
      </c>
      <c r="G179" s="145">
        <f>SUMIFS(Table2[NewPointsAway],Table2[GameDate], "&lt;=" &amp; $A179, Table2[AwayTeam], G$1)+SUMIFS(Table2[NewPointsHome],Table2[GameDate], "&lt;=" &amp; $A179, Table2[HomeTeam], G$1)</f>
        <v>3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12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7</v>
      </c>
      <c r="M179" s="145">
        <f>SUMIFS(Table2[NewPointsAway],Table2[GameDate], "&lt;=" &amp; $A179, Table2[AwayTeam], M$1)+SUMIFS(Table2[NewPointsHome],Table2[GameDate], "&lt;=" &amp; $A179, Table2[HomeTeam], M$1)</f>
        <v>8</v>
      </c>
      <c r="N179" s="145">
        <f>SUMIFS(Table2[NewPointsAway],Table2[GameDate], "&lt;=" &amp; $A179, Table2[AwayTeam], N$1)+SUMIFS(Table2[NewPointsHome],Table2[GameDate], "&lt;=" &amp; $A179, Table2[HomeTeam], N$1)</f>
        <v>6</v>
      </c>
      <c r="O179" s="145">
        <f>SUMIFS(Table2[NewPointsAway],Table2[GameDate], "&lt;=" &amp; $A179, Table2[AwayTeam], O$1)+SUMIFS(Table2[NewPointsHome],Table2[GameDate], "&lt;=" &amp; $A179, Table2[HomeTeam], O$1)</f>
        <v>7</v>
      </c>
      <c r="P179" s="145">
        <f>SUMIFS(Table2[NewPointsAway],Table2[GameDate], "&lt;=" &amp; $A179, Table2[AwayTeam], P$1)+SUMIFS(Table2[NewPointsHome],Table2[GameDate], "&lt;=" &amp; $A179, Table2[HomeTeam], P$1)</f>
        <v>12</v>
      </c>
      <c r="Q179" s="145">
        <f>SUMIFS(Table2[NewPointsAway],Table2[GameDate], "&lt;=" &amp; $A179, Table2[AwayTeam], Q$1)+SUMIFS(Table2[NewPointsHome],Table2[GameDate], "&lt;=" &amp; $A179, Table2[HomeTeam], Q$1)</f>
        <v>12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6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5</v>
      </c>
      <c r="V179" s="145">
        <f>SUMIFS(Table2[NewPointsAway],Table2[GameDate], "&lt;=" &amp; $A179, Table2[AwayTeam], V$1)+SUMIFS(Table2[NewPointsHome],Table2[GameDate], "&lt;=" &amp; $A179, Table2[HomeTeam], V$1)</f>
        <v>7</v>
      </c>
      <c r="W179" s="145">
        <f>SUMIFS(Table2[NewPointsAway],Table2[GameDate], "&lt;=" &amp; $A179, Table2[AwayTeam], W$1)+SUMIFS(Table2[NewPointsHome],Table2[GameDate], "&lt;=" &amp; $A179, Table2[HomeTeam], W$1)</f>
        <v>10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10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12</v>
      </c>
      <c r="AF179" s="145">
        <f>SUMIFS(Table2[NewPointsAway],Table2[GameDate], "&lt;=" &amp; $A179, Table2[AwayTeam], AF$1)+SUMIFS(Table2[NewPointsHome],Table2[GameDate], "&lt;=" &amp; $A179, Table2[HomeTeam], AF$1)</f>
        <v>10</v>
      </c>
      <c r="AG179" s="145">
        <f>SUMIFS(Table2[NewPointsAway],Table2[GameDate], "&lt;=" &amp; $A179, Table2[AwayTeam], AG$1)+SUMIFS(Table2[NewPointsHome],Table2[GameDate], "&lt;=" &amp; $A179, Table2[HomeTeam], AG$1)</f>
        <v>10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7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6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6</v>
      </c>
      <c r="G180" s="145">
        <f>SUMIFS(Table2[NewPointsAway],Table2[GameDate], "&lt;=" &amp; $A180, Table2[AwayTeam], G$1)+SUMIFS(Table2[NewPointsHome],Table2[GameDate], "&lt;=" &amp; $A180, Table2[HomeTeam], G$1)</f>
        <v>3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12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7</v>
      </c>
      <c r="M180" s="145">
        <f>SUMIFS(Table2[NewPointsAway],Table2[GameDate], "&lt;=" &amp; $A180, Table2[AwayTeam], M$1)+SUMIFS(Table2[NewPointsHome],Table2[GameDate], "&lt;=" &amp; $A180, Table2[HomeTeam], M$1)</f>
        <v>8</v>
      </c>
      <c r="N180" s="145">
        <f>SUMIFS(Table2[NewPointsAway],Table2[GameDate], "&lt;=" &amp; $A180, Table2[AwayTeam], N$1)+SUMIFS(Table2[NewPointsHome],Table2[GameDate], "&lt;=" &amp; $A180, Table2[HomeTeam], N$1)</f>
        <v>6</v>
      </c>
      <c r="O180" s="145">
        <f>SUMIFS(Table2[NewPointsAway],Table2[GameDate], "&lt;=" &amp; $A180, Table2[AwayTeam], O$1)+SUMIFS(Table2[NewPointsHome],Table2[GameDate], "&lt;=" &amp; $A180, Table2[HomeTeam], O$1)</f>
        <v>7</v>
      </c>
      <c r="P180" s="145">
        <f>SUMIFS(Table2[NewPointsAway],Table2[GameDate], "&lt;=" &amp; $A180, Table2[AwayTeam], P$1)+SUMIFS(Table2[NewPointsHome],Table2[GameDate], "&lt;=" &amp; $A180, Table2[HomeTeam], P$1)</f>
        <v>12</v>
      </c>
      <c r="Q180" s="145">
        <f>SUMIFS(Table2[NewPointsAway],Table2[GameDate], "&lt;=" &amp; $A180, Table2[AwayTeam], Q$1)+SUMIFS(Table2[NewPointsHome],Table2[GameDate], "&lt;=" &amp; $A180, Table2[HomeTeam], Q$1)</f>
        <v>12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6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5</v>
      </c>
      <c r="V180" s="145">
        <f>SUMIFS(Table2[NewPointsAway],Table2[GameDate], "&lt;=" &amp; $A180, Table2[AwayTeam], V$1)+SUMIFS(Table2[NewPointsHome],Table2[GameDate], "&lt;=" &amp; $A180, Table2[HomeTeam], V$1)</f>
        <v>7</v>
      </c>
      <c r="W180" s="145">
        <f>SUMIFS(Table2[NewPointsAway],Table2[GameDate], "&lt;=" &amp; $A180, Table2[AwayTeam], W$1)+SUMIFS(Table2[NewPointsHome],Table2[GameDate], "&lt;=" &amp; $A180, Table2[HomeTeam], W$1)</f>
        <v>10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10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12</v>
      </c>
      <c r="AF180" s="145">
        <f>SUMIFS(Table2[NewPointsAway],Table2[GameDate], "&lt;=" &amp; $A180, Table2[AwayTeam], AF$1)+SUMIFS(Table2[NewPointsHome],Table2[GameDate], "&lt;=" &amp; $A180, Table2[HomeTeam], AF$1)</f>
        <v>10</v>
      </c>
      <c r="AG180" s="145">
        <f>SUMIFS(Table2[NewPointsAway],Table2[GameDate], "&lt;=" &amp; $A180, Table2[AwayTeam], AG$1)+SUMIFS(Table2[NewPointsHome],Table2[GameDate], "&lt;=" &amp; $A180, Table2[HomeTeam], AG$1)</f>
        <v>10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7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6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6</v>
      </c>
      <c r="G181" s="145">
        <f>SUMIFS(Table2[NewPointsAway],Table2[GameDate], "&lt;=" &amp; $A181, Table2[AwayTeam], G$1)+SUMIFS(Table2[NewPointsHome],Table2[GameDate], "&lt;=" &amp; $A181, Table2[HomeTeam], G$1)</f>
        <v>3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12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7</v>
      </c>
      <c r="M181" s="145">
        <f>SUMIFS(Table2[NewPointsAway],Table2[GameDate], "&lt;=" &amp; $A181, Table2[AwayTeam], M$1)+SUMIFS(Table2[NewPointsHome],Table2[GameDate], "&lt;=" &amp; $A181, Table2[HomeTeam], M$1)</f>
        <v>8</v>
      </c>
      <c r="N181" s="145">
        <f>SUMIFS(Table2[NewPointsAway],Table2[GameDate], "&lt;=" &amp; $A181, Table2[AwayTeam], N$1)+SUMIFS(Table2[NewPointsHome],Table2[GameDate], "&lt;=" &amp; $A181, Table2[HomeTeam], N$1)</f>
        <v>6</v>
      </c>
      <c r="O181" s="145">
        <f>SUMIFS(Table2[NewPointsAway],Table2[GameDate], "&lt;=" &amp; $A181, Table2[AwayTeam], O$1)+SUMIFS(Table2[NewPointsHome],Table2[GameDate], "&lt;=" &amp; $A181, Table2[HomeTeam], O$1)</f>
        <v>7</v>
      </c>
      <c r="P181" s="145">
        <f>SUMIFS(Table2[NewPointsAway],Table2[GameDate], "&lt;=" &amp; $A181, Table2[AwayTeam], P$1)+SUMIFS(Table2[NewPointsHome],Table2[GameDate], "&lt;=" &amp; $A181, Table2[HomeTeam], P$1)</f>
        <v>12</v>
      </c>
      <c r="Q181" s="145">
        <f>SUMIFS(Table2[NewPointsAway],Table2[GameDate], "&lt;=" &amp; $A181, Table2[AwayTeam], Q$1)+SUMIFS(Table2[NewPointsHome],Table2[GameDate], "&lt;=" &amp; $A181, Table2[HomeTeam], Q$1)</f>
        <v>12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6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5</v>
      </c>
      <c r="V181" s="145">
        <f>SUMIFS(Table2[NewPointsAway],Table2[GameDate], "&lt;=" &amp; $A181, Table2[AwayTeam], V$1)+SUMIFS(Table2[NewPointsHome],Table2[GameDate], "&lt;=" &amp; $A181, Table2[HomeTeam], V$1)</f>
        <v>7</v>
      </c>
      <c r="W181" s="145">
        <f>SUMIFS(Table2[NewPointsAway],Table2[GameDate], "&lt;=" &amp; $A181, Table2[AwayTeam], W$1)+SUMIFS(Table2[NewPointsHome],Table2[GameDate], "&lt;=" &amp; $A181, Table2[HomeTeam], W$1)</f>
        <v>10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10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12</v>
      </c>
      <c r="AF181" s="145">
        <f>SUMIFS(Table2[NewPointsAway],Table2[GameDate], "&lt;=" &amp; $A181, Table2[AwayTeam], AF$1)+SUMIFS(Table2[NewPointsHome],Table2[GameDate], "&lt;=" &amp; $A181, Table2[HomeTeam], AF$1)</f>
        <v>10</v>
      </c>
      <c r="AG181" s="145">
        <f>SUMIFS(Table2[NewPointsAway],Table2[GameDate], "&lt;=" &amp; $A181, Table2[AwayTeam], AG$1)+SUMIFS(Table2[NewPointsHome],Table2[GameDate], "&lt;=" &amp; $A181, Table2[HomeTeam], AG$1)</f>
        <v>10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7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6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6</v>
      </c>
      <c r="G182" s="145">
        <f>SUMIFS(Table2[NewPointsAway],Table2[GameDate], "&lt;=" &amp; $A182, Table2[AwayTeam], G$1)+SUMIFS(Table2[NewPointsHome],Table2[GameDate], "&lt;=" &amp; $A182, Table2[HomeTeam], G$1)</f>
        <v>3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12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7</v>
      </c>
      <c r="M182" s="145">
        <f>SUMIFS(Table2[NewPointsAway],Table2[GameDate], "&lt;=" &amp; $A182, Table2[AwayTeam], M$1)+SUMIFS(Table2[NewPointsHome],Table2[GameDate], "&lt;=" &amp; $A182, Table2[HomeTeam], M$1)</f>
        <v>8</v>
      </c>
      <c r="N182" s="145">
        <f>SUMIFS(Table2[NewPointsAway],Table2[GameDate], "&lt;=" &amp; $A182, Table2[AwayTeam], N$1)+SUMIFS(Table2[NewPointsHome],Table2[GameDate], "&lt;=" &amp; $A182, Table2[HomeTeam], N$1)</f>
        <v>6</v>
      </c>
      <c r="O182" s="145">
        <f>SUMIFS(Table2[NewPointsAway],Table2[GameDate], "&lt;=" &amp; $A182, Table2[AwayTeam], O$1)+SUMIFS(Table2[NewPointsHome],Table2[GameDate], "&lt;=" &amp; $A182, Table2[HomeTeam], O$1)</f>
        <v>7</v>
      </c>
      <c r="P182" s="145">
        <f>SUMIFS(Table2[NewPointsAway],Table2[GameDate], "&lt;=" &amp; $A182, Table2[AwayTeam], P$1)+SUMIFS(Table2[NewPointsHome],Table2[GameDate], "&lt;=" &amp; $A182, Table2[HomeTeam], P$1)</f>
        <v>12</v>
      </c>
      <c r="Q182" s="145">
        <f>SUMIFS(Table2[NewPointsAway],Table2[GameDate], "&lt;=" &amp; $A182, Table2[AwayTeam], Q$1)+SUMIFS(Table2[NewPointsHome],Table2[GameDate], "&lt;=" &amp; $A182, Table2[HomeTeam], Q$1)</f>
        <v>12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6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5</v>
      </c>
      <c r="V182" s="145">
        <f>SUMIFS(Table2[NewPointsAway],Table2[GameDate], "&lt;=" &amp; $A182, Table2[AwayTeam], V$1)+SUMIFS(Table2[NewPointsHome],Table2[GameDate], "&lt;=" &amp; $A182, Table2[HomeTeam], V$1)</f>
        <v>7</v>
      </c>
      <c r="W182" s="145">
        <f>SUMIFS(Table2[NewPointsAway],Table2[GameDate], "&lt;=" &amp; $A182, Table2[AwayTeam], W$1)+SUMIFS(Table2[NewPointsHome],Table2[GameDate], "&lt;=" &amp; $A182, Table2[HomeTeam], W$1)</f>
        <v>10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10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12</v>
      </c>
      <c r="AF182" s="145">
        <f>SUMIFS(Table2[NewPointsAway],Table2[GameDate], "&lt;=" &amp; $A182, Table2[AwayTeam], AF$1)+SUMIFS(Table2[NewPointsHome],Table2[GameDate], "&lt;=" &amp; $A182, Table2[HomeTeam], AF$1)</f>
        <v>10</v>
      </c>
      <c r="AG182" s="145">
        <f>SUMIFS(Table2[NewPointsAway],Table2[GameDate], "&lt;=" &amp; $A182, Table2[AwayTeam], AG$1)+SUMIFS(Table2[NewPointsHome],Table2[GameDate], "&lt;=" &amp; $A182, Table2[HomeTeam], AG$1)</f>
        <v>10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7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6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6</v>
      </c>
      <c r="G183" s="145">
        <f>SUMIFS(Table2[NewPointsAway],Table2[GameDate], "&lt;=" &amp; $A183, Table2[AwayTeam], G$1)+SUMIFS(Table2[NewPointsHome],Table2[GameDate], "&lt;=" &amp; $A183, Table2[HomeTeam], G$1)</f>
        <v>3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12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7</v>
      </c>
      <c r="M183" s="145">
        <f>SUMIFS(Table2[NewPointsAway],Table2[GameDate], "&lt;=" &amp; $A183, Table2[AwayTeam], M$1)+SUMIFS(Table2[NewPointsHome],Table2[GameDate], "&lt;=" &amp; $A183, Table2[HomeTeam], M$1)</f>
        <v>8</v>
      </c>
      <c r="N183" s="145">
        <f>SUMIFS(Table2[NewPointsAway],Table2[GameDate], "&lt;=" &amp; $A183, Table2[AwayTeam], N$1)+SUMIFS(Table2[NewPointsHome],Table2[GameDate], "&lt;=" &amp; $A183, Table2[HomeTeam], N$1)</f>
        <v>6</v>
      </c>
      <c r="O183" s="145">
        <f>SUMIFS(Table2[NewPointsAway],Table2[GameDate], "&lt;=" &amp; $A183, Table2[AwayTeam], O$1)+SUMIFS(Table2[NewPointsHome],Table2[GameDate], "&lt;=" &amp; $A183, Table2[HomeTeam], O$1)</f>
        <v>7</v>
      </c>
      <c r="P183" s="145">
        <f>SUMIFS(Table2[NewPointsAway],Table2[GameDate], "&lt;=" &amp; $A183, Table2[AwayTeam], P$1)+SUMIFS(Table2[NewPointsHome],Table2[GameDate], "&lt;=" &amp; $A183, Table2[HomeTeam], P$1)</f>
        <v>12</v>
      </c>
      <c r="Q183" s="145">
        <f>SUMIFS(Table2[NewPointsAway],Table2[GameDate], "&lt;=" &amp; $A183, Table2[AwayTeam], Q$1)+SUMIFS(Table2[NewPointsHome],Table2[GameDate], "&lt;=" &amp; $A183, Table2[HomeTeam], Q$1)</f>
        <v>12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6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5</v>
      </c>
      <c r="V183" s="145">
        <f>SUMIFS(Table2[NewPointsAway],Table2[GameDate], "&lt;=" &amp; $A183, Table2[AwayTeam], V$1)+SUMIFS(Table2[NewPointsHome],Table2[GameDate], "&lt;=" &amp; $A183, Table2[HomeTeam], V$1)</f>
        <v>7</v>
      </c>
      <c r="W183" s="145">
        <f>SUMIFS(Table2[NewPointsAway],Table2[GameDate], "&lt;=" &amp; $A183, Table2[AwayTeam], W$1)+SUMIFS(Table2[NewPointsHome],Table2[GameDate], "&lt;=" &amp; $A183, Table2[HomeTeam], W$1)</f>
        <v>10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10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12</v>
      </c>
      <c r="AF183" s="145">
        <f>SUMIFS(Table2[NewPointsAway],Table2[GameDate], "&lt;=" &amp; $A183, Table2[AwayTeam], AF$1)+SUMIFS(Table2[NewPointsHome],Table2[GameDate], "&lt;=" &amp; $A183, Table2[HomeTeam], AF$1)</f>
        <v>10</v>
      </c>
      <c r="AG183" s="145">
        <f>SUMIFS(Table2[NewPointsAway],Table2[GameDate], "&lt;=" &amp; $A183, Table2[AwayTeam], AG$1)+SUMIFS(Table2[NewPointsHome],Table2[GameDate], "&lt;=" &amp; $A183, Table2[HomeTeam], AG$1)</f>
        <v>10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7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6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6</v>
      </c>
      <c r="G184" s="145">
        <f>SUMIFS(Table2[NewPointsAway],Table2[GameDate], "&lt;=" &amp; $A184, Table2[AwayTeam], G$1)+SUMIFS(Table2[NewPointsHome],Table2[GameDate], "&lt;=" &amp; $A184, Table2[HomeTeam], G$1)</f>
        <v>3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12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7</v>
      </c>
      <c r="M184" s="145">
        <f>SUMIFS(Table2[NewPointsAway],Table2[GameDate], "&lt;=" &amp; $A184, Table2[AwayTeam], M$1)+SUMIFS(Table2[NewPointsHome],Table2[GameDate], "&lt;=" &amp; $A184, Table2[HomeTeam], M$1)</f>
        <v>8</v>
      </c>
      <c r="N184" s="145">
        <f>SUMIFS(Table2[NewPointsAway],Table2[GameDate], "&lt;=" &amp; $A184, Table2[AwayTeam], N$1)+SUMIFS(Table2[NewPointsHome],Table2[GameDate], "&lt;=" &amp; $A184, Table2[HomeTeam], N$1)</f>
        <v>6</v>
      </c>
      <c r="O184" s="145">
        <f>SUMIFS(Table2[NewPointsAway],Table2[GameDate], "&lt;=" &amp; $A184, Table2[AwayTeam], O$1)+SUMIFS(Table2[NewPointsHome],Table2[GameDate], "&lt;=" &amp; $A184, Table2[HomeTeam], O$1)</f>
        <v>7</v>
      </c>
      <c r="P184" s="145">
        <f>SUMIFS(Table2[NewPointsAway],Table2[GameDate], "&lt;=" &amp; $A184, Table2[AwayTeam], P$1)+SUMIFS(Table2[NewPointsHome],Table2[GameDate], "&lt;=" &amp; $A184, Table2[HomeTeam], P$1)</f>
        <v>12</v>
      </c>
      <c r="Q184" s="145">
        <f>SUMIFS(Table2[NewPointsAway],Table2[GameDate], "&lt;=" &amp; $A184, Table2[AwayTeam], Q$1)+SUMIFS(Table2[NewPointsHome],Table2[GameDate], "&lt;=" &amp; $A184, Table2[HomeTeam], Q$1)</f>
        <v>12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6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5</v>
      </c>
      <c r="V184" s="145">
        <f>SUMIFS(Table2[NewPointsAway],Table2[GameDate], "&lt;=" &amp; $A184, Table2[AwayTeam], V$1)+SUMIFS(Table2[NewPointsHome],Table2[GameDate], "&lt;=" &amp; $A184, Table2[HomeTeam], V$1)</f>
        <v>7</v>
      </c>
      <c r="W184" s="145">
        <f>SUMIFS(Table2[NewPointsAway],Table2[GameDate], "&lt;=" &amp; $A184, Table2[AwayTeam], W$1)+SUMIFS(Table2[NewPointsHome],Table2[GameDate], "&lt;=" &amp; $A184, Table2[HomeTeam], W$1)</f>
        <v>10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10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12</v>
      </c>
      <c r="AF184" s="145">
        <f>SUMIFS(Table2[NewPointsAway],Table2[GameDate], "&lt;=" &amp; $A184, Table2[AwayTeam], AF$1)+SUMIFS(Table2[NewPointsHome],Table2[GameDate], "&lt;=" &amp; $A184, Table2[HomeTeam], AF$1)</f>
        <v>10</v>
      </c>
      <c r="AG184" s="145">
        <f>SUMIFS(Table2[NewPointsAway],Table2[GameDate], "&lt;=" &amp; $A184, Table2[AwayTeam], AG$1)+SUMIFS(Table2[NewPointsHome],Table2[GameDate], "&lt;=" &amp; $A184, Table2[HomeTeam], AG$1)</f>
        <v>10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7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6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6</v>
      </c>
      <c r="G185" s="145">
        <f>SUMIFS(Table2[NewPointsAway],Table2[GameDate], "&lt;=" &amp; $A185, Table2[AwayTeam], G$1)+SUMIFS(Table2[NewPointsHome],Table2[GameDate], "&lt;=" &amp; $A185, Table2[HomeTeam], G$1)</f>
        <v>3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12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7</v>
      </c>
      <c r="M185" s="145">
        <f>SUMIFS(Table2[NewPointsAway],Table2[GameDate], "&lt;=" &amp; $A185, Table2[AwayTeam], M$1)+SUMIFS(Table2[NewPointsHome],Table2[GameDate], "&lt;=" &amp; $A185, Table2[HomeTeam], M$1)</f>
        <v>8</v>
      </c>
      <c r="N185" s="145">
        <f>SUMIFS(Table2[NewPointsAway],Table2[GameDate], "&lt;=" &amp; $A185, Table2[AwayTeam], N$1)+SUMIFS(Table2[NewPointsHome],Table2[GameDate], "&lt;=" &amp; $A185, Table2[HomeTeam], N$1)</f>
        <v>6</v>
      </c>
      <c r="O185" s="145">
        <f>SUMIFS(Table2[NewPointsAway],Table2[GameDate], "&lt;=" &amp; $A185, Table2[AwayTeam], O$1)+SUMIFS(Table2[NewPointsHome],Table2[GameDate], "&lt;=" &amp; $A185, Table2[HomeTeam], O$1)</f>
        <v>7</v>
      </c>
      <c r="P185" s="145">
        <f>SUMIFS(Table2[NewPointsAway],Table2[GameDate], "&lt;=" &amp; $A185, Table2[AwayTeam], P$1)+SUMIFS(Table2[NewPointsHome],Table2[GameDate], "&lt;=" &amp; $A185, Table2[HomeTeam], P$1)</f>
        <v>12</v>
      </c>
      <c r="Q185" s="145">
        <f>SUMIFS(Table2[NewPointsAway],Table2[GameDate], "&lt;=" &amp; $A185, Table2[AwayTeam], Q$1)+SUMIFS(Table2[NewPointsHome],Table2[GameDate], "&lt;=" &amp; $A185, Table2[HomeTeam], Q$1)</f>
        <v>12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6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5</v>
      </c>
      <c r="V185" s="145">
        <f>SUMIFS(Table2[NewPointsAway],Table2[GameDate], "&lt;=" &amp; $A185, Table2[AwayTeam], V$1)+SUMIFS(Table2[NewPointsHome],Table2[GameDate], "&lt;=" &amp; $A185, Table2[HomeTeam], V$1)</f>
        <v>7</v>
      </c>
      <c r="W185" s="145">
        <f>SUMIFS(Table2[NewPointsAway],Table2[GameDate], "&lt;=" &amp; $A185, Table2[AwayTeam], W$1)+SUMIFS(Table2[NewPointsHome],Table2[GameDate], "&lt;=" &amp; $A185, Table2[HomeTeam], W$1)</f>
        <v>10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10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12</v>
      </c>
      <c r="AF185" s="145">
        <f>SUMIFS(Table2[NewPointsAway],Table2[GameDate], "&lt;=" &amp; $A185, Table2[AwayTeam], AF$1)+SUMIFS(Table2[NewPointsHome],Table2[GameDate], "&lt;=" &amp; $A185, Table2[HomeTeam], AF$1)</f>
        <v>10</v>
      </c>
      <c r="AG185" s="145">
        <f>SUMIFS(Table2[NewPointsAway],Table2[GameDate], "&lt;=" &amp; $A185, Table2[AwayTeam], AG$1)+SUMIFS(Table2[NewPointsHome],Table2[GameDate], "&lt;=" &amp; $A185, Table2[HomeTeam], AG$1)</f>
        <v>10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7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6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6</v>
      </c>
      <c r="G186" s="145">
        <f>SUMIFS(Table2[NewPointsAway],Table2[GameDate], "&lt;=" &amp; $A186, Table2[AwayTeam], G$1)+SUMIFS(Table2[NewPointsHome],Table2[GameDate], "&lt;=" &amp; $A186, Table2[HomeTeam], G$1)</f>
        <v>3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12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7</v>
      </c>
      <c r="M186" s="145">
        <f>SUMIFS(Table2[NewPointsAway],Table2[GameDate], "&lt;=" &amp; $A186, Table2[AwayTeam], M$1)+SUMIFS(Table2[NewPointsHome],Table2[GameDate], "&lt;=" &amp; $A186, Table2[HomeTeam], M$1)</f>
        <v>8</v>
      </c>
      <c r="N186" s="145">
        <f>SUMIFS(Table2[NewPointsAway],Table2[GameDate], "&lt;=" &amp; $A186, Table2[AwayTeam], N$1)+SUMIFS(Table2[NewPointsHome],Table2[GameDate], "&lt;=" &amp; $A186, Table2[HomeTeam], N$1)</f>
        <v>6</v>
      </c>
      <c r="O186" s="145">
        <f>SUMIFS(Table2[NewPointsAway],Table2[GameDate], "&lt;=" &amp; $A186, Table2[AwayTeam], O$1)+SUMIFS(Table2[NewPointsHome],Table2[GameDate], "&lt;=" &amp; $A186, Table2[HomeTeam], O$1)</f>
        <v>7</v>
      </c>
      <c r="P186" s="145">
        <f>SUMIFS(Table2[NewPointsAway],Table2[GameDate], "&lt;=" &amp; $A186, Table2[AwayTeam], P$1)+SUMIFS(Table2[NewPointsHome],Table2[GameDate], "&lt;=" &amp; $A186, Table2[HomeTeam], P$1)</f>
        <v>12</v>
      </c>
      <c r="Q186" s="145">
        <f>SUMIFS(Table2[NewPointsAway],Table2[GameDate], "&lt;=" &amp; $A186, Table2[AwayTeam], Q$1)+SUMIFS(Table2[NewPointsHome],Table2[GameDate], "&lt;=" &amp; $A186, Table2[HomeTeam], Q$1)</f>
        <v>12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6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5</v>
      </c>
      <c r="V186" s="145">
        <f>SUMIFS(Table2[NewPointsAway],Table2[GameDate], "&lt;=" &amp; $A186, Table2[AwayTeam], V$1)+SUMIFS(Table2[NewPointsHome],Table2[GameDate], "&lt;=" &amp; $A186, Table2[HomeTeam], V$1)</f>
        <v>7</v>
      </c>
      <c r="W186" s="145">
        <f>SUMIFS(Table2[NewPointsAway],Table2[GameDate], "&lt;=" &amp; $A186, Table2[AwayTeam], W$1)+SUMIFS(Table2[NewPointsHome],Table2[GameDate], "&lt;=" &amp; $A186, Table2[HomeTeam], W$1)</f>
        <v>10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10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12</v>
      </c>
      <c r="AF186" s="145">
        <f>SUMIFS(Table2[NewPointsAway],Table2[GameDate], "&lt;=" &amp; $A186, Table2[AwayTeam], AF$1)+SUMIFS(Table2[NewPointsHome],Table2[GameDate], "&lt;=" &amp; $A186, Table2[HomeTeam], AF$1)</f>
        <v>10</v>
      </c>
      <c r="AG186" s="145">
        <f>SUMIFS(Table2[NewPointsAway],Table2[GameDate], "&lt;=" &amp; $A186, Table2[AwayTeam], AG$1)+SUMIFS(Table2[NewPointsHome],Table2[GameDate], "&lt;=" &amp; $A186, Table2[HomeTeam], AG$1)</f>
        <v>10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7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6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6</v>
      </c>
      <c r="G187" s="145">
        <f>SUMIFS(Table2[NewPointsAway],Table2[GameDate], "&lt;=" &amp; $A187, Table2[AwayTeam], G$1)+SUMIFS(Table2[NewPointsHome],Table2[GameDate], "&lt;=" &amp; $A187, Table2[HomeTeam], G$1)</f>
        <v>3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12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7</v>
      </c>
      <c r="M187" s="145">
        <f>SUMIFS(Table2[NewPointsAway],Table2[GameDate], "&lt;=" &amp; $A187, Table2[AwayTeam], M$1)+SUMIFS(Table2[NewPointsHome],Table2[GameDate], "&lt;=" &amp; $A187, Table2[HomeTeam], M$1)</f>
        <v>8</v>
      </c>
      <c r="N187" s="145">
        <f>SUMIFS(Table2[NewPointsAway],Table2[GameDate], "&lt;=" &amp; $A187, Table2[AwayTeam], N$1)+SUMIFS(Table2[NewPointsHome],Table2[GameDate], "&lt;=" &amp; $A187, Table2[HomeTeam], N$1)</f>
        <v>6</v>
      </c>
      <c r="O187" s="145">
        <f>SUMIFS(Table2[NewPointsAway],Table2[GameDate], "&lt;=" &amp; $A187, Table2[AwayTeam], O$1)+SUMIFS(Table2[NewPointsHome],Table2[GameDate], "&lt;=" &amp; $A187, Table2[HomeTeam], O$1)</f>
        <v>7</v>
      </c>
      <c r="P187" s="145">
        <f>SUMIFS(Table2[NewPointsAway],Table2[GameDate], "&lt;=" &amp; $A187, Table2[AwayTeam], P$1)+SUMIFS(Table2[NewPointsHome],Table2[GameDate], "&lt;=" &amp; $A187, Table2[HomeTeam], P$1)</f>
        <v>12</v>
      </c>
      <c r="Q187" s="145">
        <f>SUMIFS(Table2[NewPointsAway],Table2[GameDate], "&lt;=" &amp; $A187, Table2[AwayTeam], Q$1)+SUMIFS(Table2[NewPointsHome],Table2[GameDate], "&lt;=" &amp; $A187, Table2[HomeTeam], Q$1)</f>
        <v>12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6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5</v>
      </c>
      <c r="V187" s="145">
        <f>SUMIFS(Table2[NewPointsAway],Table2[GameDate], "&lt;=" &amp; $A187, Table2[AwayTeam], V$1)+SUMIFS(Table2[NewPointsHome],Table2[GameDate], "&lt;=" &amp; $A187, Table2[HomeTeam], V$1)</f>
        <v>7</v>
      </c>
      <c r="W187" s="145">
        <f>SUMIFS(Table2[NewPointsAway],Table2[GameDate], "&lt;=" &amp; $A187, Table2[AwayTeam], W$1)+SUMIFS(Table2[NewPointsHome],Table2[GameDate], "&lt;=" &amp; $A187, Table2[HomeTeam], W$1)</f>
        <v>10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10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12</v>
      </c>
      <c r="AF187" s="145">
        <f>SUMIFS(Table2[NewPointsAway],Table2[GameDate], "&lt;=" &amp; $A187, Table2[AwayTeam], AF$1)+SUMIFS(Table2[NewPointsHome],Table2[GameDate], "&lt;=" &amp; $A187, Table2[HomeTeam], AF$1)</f>
        <v>10</v>
      </c>
      <c r="AG187" s="145">
        <f>SUMIFS(Table2[NewPointsAway],Table2[GameDate], "&lt;=" &amp; $A187, Table2[AwayTeam], AG$1)+SUMIFS(Table2[NewPointsHome],Table2[GameDate], "&lt;=" &amp; $A187, Table2[HomeTeam], AG$1)</f>
        <v>10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7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6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6</v>
      </c>
      <c r="G188" s="145">
        <f>SUMIFS(Table2[NewPointsAway],Table2[GameDate], "&lt;=" &amp; $A188, Table2[AwayTeam], G$1)+SUMIFS(Table2[NewPointsHome],Table2[GameDate], "&lt;=" &amp; $A188, Table2[HomeTeam], G$1)</f>
        <v>3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12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7</v>
      </c>
      <c r="M188" s="145">
        <f>SUMIFS(Table2[NewPointsAway],Table2[GameDate], "&lt;=" &amp; $A188, Table2[AwayTeam], M$1)+SUMIFS(Table2[NewPointsHome],Table2[GameDate], "&lt;=" &amp; $A188, Table2[HomeTeam], M$1)</f>
        <v>8</v>
      </c>
      <c r="N188" s="145">
        <f>SUMIFS(Table2[NewPointsAway],Table2[GameDate], "&lt;=" &amp; $A188, Table2[AwayTeam], N$1)+SUMIFS(Table2[NewPointsHome],Table2[GameDate], "&lt;=" &amp; $A188, Table2[HomeTeam], N$1)</f>
        <v>6</v>
      </c>
      <c r="O188" s="145">
        <f>SUMIFS(Table2[NewPointsAway],Table2[GameDate], "&lt;=" &amp; $A188, Table2[AwayTeam], O$1)+SUMIFS(Table2[NewPointsHome],Table2[GameDate], "&lt;=" &amp; $A188, Table2[HomeTeam], O$1)</f>
        <v>7</v>
      </c>
      <c r="P188" s="145">
        <f>SUMIFS(Table2[NewPointsAway],Table2[GameDate], "&lt;=" &amp; $A188, Table2[AwayTeam], P$1)+SUMIFS(Table2[NewPointsHome],Table2[GameDate], "&lt;=" &amp; $A188, Table2[HomeTeam], P$1)</f>
        <v>12</v>
      </c>
      <c r="Q188" s="145">
        <f>SUMIFS(Table2[NewPointsAway],Table2[GameDate], "&lt;=" &amp; $A188, Table2[AwayTeam], Q$1)+SUMIFS(Table2[NewPointsHome],Table2[GameDate], "&lt;=" &amp; $A188, Table2[HomeTeam], Q$1)</f>
        <v>12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6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5</v>
      </c>
      <c r="V188" s="145">
        <f>SUMIFS(Table2[NewPointsAway],Table2[GameDate], "&lt;=" &amp; $A188, Table2[AwayTeam], V$1)+SUMIFS(Table2[NewPointsHome],Table2[GameDate], "&lt;=" &amp; $A188, Table2[HomeTeam], V$1)</f>
        <v>7</v>
      </c>
      <c r="W188" s="145">
        <f>SUMIFS(Table2[NewPointsAway],Table2[GameDate], "&lt;=" &amp; $A188, Table2[AwayTeam], W$1)+SUMIFS(Table2[NewPointsHome],Table2[GameDate], "&lt;=" &amp; $A188, Table2[HomeTeam], W$1)</f>
        <v>10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10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12</v>
      </c>
      <c r="AF188" s="145">
        <f>SUMIFS(Table2[NewPointsAway],Table2[GameDate], "&lt;=" &amp; $A188, Table2[AwayTeam], AF$1)+SUMIFS(Table2[NewPointsHome],Table2[GameDate], "&lt;=" &amp; $A188, Table2[HomeTeam], AF$1)</f>
        <v>10</v>
      </c>
      <c r="AG188" s="145">
        <f>SUMIFS(Table2[NewPointsAway],Table2[GameDate], "&lt;=" &amp; $A188, Table2[AwayTeam], AG$1)+SUMIFS(Table2[NewPointsHome],Table2[GameDate], "&lt;=" &amp; $A188, Table2[HomeTeam], AG$1)</f>
        <v>10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7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6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6</v>
      </c>
      <c r="G189" s="145">
        <f>SUMIFS(Table2[NewPointsAway],Table2[GameDate], "&lt;=" &amp; $A189, Table2[AwayTeam], G$1)+SUMIFS(Table2[NewPointsHome],Table2[GameDate], "&lt;=" &amp; $A189, Table2[HomeTeam], G$1)</f>
        <v>3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12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7</v>
      </c>
      <c r="M189" s="145">
        <f>SUMIFS(Table2[NewPointsAway],Table2[GameDate], "&lt;=" &amp; $A189, Table2[AwayTeam], M$1)+SUMIFS(Table2[NewPointsHome],Table2[GameDate], "&lt;=" &amp; $A189, Table2[HomeTeam], M$1)</f>
        <v>8</v>
      </c>
      <c r="N189" s="145">
        <f>SUMIFS(Table2[NewPointsAway],Table2[GameDate], "&lt;=" &amp; $A189, Table2[AwayTeam], N$1)+SUMIFS(Table2[NewPointsHome],Table2[GameDate], "&lt;=" &amp; $A189, Table2[HomeTeam], N$1)</f>
        <v>6</v>
      </c>
      <c r="O189" s="145">
        <f>SUMIFS(Table2[NewPointsAway],Table2[GameDate], "&lt;=" &amp; $A189, Table2[AwayTeam], O$1)+SUMIFS(Table2[NewPointsHome],Table2[GameDate], "&lt;=" &amp; $A189, Table2[HomeTeam], O$1)</f>
        <v>7</v>
      </c>
      <c r="P189" s="145">
        <f>SUMIFS(Table2[NewPointsAway],Table2[GameDate], "&lt;=" &amp; $A189, Table2[AwayTeam], P$1)+SUMIFS(Table2[NewPointsHome],Table2[GameDate], "&lt;=" &amp; $A189, Table2[HomeTeam], P$1)</f>
        <v>12</v>
      </c>
      <c r="Q189" s="145">
        <f>SUMIFS(Table2[NewPointsAway],Table2[GameDate], "&lt;=" &amp; $A189, Table2[AwayTeam], Q$1)+SUMIFS(Table2[NewPointsHome],Table2[GameDate], "&lt;=" &amp; $A189, Table2[HomeTeam], Q$1)</f>
        <v>12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6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5</v>
      </c>
      <c r="V189" s="145">
        <f>SUMIFS(Table2[NewPointsAway],Table2[GameDate], "&lt;=" &amp; $A189, Table2[AwayTeam], V$1)+SUMIFS(Table2[NewPointsHome],Table2[GameDate], "&lt;=" &amp; $A189, Table2[HomeTeam], V$1)</f>
        <v>7</v>
      </c>
      <c r="W189" s="145">
        <f>SUMIFS(Table2[NewPointsAway],Table2[GameDate], "&lt;=" &amp; $A189, Table2[AwayTeam], W$1)+SUMIFS(Table2[NewPointsHome],Table2[GameDate], "&lt;=" &amp; $A189, Table2[HomeTeam], W$1)</f>
        <v>10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10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12</v>
      </c>
      <c r="AF189" s="145">
        <f>SUMIFS(Table2[NewPointsAway],Table2[GameDate], "&lt;=" &amp; $A189, Table2[AwayTeam], AF$1)+SUMIFS(Table2[NewPointsHome],Table2[GameDate], "&lt;=" &amp; $A189, Table2[HomeTeam], AF$1)</f>
        <v>10</v>
      </c>
      <c r="AG189" s="145">
        <f>SUMIFS(Table2[NewPointsAway],Table2[GameDate], "&lt;=" &amp; $A189, Table2[AwayTeam], AG$1)+SUMIFS(Table2[NewPointsHome],Table2[GameDate], "&lt;=" &amp; $A189, Table2[HomeTeam], AG$1)</f>
        <v>10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7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6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6</v>
      </c>
      <c r="G190" s="145">
        <f>SUMIFS(Table2[NewPointsAway],Table2[GameDate], "&lt;=" &amp; $A190, Table2[AwayTeam], G$1)+SUMIFS(Table2[NewPointsHome],Table2[GameDate], "&lt;=" &amp; $A190, Table2[HomeTeam], G$1)</f>
        <v>3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12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7</v>
      </c>
      <c r="M190" s="145">
        <f>SUMIFS(Table2[NewPointsAway],Table2[GameDate], "&lt;=" &amp; $A190, Table2[AwayTeam], M$1)+SUMIFS(Table2[NewPointsHome],Table2[GameDate], "&lt;=" &amp; $A190, Table2[HomeTeam], M$1)</f>
        <v>8</v>
      </c>
      <c r="N190" s="145">
        <f>SUMIFS(Table2[NewPointsAway],Table2[GameDate], "&lt;=" &amp; $A190, Table2[AwayTeam], N$1)+SUMIFS(Table2[NewPointsHome],Table2[GameDate], "&lt;=" &amp; $A190, Table2[HomeTeam], N$1)</f>
        <v>6</v>
      </c>
      <c r="O190" s="145">
        <f>SUMIFS(Table2[NewPointsAway],Table2[GameDate], "&lt;=" &amp; $A190, Table2[AwayTeam], O$1)+SUMIFS(Table2[NewPointsHome],Table2[GameDate], "&lt;=" &amp; $A190, Table2[HomeTeam], O$1)</f>
        <v>7</v>
      </c>
      <c r="P190" s="145">
        <f>SUMIFS(Table2[NewPointsAway],Table2[GameDate], "&lt;=" &amp; $A190, Table2[AwayTeam], P$1)+SUMIFS(Table2[NewPointsHome],Table2[GameDate], "&lt;=" &amp; $A190, Table2[HomeTeam], P$1)</f>
        <v>12</v>
      </c>
      <c r="Q190" s="145">
        <f>SUMIFS(Table2[NewPointsAway],Table2[GameDate], "&lt;=" &amp; $A190, Table2[AwayTeam], Q$1)+SUMIFS(Table2[NewPointsHome],Table2[GameDate], "&lt;=" &amp; $A190, Table2[HomeTeam], Q$1)</f>
        <v>12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6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5</v>
      </c>
      <c r="V190" s="145">
        <f>SUMIFS(Table2[NewPointsAway],Table2[GameDate], "&lt;=" &amp; $A190, Table2[AwayTeam], V$1)+SUMIFS(Table2[NewPointsHome],Table2[GameDate], "&lt;=" &amp; $A190, Table2[HomeTeam], V$1)</f>
        <v>7</v>
      </c>
      <c r="W190" s="145">
        <f>SUMIFS(Table2[NewPointsAway],Table2[GameDate], "&lt;=" &amp; $A190, Table2[AwayTeam], W$1)+SUMIFS(Table2[NewPointsHome],Table2[GameDate], "&lt;=" &amp; $A190, Table2[HomeTeam], W$1)</f>
        <v>10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10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12</v>
      </c>
      <c r="AF190" s="145">
        <f>SUMIFS(Table2[NewPointsAway],Table2[GameDate], "&lt;=" &amp; $A190, Table2[AwayTeam], AF$1)+SUMIFS(Table2[NewPointsHome],Table2[GameDate], "&lt;=" &amp; $A190, Table2[HomeTeam], AF$1)</f>
        <v>10</v>
      </c>
      <c r="AG190" s="145">
        <f>SUMIFS(Table2[NewPointsAway],Table2[GameDate], "&lt;=" &amp; $A190, Table2[AwayTeam], AG$1)+SUMIFS(Table2[NewPointsHome],Table2[GameDate], "&lt;=" &amp; $A190, Table2[HomeTeam], AG$1)</f>
        <v>10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7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6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6</v>
      </c>
      <c r="G191" s="145">
        <f>SUMIFS(Table2[NewPointsAway],Table2[GameDate], "&lt;=" &amp; $A191, Table2[AwayTeam], G$1)+SUMIFS(Table2[NewPointsHome],Table2[GameDate], "&lt;=" &amp; $A191, Table2[HomeTeam], G$1)</f>
        <v>3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12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7</v>
      </c>
      <c r="M191" s="145">
        <f>SUMIFS(Table2[NewPointsAway],Table2[GameDate], "&lt;=" &amp; $A191, Table2[AwayTeam], M$1)+SUMIFS(Table2[NewPointsHome],Table2[GameDate], "&lt;=" &amp; $A191, Table2[HomeTeam], M$1)</f>
        <v>8</v>
      </c>
      <c r="N191" s="145">
        <f>SUMIFS(Table2[NewPointsAway],Table2[GameDate], "&lt;=" &amp; $A191, Table2[AwayTeam], N$1)+SUMIFS(Table2[NewPointsHome],Table2[GameDate], "&lt;=" &amp; $A191, Table2[HomeTeam], N$1)</f>
        <v>6</v>
      </c>
      <c r="O191" s="145">
        <f>SUMIFS(Table2[NewPointsAway],Table2[GameDate], "&lt;=" &amp; $A191, Table2[AwayTeam], O$1)+SUMIFS(Table2[NewPointsHome],Table2[GameDate], "&lt;=" &amp; $A191, Table2[HomeTeam], O$1)</f>
        <v>7</v>
      </c>
      <c r="P191" s="145">
        <f>SUMIFS(Table2[NewPointsAway],Table2[GameDate], "&lt;=" &amp; $A191, Table2[AwayTeam], P$1)+SUMIFS(Table2[NewPointsHome],Table2[GameDate], "&lt;=" &amp; $A191, Table2[HomeTeam], P$1)</f>
        <v>12</v>
      </c>
      <c r="Q191" s="145">
        <f>SUMIFS(Table2[NewPointsAway],Table2[GameDate], "&lt;=" &amp; $A191, Table2[AwayTeam], Q$1)+SUMIFS(Table2[NewPointsHome],Table2[GameDate], "&lt;=" &amp; $A191, Table2[HomeTeam], Q$1)</f>
        <v>12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6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5</v>
      </c>
      <c r="V191" s="145">
        <f>SUMIFS(Table2[NewPointsAway],Table2[GameDate], "&lt;=" &amp; $A191, Table2[AwayTeam], V$1)+SUMIFS(Table2[NewPointsHome],Table2[GameDate], "&lt;=" &amp; $A191, Table2[HomeTeam], V$1)</f>
        <v>7</v>
      </c>
      <c r="W191" s="145">
        <f>SUMIFS(Table2[NewPointsAway],Table2[GameDate], "&lt;=" &amp; $A191, Table2[AwayTeam], W$1)+SUMIFS(Table2[NewPointsHome],Table2[GameDate], "&lt;=" &amp; $A191, Table2[HomeTeam], W$1)</f>
        <v>10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10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12</v>
      </c>
      <c r="AF191" s="145">
        <f>SUMIFS(Table2[NewPointsAway],Table2[GameDate], "&lt;=" &amp; $A191, Table2[AwayTeam], AF$1)+SUMIFS(Table2[NewPointsHome],Table2[GameDate], "&lt;=" &amp; $A191, Table2[HomeTeam], AF$1)</f>
        <v>10</v>
      </c>
      <c r="AG191" s="145">
        <f>SUMIFS(Table2[NewPointsAway],Table2[GameDate], "&lt;=" &amp; $A191, Table2[AwayTeam], AG$1)+SUMIFS(Table2[NewPointsHome],Table2[GameDate], "&lt;=" &amp; $A191, Table2[HomeTeam], AG$1)</f>
        <v>10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7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6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6</v>
      </c>
      <c r="G192" s="145">
        <f>SUMIFS(Table2[NewPointsAway],Table2[GameDate], "&lt;=" &amp; $A192, Table2[AwayTeam], G$1)+SUMIFS(Table2[NewPointsHome],Table2[GameDate], "&lt;=" &amp; $A192, Table2[HomeTeam], G$1)</f>
        <v>3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12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7</v>
      </c>
      <c r="M192" s="145">
        <f>SUMIFS(Table2[NewPointsAway],Table2[GameDate], "&lt;=" &amp; $A192, Table2[AwayTeam], M$1)+SUMIFS(Table2[NewPointsHome],Table2[GameDate], "&lt;=" &amp; $A192, Table2[HomeTeam], M$1)</f>
        <v>8</v>
      </c>
      <c r="N192" s="145">
        <f>SUMIFS(Table2[NewPointsAway],Table2[GameDate], "&lt;=" &amp; $A192, Table2[AwayTeam], N$1)+SUMIFS(Table2[NewPointsHome],Table2[GameDate], "&lt;=" &amp; $A192, Table2[HomeTeam], N$1)</f>
        <v>6</v>
      </c>
      <c r="O192" s="145">
        <f>SUMIFS(Table2[NewPointsAway],Table2[GameDate], "&lt;=" &amp; $A192, Table2[AwayTeam], O$1)+SUMIFS(Table2[NewPointsHome],Table2[GameDate], "&lt;=" &amp; $A192, Table2[HomeTeam], O$1)</f>
        <v>7</v>
      </c>
      <c r="P192" s="145">
        <f>SUMIFS(Table2[NewPointsAway],Table2[GameDate], "&lt;=" &amp; $A192, Table2[AwayTeam], P$1)+SUMIFS(Table2[NewPointsHome],Table2[GameDate], "&lt;=" &amp; $A192, Table2[HomeTeam], P$1)</f>
        <v>12</v>
      </c>
      <c r="Q192" s="145">
        <f>SUMIFS(Table2[NewPointsAway],Table2[GameDate], "&lt;=" &amp; $A192, Table2[AwayTeam], Q$1)+SUMIFS(Table2[NewPointsHome],Table2[GameDate], "&lt;=" &amp; $A192, Table2[HomeTeam], Q$1)</f>
        <v>12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6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5</v>
      </c>
      <c r="V192" s="145">
        <f>SUMIFS(Table2[NewPointsAway],Table2[GameDate], "&lt;=" &amp; $A192, Table2[AwayTeam], V$1)+SUMIFS(Table2[NewPointsHome],Table2[GameDate], "&lt;=" &amp; $A192, Table2[HomeTeam], V$1)</f>
        <v>7</v>
      </c>
      <c r="W192" s="145">
        <f>SUMIFS(Table2[NewPointsAway],Table2[GameDate], "&lt;=" &amp; $A192, Table2[AwayTeam], W$1)+SUMIFS(Table2[NewPointsHome],Table2[GameDate], "&lt;=" &amp; $A192, Table2[HomeTeam], W$1)</f>
        <v>10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10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12</v>
      </c>
      <c r="AF192" s="145">
        <f>SUMIFS(Table2[NewPointsAway],Table2[GameDate], "&lt;=" &amp; $A192, Table2[AwayTeam], AF$1)+SUMIFS(Table2[NewPointsHome],Table2[GameDate], "&lt;=" &amp; $A192, Table2[HomeTeam], AF$1)</f>
        <v>10</v>
      </c>
      <c r="AG192" s="145">
        <f>SUMIFS(Table2[NewPointsAway],Table2[GameDate], "&lt;=" &amp; $A192, Table2[AwayTeam], AG$1)+SUMIFS(Table2[NewPointsHome],Table2[GameDate], "&lt;=" &amp; $A192, Table2[HomeTeam], AG$1)</f>
        <v>10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7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6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6</v>
      </c>
      <c r="G193" s="145">
        <f>SUMIFS(Table2[NewPointsAway],Table2[GameDate], "&lt;=" &amp; $A193, Table2[AwayTeam], G$1)+SUMIFS(Table2[NewPointsHome],Table2[GameDate], "&lt;=" &amp; $A193, Table2[HomeTeam], G$1)</f>
        <v>3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12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7</v>
      </c>
      <c r="M193" s="145">
        <f>SUMIFS(Table2[NewPointsAway],Table2[GameDate], "&lt;=" &amp; $A193, Table2[AwayTeam], M$1)+SUMIFS(Table2[NewPointsHome],Table2[GameDate], "&lt;=" &amp; $A193, Table2[HomeTeam], M$1)</f>
        <v>8</v>
      </c>
      <c r="N193" s="145">
        <f>SUMIFS(Table2[NewPointsAway],Table2[GameDate], "&lt;=" &amp; $A193, Table2[AwayTeam], N$1)+SUMIFS(Table2[NewPointsHome],Table2[GameDate], "&lt;=" &amp; $A193, Table2[HomeTeam], N$1)</f>
        <v>6</v>
      </c>
      <c r="O193" s="145">
        <f>SUMIFS(Table2[NewPointsAway],Table2[GameDate], "&lt;=" &amp; $A193, Table2[AwayTeam], O$1)+SUMIFS(Table2[NewPointsHome],Table2[GameDate], "&lt;=" &amp; $A193, Table2[HomeTeam], O$1)</f>
        <v>7</v>
      </c>
      <c r="P193" s="145">
        <f>SUMIFS(Table2[NewPointsAway],Table2[GameDate], "&lt;=" &amp; $A193, Table2[AwayTeam], P$1)+SUMIFS(Table2[NewPointsHome],Table2[GameDate], "&lt;=" &amp; $A193, Table2[HomeTeam], P$1)</f>
        <v>12</v>
      </c>
      <c r="Q193" s="145">
        <f>SUMIFS(Table2[NewPointsAway],Table2[GameDate], "&lt;=" &amp; $A193, Table2[AwayTeam], Q$1)+SUMIFS(Table2[NewPointsHome],Table2[GameDate], "&lt;=" &amp; $A193, Table2[HomeTeam], Q$1)</f>
        <v>12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6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5</v>
      </c>
      <c r="V193" s="145">
        <f>SUMIFS(Table2[NewPointsAway],Table2[GameDate], "&lt;=" &amp; $A193, Table2[AwayTeam], V$1)+SUMIFS(Table2[NewPointsHome],Table2[GameDate], "&lt;=" &amp; $A193, Table2[HomeTeam], V$1)</f>
        <v>7</v>
      </c>
      <c r="W193" s="145">
        <f>SUMIFS(Table2[NewPointsAway],Table2[GameDate], "&lt;=" &amp; $A193, Table2[AwayTeam], W$1)+SUMIFS(Table2[NewPointsHome],Table2[GameDate], "&lt;=" &amp; $A193, Table2[HomeTeam], W$1)</f>
        <v>10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10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12</v>
      </c>
      <c r="AF193" s="145">
        <f>SUMIFS(Table2[NewPointsAway],Table2[GameDate], "&lt;=" &amp; $A193, Table2[AwayTeam], AF$1)+SUMIFS(Table2[NewPointsHome],Table2[GameDate], "&lt;=" &amp; $A193, Table2[HomeTeam], AF$1)</f>
        <v>10</v>
      </c>
      <c r="AG193" s="145">
        <f>SUMIFS(Table2[NewPointsAway],Table2[GameDate], "&lt;=" &amp; $A193, Table2[AwayTeam], AG$1)+SUMIFS(Table2[NewPointsHome],Table2[GameDate], "&lt;=" &amp; $A193, Table2[HomeTeam], AG$1)</f>
        <v>10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7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6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6</v>
      </c>
      <c r="G194" s="145">
        <f>SUMIFS(Table2[NewPointsAway],Table2[GameDate], "&lt;=" &amp; $A194, Table2[AwayTeam], G$1)+SUMIFS(Table2[NewPointsHome],Table2[GameDate], "&lt;=" &amp; $A194, Table2[HomeTeam], G$1)</f>
        <v>3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12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7</v>
      </c>
      <c r="M194" s="145">
        <f>SUMIFS(Table2[NewPointsAway],Table2[GameDate], "&lt;=" &amp; $A194, Table2[AwayTeam], M$1)+SUMIFS(Table2[NewPointsHome],Table2[GameDate], "&lt;=" &amp; $A194, Table2[HomeTeam], M$1)</f>
        <v>8</v>
      </c>
      <c r="N194" s="145">
        <f>SUMIFS(Table2[NewPointsAway],Table2[GameDate], "&lt;=" &amp; $A194, Table2[AwayTeam], N$1)+SUMIFS(Table2[NewPointsHome],Table2[GameDate], "&lt;=" &amp; $A194, Table2[HomeTeam], N$1)</f>
        <v>6</v>
      </c>
      <c r="O194" s="145">
        <f>SUMIFS(Table2[NewPointsAway],Table2[GameDate], "&lt;=" &amp; $A194, Table2[AwayTeam], O$1)+SUMIFS(Table2[NewPointsHome],Table2[GameDate], "&lt;=" &amp; $A194, Table2[HomeTeam], O$1)</f>
        <v>7</v>
      </c>
      <c r="P194" s="145">
        <f>SUMIFS(Table2[NewPointsAway],Table2[GameDate], "&lt;=" &amp; $A194, Table2[AwayTeam], P$1)+SUMIFS(Table2[NewPointsHome],Table2[GameDate], "&lt;=" &amp; $A194, Table2[HomeTeam], P$1)</f>
        <v>12</v>
      </c>
      <c r="Q194" s="145">
        <f>SUMIFS(Table2[NewPointsAway],Table2[GameDate], "&lt;=" &amp; $A194, Table2[AwayTeam], Q$1)+SUMIFS(Table2[NewPointsHome],Table2[GameDate], "&lt;=" &amp; $A194, Table2[HomeTeam], Q$1)</f>
        <v>12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6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5</v>
      </c>
      <c r="V194" s="145">
        <f>SUMIFS(Table2[NewPointsAway],Table2[GameDate], "&lt;=" &amp; $A194, Table2[AwayTeam], V$1)+SUMIFS(Table2[NewPointsHome],Table2[GameDate], "&lt;=" &amp; $A194, Table2[HomeTeam], V$1)</f>
        <v>7</v>
      </c>
      <c r="W194" s="145">
        <f>SUMIFS(Table2[NewPointsAway],Table2[GameDate], "&lt;=" &amp; $A194, Table2[AwayTeam], W$1)+SUMIFS(Table2[NewPointsHome],Table2[GameDate], "&lt;=" &amp; $A194, Table2[HomeTeam], W$1)</f>
        <v>10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10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12</v>
      </c>
      <c r="AF194" s="145">
        <f>SUMIFS(Table2[NewPointsAway],Table2[GameDate], "&lt;=" &amp; $A194, Table2[AwayTeam], AF$1)+SUMIFS(Table2[NewPointsHome],Table2[GameDate], "&lt;=" &amp; $A194, Table2[HomeTeam], AF$1)</f>
        <v>10</v>
      </c>
      <c r="AG194" s="145">
        <f>SUMIFS(Table2[NewPointsAway],Table2[GameDate], "&lt;=" &amp; $A194, Table2[AwayTeam], AG$1)+SUMIFS(Table2[NewPointsHome],Table2[GameDate], "&lt;=" &amp; $A194, Table2[HomeTeam], AG$1)</f>
        <v>10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7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6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6</v>
      </c>
      <c r="G195" s="145">
        <f>SUMIFS(Table2[NewPointsAway],Table2[GameDate], "&lt;=" &amp; $A195, Table2[AwayTeam], G$1)+SUMIFS(Table2[NewPointsHome],Table2[GameDate], "&lt;=" &amp; $A195, Table2[HomeTeam], G$1)</f>
        <v>3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12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7</v>
      </c>
      <c r="M195" s="145">
        <f>SUMIFS(Table2[NewPointsAway],Table2[GameDate], "&lt;=" &amp; $A195, Table2[AwayTeam], M$1)+SUMIFS(Table2[NewPointsHome],Table2[GameDate], "&lt;=" &amp; $A195, Table2[HomeTeam], M$1)</f>
        <v>8</v>
      </c>
      <c r="N195" s="145">
        <f>SUMIFS(Table2[NewPointsAway],Table2[GameDate], "&lt;=" &amp; $A195, Table2[AwayTeam], N$1)+SUMIFS(Table2[NewPointsHome],Table2[GameDate], "&lt;=" &amp; $A195, Table2[HomeTeam], N$1)</f>
        <v>6</v>
      </c>
      <c r="O195" s="145">
        <f>SUMIFS(Table2[NewPointsAway],Table2[GameDate], "&lt;=" &amp; $A195, Table2[AwayTeam], O$1)+SUMIFS(Table2[NewPointsHome],Table2[GameDate], "&lt;=" &amp; $A195, Table2[HomeTeam], O$1)</f>
        <v>7</v>
      </c>
      <c r="P195" s="145">
        <f>SUMIFS(Table2[NewPointsAway],Table2[GameDate], "&lt;=" &amp; $A195, Table2[AwayTeam], P$1)+SUMIFS(Table2[NewPointsHome],Table2[GameDate], "&lt;=" &amp; $A195, Table2[HomeTeam], P$1)</f>
        <v>12</v>
      </c>
      <c r="Q195" s="145">
        <f>SUMIFS(Table2[NewPointsAway],Table2[GameDate], "&lt;=" &amp; $A195, Table2[AwayTeam], Q$1)+SUMIFS(Table2[NewPointsHome],Table2[GameDate], "&lt;=" &amp; $A195, Table2[HomeTeam], Q$1)</f>
        <v>12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6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5</v>
      </c>
      <c r="V195" s="145">
        <f>SUMIFS(Table2[NewPointsAway],Table2[GameDate], "&lt;=" &amp; $A195, Table2[AwayTeam], V$1)+SUMIFS(Table2[NewPointsHome],Table2[GameDate], "&lt;=" &amp; $A195, Table2[HomeTeam], V$1)</f>
        <v>7</v>
      </c>
      <c r="W195" s="145">
        <f>SUMIFS(Table2[NewPointsAway],Table2[GameDate], "&lt;=" &amp; $A195, Table2[AwayTeam], W$1)+SUMIFS(Table2[NewPointsHome],Table2[GameDate], "&lt;=" &amp; $A195, Table2[HomeTeam], W$1)</f>
        <v>10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10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12</v>
      </c>
      <c r="AF195" s="145">
        <f>SUMIFS(Table2[NewPointsAway],Table2[GameDate], "&lt;=" &amp; $A195, Table2[AwayTeam], AF$1)+SUMIFS(Table2[NewPointsHome],Table2[GameDate], "&lt;=" &amp; $A195, Table2[HomeTeam], AF$1)</f>
        <v>10</v>
      </c>
      <c r="AG195" s="145">
        <f>SUMIFS(Table2[NewPointsAway],Table2[GameDate], "&lt;=" &amp; $A195, Table2[AwayTeam], AG$1)+SUMIFS(Table2[NewPointsHome],Table2[GameDate], "&lt;=" &amp; $A195, Table2[HomeTeam], AG$1)</f>
        <v>10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7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6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6</v>
      </c>
      <c r="G196" s="145">
        <f>SUMIFS(Table2[NewPointsAway],Table2[GameDate], "&lt;=" &amp; $A196, Table2[AwayTeam], G$1)+SUMIFS(Table2[NewPointsHome],Table2[GameDate], "&lt;=" &amp; $A196, Table2[HomeTeam], G$1)</f>
        <v>3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12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7</v>
      </c>
      <c r="M196" s="145">
        <f>SUMIFS(Table2[NewPointsAway],Table2[GameDate], "&lt;=" &amp; $A196, Table2[AwayTeam], M$1)+SUMIFS(Table2[NewPointsHome],Table2[GameDate], "&lt;=" &amp; $A196, Table2[HomeTeam], M$1)</f>
        <v>8</v>
      </c>
      <c r="N196" s="145">
        <f>SUMIFS(Table2[NewPointsAway],Table2[GameDate], "&lt;=" &amp; $A196, Table2[AwayTeam], N$1)+SUMIFS(Table2[NewPointsHome],Table2[GameDate], "&lt;=" &amp; $A196, Table2[HomeTeam], N$1)</f>
        <v>6</v>
      </c>
      <c r="O196" s="145">
        <f>SUMIFS(Table2[NewPointsAway],Table2[GameDate], "&lt;=" &amp; $A196, Table2[AwayTeam], O$1)+SUMIFS(Table2[NewPointsHome],Table2[GameDate], "&lt;=" &amp; $A196, Table2[HomeTeam], O$1)</f>
        <v>7</v>
      </c>
      <c r="P196" s="145">
        <f>SUMIFS(Table2[NewPointsAway],Table2[GameDate], "&lt;=" &amp; $A196, Table2[AwayTeam], P$1)+SUMIFS(Table2[NewPointsHome],Table2[GameDate], "&lt;=" &amp; $A196, Table2[HomeTeam], P$1)</f>
        <v>12</v>
      </c>
      <c r="Q196" s="145">
        <f>SUMIFS(Table2[NewPointsAway],Table2[GameDate], "&lt;=" &amp; $A196, Table2[AwayTeam], Q$1)+SUMIFS(Table2[NewPointsHome],Table2[GameDate], "&lt;=" &amp; $A196, Table2[HomeTeam], Q$1)</f>
        <v>12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6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5</v>
      </c>
      <c r="V196" s="145">
        <f>SUMIFS(Table2[NewPointsAway],Table2[GameDate], "&lt;=" &amp; $A196, Table2[AwayTeam], V$1)+SUMIFS(Table2[NewPointsHome],Table2[GameDate], "&lt;=" &amp; $A196, Table2[HomeTeam], V$1)</f>
        <v>7</v>
      </c>
      <c r="W196" s="145">
        <f>SUMIFS(Table2[NewPointsAway],Table2[GameDate], "&lt;=" &amp; $A196, Table2[AwayTeam], W$1)+SUMIFS(Table2[NewPointsHome],Table2[GameDate], "&lt;=" &amp; $A196, Table2[HomeTeam], W$1)</f>
        <v>10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10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12</v>
      </c>
      <c r="AF196" s="145">
        <f>SUMIFS(Table2[NewPointsAway],Table2[GameDate], "&lt;=" &amp; $A196, Table2[AwayTeam], AF$1)+SUMIFS(Table2[NewPointsHome],Table2[GameDate], "&lt;=" &amp; $A196, Table2[HomeTeam], AF$1)</f>
        <v>10</v>
      </c>
      <c r="AG196" s="145">
        <f>SUMIFS(Table2[NewPointsAway],Table2[GameDate], "&lt;=" &amp; $A196, Table2[AwayTeam], AG$1)+SUMIFS(Table2[NewPointsHome],Table2[GameDate], "&lt;=" &amp; $A196, Table2[HomeTeam], AG$1)</f>
        <v>10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7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6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6</v>
      </c>
      <c r="G197" s="145">
        <f>SUMIFS(Table2[NewPointsAway],Table2[GameDate], "&lt;=" &amp; $A197, Table2[AwayTeam], G$1)+SUMIFS(Table2[NewPointsHome],Table2[GameDate], "&lt;=" &amp; $A197, Table2[HomeTeam], G$1)</f>
        <v>3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12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7</v>
      </c>
      <c r="M197" s="145">
        <f>SUMIFS(Table2[NewPointsAway],Table2[GameDate], "&lt;=" &amp; $A197, Table2[AwayTeam], M$1)+SUMIFS(Table2[NewPointsHome],Table2[GameDate], "&lt;=" &amp; $A197, Table2[HomeTeam], M$1)</f>
        <v>8</v>
      </c>
      <c r="N197" s="145">
        <f>SUMIFS(Table2[NewPointsAway],Table2[GameDate], "&lt;=" &amp; $A197, Table2[AwayTeam], N$1)+SUMIFS(Table2[NewPointsHome],Table2[GameDate], "&lt;=" &amp; $A197, Table2[HomeTeam], N$1)</f>
        <v>6</v>
      </c>
      <c r="O197" s="145">
        <f>SUMIFS(Table2[NewPointsAway],Table2[GameDate], "&lt;=" &amp; $A197, Table2[AwayTeam], O$1)+SUMIFS(Table2[NewPointsHome],Table2[GameDate], "&lt;=" &amp; $A197, Table2[HomeTeam], O$1)</f>
        <v>7</v>
      </c>
      <c r="P197" s="145">
        <f>SUMIFS(Table2[NewPointsAway],Table2[GameDate], "&lt;=" &amp; $A197, Table2[AwayTeam], P$1)+SUMIFS(Table2[NewPointsHome],Table2[GameDate], "&lt;=" &amp; $A197, Table2[HomeTeam], P$1)</f>
        <v>12</v>
      </c>
      <c r="Q197" s="145">
        <f>SUMIFS(Table2[NewPointsAway],Table2[GameDate], "&lt;=" &amp; $A197, Table2[AwayTeam], Q$1)+SUMIFS(Table2[NewPointsHome],Table2[GameDate], "&lt;=" &amp; $A197, Table2[HomeTeam], Q$1)</f>
        <v>12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6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5</v>
      </c>
      <c r="V197" s="145">
        <f>SUMIFS(Table2[NewPointsAway],Table2[GameDate], "&lt;=" &amp; $A197, Table2[AwayTeam], V$1)+SUMIFS(Table2[NewPointsHome],Table2[GameDate], "&lt;=" &amp; $A197, Table2[HomeTeam], V$1)</f>
        <v>7</v>
      </c>
      <c r="W197" s="145">
        <f>SUMIFS(Table2[NewPointsAway],Table2[GameDate], "&lt;=" &amp; $A197, Table2[AwayTeam], W$1)+SUMIFS(Table2[NewPointsHome],Table2[GameDate], "&lt;=" &amp; $A197, Table2[HomeTeam], W$1)</f>
        <v>10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10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12</v>
      </c>
      <c r="AF197" s="145">
        <f>SUMIFS(Table2[NewPointsAway],Table2[GameDate], "&lt;=" &amp; $A197, Table2[AwayTeam], AF$1)+SUMIFS(Table2[NewPointsHome],Table2[GameDate], "&lt;=" &amp; $A197, Table2[HomeTeam], AF$1)</f>
        <v>10</v>
      </c>
      <c r="AG197" s="145">
        <f>SUMIFS(Table2[NewPointsAway],Table2[GameDate], "&lt;=" &amp; $A197, Table2[AwayTeam], AG$1)+SUMIFS(Table2[NewPointsHome],Table2[GameDate], "&lt;=" &amp; $A197, Table2[HomeTeam], AG$1)</f>
        <v>10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7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6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6</v>
      </c>
      <c r="G198" s="145">
        <f>SUMIFS(Table2[NewPointsAway],Table2[GameDate], "&lt;=" &amp; $A198, Table2[AwayTeam], G$1)+SUMIFS(Table2[NewPointsHome],Table2[GameDate], "&lt;=" &amp; $A198, Table2[HomeTeam], G$1)</f>
        <v>3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12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7</v>
      </c>
      <c r="M198" s="145">
        <f>SUMIFS(Table2[NewPointsAway],Table2[GameDate], "&lt;=" &amp; $A198, Table2[AwayTeam], M$1)+SUMIFS(Table2[NewPointsHome],Table2[GameDate], "&lt;=" &amp; $A198, Table2[HomeTeam], M$1)</f>
        <v>8</v>
      </c>
      <c r="N198" s="145">
        <f>SUMIFS(Table2[NewPointsAway],Table2[GameDate], "&lt;=" &amp; $A198, Table2[AwayTeam], N$1)+SUMIFS(Table2[NewPointsHome],Table2[GameDate], "&lt;=" &amp; $A198, Table2[HomeTeam], N$1)</f>
        <v>6</v>
      </c>
      <c r="O198" s="145">
        <f>SUMIFS(Table2[NewPointsAway],Table2[GameDate], "&lt;=" &amp; $A198, Table2[AwayTeam], O$1)+SUMIFS(Table2[NewPointsHome],Table2[GameDate], "&lt;=" &amp; $A198, Table2[HomeTeam], O$1)</f>
        <v>7</v>
      </c>
      <c r="P198" s="145">
        <f>SUMIFS(Table2[NewPointsAway],Table2[GameDate], "&lt;=" &amp; $A198, Table2[AwayTeam], P$1)+SUMIFS(Table2[NewPointsHome],Table2[GameDate], "&lt;=" &amp; $A198, Table2[HomeTeam], P$1)</f>
        <v>12</v>
      </c>
      <c r="Q198" s="145">
        <f>SUMIFS(Table2[NewPointsAway],Table2[GameDate], "&lt;=" &amp; $A198, Table2[AwayTeam], Q$1)+SUMIFS(Table2[NewPointsHome],Table2[GameDate], "&lt;=" &amp; $A198, Table2[HomeTeam], Q$1)</f>
        <v>12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6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5</v>
      </c>
      <c r="V198" s="145">
        <f>SUMIFS(Table2[NewPointsAway],Table2[GameDate], "&lt;=" &amp; $A198, Table2[AwayTeam], V$1)+SUMIFS(Table2[NewPointsHome],Table2[GameDate], "&lt;=" &amp; $A198, Table2[HomeTeam], V$1)</f>
        <v>7</v>
      </c>
      <c r="W198" s="145">
        <f>SUMIFS(Table2[NewPointsAway],Table2[GameDate], "&lt;=" &amp; $A198, Table2[AwayTeam], W$1)+SUMIFS(Table2[NewPointsHome],Table2[GameDate], "&lt;=" &amp; $A198, Table2[HomeTeam], W$1)</f>
        <v>10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10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12</v>
      </c>
      <c r="AF198" s="145">
        <f>SUMIFS(Table2[NewPointsAway],Table2[GameDate], "&lt;=" &amp; $A198, Table2[AwayTeam], AF$1)+SUMIFS(Table2[NewPointsHome],Table2[GameDate], "&lt;=" &amp; $A198, Table2[HomeTeam], AF$1)</f>
        <v>10</v>
      </c>
      <c r="AG198" s="145">
        <f>SUMIFS(Table2[NewPointsAway],Table2[GameDate], "&lt;=" &amp; $A198, Table2[AwayTeam], AG$1)+SUMIFS(Table2[NewPointsHome],Table2[GameDate], "&lt;=" &amp; $A198, Table2[HomeTeam], AG$1)</f>
        <v>10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7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6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6</v>
      </c>
      <c r="G199" s="145">
        <f>SUMIFS(Table2[NewPointsAway],Table2[GameDate], "&lt;=" &amp; $A199, Table2[AwayTeam], G$1)+SUMIFS(Table2[NewPointsHome],Table2[GameDate], "&lt;=" &amp; $A199, Table2[HomeTeam], G$1)</f>
        <v>3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12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7</v>
      </c>
      <c r="M199" s="145">
        <f>SUMIFS(Table2[NewPointsAway],Table2[GameDate], "&lt;=" &amp; $A199, Table2[AwayTeam], M$1)+SUMIFS(Table2[NewPointsHome],Table2[GameDate], "&lt;=" &amp; $A199, Table2[HomeTeam], M$1)</f>
        <v>8</v>
      </c>
      <c r="N199" s="145">
        <f>SUMIFS(Table2[NewPointsAway],Table2[GameDate], "&lt;=" &amp; $A199, Table2[AwayTeam], N$1)+SUMIFS(Table2[NewPointsHome],Table2[GameDate], "&lt;=" &amp; $A199, Table2[HomeTeam], N$1)</f>
        <v>6</v>
      </c>
      <c r="O199" s="145">
        <f>SUMIFS(Table2[NewPointsAway],Table2[GameDate], "&lt;=" &amp; $A199, Table2[AwayTeam], O$1)+SUMIFS(Table2[NewPointsHome],Table2[GameDate], "&lt;=" &amp; $A199, Table2[HomeTeam], O$1)</f>
        <v>7</v>
      </c>
      <c r="P199" s="145">
        <f>SUMIFS(Table2[NewPointsAway],Table2[GameDate], "&lt;=" &amp; $A199, Table2[AwayTeam], P$1)+SUMIFS(Table2[NewPointsHome],Table2[GameDate], "&lt;=" &amp; $A199, Table2[HomeTeam], P$1)</f>
        <v>12</v>
      </c>
      <c r="Q199" s="145">
        <f>SUMIFS(Table2[NewPointsAway],Table2[GameDate], "&lt;=" &amp; $A199, Table2[AwayTeam], Q$1)+SUMIFS(Table2[NewPointsHome],Table2[GameDate], "&lt;=" &amp; $A199, Table2[HomeTeam], Q$1)</f>
        <v>12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6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5</v>
      </c>
      <c r="V199" s="145">
        <f>SUMIFS(Table2[NewPointsAway],Table2[GameDate], "&lt;=" &amp; $A199, Table2[AwayTeam], V$1)+SUMIFS(Table2[NewPointsHome],Table2[GameDate], "&lt;=" &amp; $A199, Table2[HomeTeam], V$1)</f>
        <v>7</v>
      </c>
      <c r="W199" s="145">
        <f>SUMIFS(Table2[NewPointsAway],Table2[GameDate], "&lt;=" &amp; $A199, Table2[AwayTeam], W$1)+SUMIFS(Table2[NewPointsHome],Table2[GameDate], "&lt;=" &amp; $A199, Table2[HomeTeam], W$1)</f>
        <v>10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10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12</v>
      </c>
      <c r="AF199" s="145">
        <f>SUMIFS(Table2[NewPointsAway],Table2[GameDate], "&lt;=" &amp; $A199, Table2[AwayTeam], AF$1)+SUMIFS(Table2[NewPointsHome],Table2[GameDate], "&lt;=" &amp; $A199, Table2[HomeTeam], AF$1)</f>
        <v>10</v>
      </c>
      <c r="AG199" s="145">
        <f>SUMIFS(Table2[NewPointsAway],Table2[GameDate], "&lt;=" &amp; $A199, Table2[AwayTeam], AG$1)+SUMIFS(Table2[NewPointsHome],Table2[GameDate], "&lt;=" &amp; $A199, Table2[HomeTeam], AG$1)</f>
        <v>10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7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6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6</v>
      </c>
      <c r="G200" s="145">
        <f>SUMIFS(Table2[NewPointsAway],Table2[GameDate], "&lt;=" &amp; $A200, Table2[AwayTeam], G$1)+SUMIFS(Table2[NewPointsHome],Table2[GameDate], "&lt;=" &amp; $A200, Table2[HomeTeam], G$1)</f>
        <v>3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12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7</v>
      </c>
      <c r="M200" s="145">
        <f>SUMIFS(Table2[NewPointsAway],Table2[GameDate], "&lt;=" &amp; $A200, Table2[AwayTeam], M$1)+SUMIFS(Table2[NewPointsHome],Table2[GameDate], "&lt;=" &amp; $A200, Table2[HomeTeam], M$1)</f>
        <v>8</v>
      </c>
      <c r="N200" s="145">
        <f>SUMIFS(Table2[NewPointsAway],Table2[GameDate], "&lt;=" &amp; $A200, Table2[AwayTeam], N$1)+SUMIFS(Table2[NewPointsHome],Table2[GameDate], "&lt;=" &amp; $A200, Table2[HomeTeam], N$1)</f>
        <v>6</v>
      </c>
      <c r="O200" s="145">
        <f>SUMIFS(Table2[NewPointsAway],Table2[GameDate], "&lt;=" &amp; $A200, Table2[AwayTeam], O$1)+SUMIFS(Table2[NewPointsHome],Table2[GameDate], "&lt;=" &amp; $A200, Table2[HomeTeam], O$1)</f>
        <v>7</v>
      </c>
      <c r="P200" s="145">
        <f>SUMIFS(Table2[NewPointsAway],Table2[GameDate], "&lt;=" &amp; $A200, Table2[AwayTeam], P$1)+SUMIFS(Table2[NewPointsHome],Table2[GameDate], "&lt;=" &amp; $A200, Table2[HomeTeam], P$1)</f>
        <v>12</v>
      </c>
      <c r="Q200" s="145">
        <f>SUMIFS(Table2[NewPointsAway],Table2[GameDate], "&lt;=" &amp; $A200, Table2[AwayTeam], Q$1)+SUMIFS(Table2[NewPointsHome],Table2[GameDate], "&lt;=" &amp; $A200, Table2[HomeTeam], Q$1)</f>
        <v>12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6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5</v>
      </c>
      <c r="V200" s="145">
        <f>SUMIFS(Table2[NewPointsAway],Table2[GameDate], "&lt;=" &amp; $A200, Table2[AwayTeam], V$1)+SUMIFS(Table2[NewPointsHome],Table2[GameDate], "&lt;=" &amp; $A200, Table2[HomeTeam], V$1)</f>
        <v>7</v>
      </c>
      <c r="W200" s="145">
        <f>SUMIFS(Table2[NewPointsAway],Table2[GameDate], "&lt;=" &amp; $A200, Table2[AwayTeam], W$1)+SUMIFS(Table2[NewPointsHome],Table2[GameDate], "&lt;=" &amp; $A200, Table2[HomeTeam], W$1)</f>
        <v>10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10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12</v>
      </c>
      <c r="AF200" s="145">
        <f>SUMIFS(Table2[NewPointsAway],Table2[GameDate], "&lt;=" &amp; $A200, Table2[AwayTeam], AF$1)+SUMIFS(Table2[NewPointsHome],Table2[GameDate], "&lt;=" &amp; $A200, Table2[HomeTeam], AF$1)</f>
        <v>10</v>
      </c>
      <c r="AG200" s="145">
        <f>SUMIFS(Table2[NewPointsAway],Table2[GameDate], "&lt;=" &amp; $A200, Table2[AwayTeam], AG$1)+SUMIFS(Table2[NewPointsHome],Table2[GameDate], "&lt;=" &amp; $A200, Table2[HomeTeam], AG$1)</f>
        <v>10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7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6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6</v>
      </c>
      <c r="G201" s="145">
        <f>SUMIFS(Table2[NewPointsAway],Table2[GameDate], "&lt;=" &amp; $A201, Table2[AwayTeam], G$1)+SUMIFS(Table2[NewPointsHome],Table2[GameDate], "&lt;=" &amp; $A201, Table2[HomeTeam], G$1)</f>
        <v>3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12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7</v>
      </c>
      <c r="M201" s="145">
        <f>SUMIFS(Table2[NewPointsAway],Table2[GameDate], "&lt;=" &amp; $A201, Table2[AwayTeam], M$1)+SUMIFS(Table2[NewPointsHome],Table2[GameDate], "&lt;=" &amp; $A201, Table2[HomeTeam], M$1)</f>
        <v>8</v>
      </c>
      <c r="N201" s="145">
        <f>SUMIFS(Table2[NewPointsAway],Table2[GameDate], "&lt;=" &amp; $A201, Table2[AwayTeam], N$1)+SUMIFS(Table2[NewPointsHome],Table2[GameDate], "&lt;=" &amp; $A201, Table2[HomeTeam], N$1)</f>
        <v>6</v>
      </c>
      <c r="O201" s="145">
        <f>SUMIFS(Table2[NewPointsAway],Table2[GameDate], "&lt;=" &amp; $A201, Table2[AwayTeam], O$1)+SUMIFS(Table2[NewPointsHome],Table2[GameDate], "&lt;=" &amp; $A201, Table2[HomeTeam], O$1)</f>
        <v>7</v>
      </c>
      <c r="P201" s="145">
        <f>SUMIFS(Table2[NewPointsAway],Table2[GameDate], "&lt;=" &amp; $A201, Table2[AwayTeam], P$1)+SUMIFS(Table2[NewPointsHome],Table2[GameDate], "&lt;=" &amp; $A201, Table2[HomeTeam], P$1)</f>
        <v>12</v>
      </c>
      <c r="Q201" s="145">
        <f>SUMIFS(Table2[NewPointsAway],Table2[GameDate], "&lt;=" &amp; $A201, Table2[AwayTeam], Q$1)+SUMIFS(Table2[NewPointsHome],Table2[GameDate], "&lt;=" &amp; $A201, Table2[HomeTeam], Q$1)</f>
        <v>12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6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5</v>
      </c>
      <c r="V201" s="145">
        <f>SUMIFS(Table2[NewPointsAway],Table2[GameDate], "&lt;=" &amp; $A201, Table2[AwayTeam], V$1)+SUMIFS(Table2[NewPointsHome],Table2[GameDate], "&lt;=" &amp; $A201, Table2[HomeTeam], V$1)</f>
        <v>7</v>
      </c>
      <c r="W201" s="145">
        <f>SUMIFS(Table2[NewPointsAway],Table2[GameDate], "&lt;=" &amp; $A201, Table2[AwayTeam], W$1)+SUMIFS(Table2[NewPointsHome],Table2[GameDate], "&lt;=" &amp; $A201, Table2[HomeTeam], W$1)</f>
        <v>10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10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12</v>
      </c>
      <c r="AF201" s="145">
        <f>SUMIFS(Table2[NewPointsAway],Table2[GameDate], "&lt;=" &amp; $A201, Table2[AwayTeam], AF$1)+SUMIFS(Table2[NewPointsHome],Table2[GameDate], "&lt;=" &amp; $A201, Table2[HomeTeam], AF$1)</f>
        <v>10</v>
      </c>
      <c r="AG201" s="145">
        <f>SUMIFS(Table2[NewPointsAway],Table2[GameDate], "&lt;=" &amp; $A201, Table2[AwayTeam], AG$1)+SUMIFS(Table2[NewPointsHome],Table2[GameDate], "&lt;=" &amp; $A201, Table2[HomeTeam], AG$1)</f>
        <v>10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Y3" sqref="Y3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12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12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12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12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12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12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12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12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12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12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12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12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12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12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12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12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12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12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12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12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12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12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12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12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12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12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12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12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12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12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12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12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12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12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12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12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12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12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12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12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12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12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12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12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12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12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12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12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12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12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12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12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12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12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12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12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12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12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12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12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12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12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12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12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12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12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12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12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12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12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12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12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12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12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12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12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12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12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12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12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12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12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12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12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12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12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12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12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12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12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12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12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12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12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12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12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12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12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12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12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12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12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12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12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12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12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12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12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12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12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12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12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12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12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12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12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12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12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12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12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12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12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12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12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12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12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12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12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12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12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12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12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12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12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12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12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12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12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12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12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12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12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12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12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12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12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12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12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12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12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12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12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12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12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12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12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12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12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12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12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12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12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12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12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12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12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12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12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12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12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12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12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12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12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12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12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12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12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4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6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6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6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8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8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8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8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8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8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8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8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8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8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8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8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8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8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8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8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8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8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8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8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8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8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8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8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8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8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8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8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8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8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8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8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8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8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8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8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8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8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8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8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8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8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8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8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8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8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8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8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8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8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8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8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8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8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8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8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8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8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8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8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8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8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8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8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8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8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8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8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8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8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8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8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8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8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8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8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8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8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8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8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8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8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8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8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8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8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8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8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8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8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8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8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8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8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8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8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8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8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8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8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8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8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8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8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8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8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8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8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8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8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8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8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8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8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8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8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8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8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8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8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8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8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8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8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8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8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8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8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8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8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8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8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8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8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8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8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8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8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8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8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8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8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8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8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8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8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8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8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8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8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8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8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8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8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8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8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8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8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8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8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8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8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8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8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8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8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8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8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8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8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8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8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8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8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8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8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8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8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8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8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8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8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7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7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7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7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7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7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7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7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7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7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7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7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7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7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7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7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7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7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7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7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7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7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7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7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7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7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7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7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7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7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7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7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7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7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7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7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7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7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7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7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7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7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7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7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7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7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7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7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7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7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7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7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7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7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7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7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7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7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7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7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7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7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7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7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7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7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7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7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7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7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7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7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7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7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7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7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7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7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7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7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7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7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7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7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7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7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7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7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7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7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7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7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7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7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7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7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7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7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7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7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7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7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7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7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7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7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7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7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7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7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7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7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7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7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7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7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7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7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7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7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7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7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7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7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7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7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7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7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7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7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7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7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7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7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7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7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7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7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7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7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7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7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7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7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7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7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7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7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7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7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7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7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7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7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7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7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7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7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7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7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7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7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7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7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7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7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7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7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7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7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7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7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7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7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7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7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7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7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6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6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6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6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6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6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6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6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6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6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6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6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6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6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6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6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6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6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6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6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6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6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6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6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6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6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6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6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6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6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6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6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6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6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6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6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6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6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6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6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6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6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6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6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6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6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6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6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6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6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6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6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6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6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6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6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6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6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6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6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6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6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6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6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6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6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6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6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6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6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6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6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6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6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6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6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6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6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6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6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6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6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6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6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6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6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6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6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6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6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6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6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6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6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6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6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6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6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6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6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6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6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6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6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6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6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6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6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6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6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6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6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6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6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6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6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6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6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6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6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6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6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6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6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6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6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6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6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6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6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6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6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6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6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6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6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6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6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6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6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6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6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6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6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6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6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6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6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6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6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6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6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6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6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6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6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6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6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6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6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6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6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6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6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6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6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6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6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6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6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6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6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6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6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6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6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6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6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6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4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5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5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5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5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5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5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5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5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5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5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5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5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5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5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5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5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5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5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5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5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5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5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5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5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5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5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5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5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5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5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5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5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5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5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5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5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5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5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5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5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5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5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5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5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5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5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5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5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5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5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5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5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5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5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5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5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5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5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5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5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5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5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5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5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5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5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5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5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5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5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5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5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5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5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5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5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5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5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5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5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5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5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5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5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5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5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5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5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5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5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5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5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5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5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5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5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5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5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5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5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5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5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5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5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5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5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5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5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5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5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5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5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5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5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5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5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5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5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5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5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5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5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5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5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5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5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5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5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5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5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5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5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5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5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5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5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5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5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5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5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5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5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5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5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5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5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5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5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5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5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5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5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5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5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5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5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5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5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5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5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5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5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5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5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5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5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5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5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5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5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5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5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5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5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5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5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5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5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5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5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5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5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12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12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12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12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12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12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12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12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12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12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12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12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12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12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12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12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12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12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12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12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12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12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12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12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12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12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12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12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12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12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12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12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12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12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12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12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12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12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12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12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12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12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12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12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12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12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12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12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12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12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12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12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12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12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12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12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12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12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12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12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12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12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12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12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12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12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12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12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12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12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12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12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12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12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12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12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12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12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12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12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12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12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12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12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12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12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12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12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12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12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12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12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12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12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12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12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12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12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12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12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12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12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12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12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12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12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12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12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12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12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12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12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12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12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12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12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12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12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12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12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12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12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12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12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12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12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12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12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12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12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12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12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12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12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12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12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12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12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12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12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12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12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12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12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12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12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12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12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12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12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12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12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12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12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12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12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12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12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12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12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12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12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12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12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12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12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12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12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12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12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12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12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12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12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12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12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12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12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12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8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10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10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10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10</v>
      </c>
    </row>
    <row r="12" spans="1:275" x14ac:dyDescent="0.25">
      <c r="A12" t="s">
        <v>43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10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7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7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7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7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7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7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7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7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7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7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7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7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7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7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7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7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7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7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7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7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7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7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7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7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7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7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7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7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7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7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7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7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7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7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7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7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7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7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7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7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7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7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7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7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7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7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7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7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7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7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7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7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7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7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7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7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7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7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7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7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7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7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7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7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7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7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7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7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7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7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7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7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7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7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7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7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7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7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7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7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7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7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7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7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7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7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7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7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7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7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7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7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7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7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7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7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7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7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7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7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7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7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7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7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7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7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7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7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7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7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7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7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7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7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7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7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7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7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7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7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7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7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7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7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7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7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7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7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7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7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7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7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7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7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7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7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7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7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7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7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7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7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7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7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7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7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7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7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7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7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7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7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7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7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7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7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7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7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7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7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7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7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7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7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7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7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7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7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7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7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7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7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7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7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7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7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7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7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6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6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6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6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6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6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6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6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6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6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6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6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6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6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6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6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6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6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6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6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6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6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6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6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6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6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6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6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6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6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6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6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6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6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6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6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6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6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6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6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6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6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6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6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6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6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6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6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6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6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6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6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6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6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6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6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6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6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6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6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6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6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6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6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6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6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6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6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6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6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6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6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6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6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6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6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6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6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6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6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6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6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6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6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6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6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6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6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6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6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6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6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6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6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6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6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6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6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6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6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6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6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6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6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6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6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6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6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6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6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6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6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6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6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6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6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6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6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6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6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6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6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6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6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6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6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6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6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6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6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6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6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6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6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6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6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6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6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6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6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6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6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6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6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6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6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6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6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6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6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6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6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6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6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6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6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6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6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6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6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6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6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6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6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6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6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6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6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6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6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6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6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6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6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6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6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6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6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6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6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6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6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6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6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6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6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6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6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6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6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6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6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6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6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6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6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6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6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6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6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6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6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6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6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6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6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6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6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6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6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6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6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6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6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6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6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6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6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6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6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6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6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6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6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6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6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6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6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6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6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6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6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6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6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6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6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6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6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6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6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6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6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6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6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6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6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6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6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6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6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6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6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6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6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6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6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6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6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6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6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6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6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6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6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6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6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6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6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6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6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6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6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6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6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6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6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6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6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6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6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6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6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6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6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6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6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6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6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6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6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6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6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6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6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6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6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6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6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6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6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6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6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6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6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6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6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6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6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6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6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6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6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6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6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6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6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6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6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6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6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6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6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6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6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6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6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6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6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6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6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6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6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6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6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6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6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6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6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6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6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6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6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6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6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6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6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6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6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6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6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6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6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6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6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6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6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6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6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6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6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12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12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12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12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12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12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12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12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12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12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12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12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12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12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12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12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12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12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12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12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12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12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12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12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12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12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12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12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12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12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12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12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12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12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12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12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12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12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12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12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12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12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12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12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12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12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12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12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12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12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12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12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12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12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12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12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12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12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12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12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12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12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12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12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12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12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12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12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12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12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12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12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12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12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12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12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12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12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12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12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12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12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12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12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12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12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12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12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12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12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12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12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12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12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12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12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12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12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12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12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12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12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12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12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12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12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12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12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12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12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12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12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12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12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12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12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12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12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12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12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12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12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12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12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12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12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12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12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12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12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12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12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12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12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12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12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12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12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12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12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12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12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12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12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12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12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12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12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12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12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12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12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12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12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12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12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12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12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12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12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12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12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12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12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12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12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12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12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12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12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12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12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12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12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12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12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12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12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12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12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10</v>
      </c>
    </row>
    <row r="20" spans="1:203" x14ac:dyDescent="0.25">
      <c r="A20" t="s">
        <v>14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2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2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4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10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10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10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10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10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10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10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10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10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10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10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10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10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10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10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10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10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10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10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10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10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10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10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10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10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10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10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10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10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10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10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10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10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10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10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10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10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10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10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10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10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10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10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10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10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10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10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10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10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10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10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10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10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10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10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10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10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10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10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10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10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10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10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10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10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10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10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10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10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10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10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10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10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10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10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10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10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10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10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10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10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10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10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10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10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10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10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10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10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10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10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10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10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10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10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10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10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10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10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10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10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10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10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10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10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10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10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10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10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10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10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10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10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10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10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10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10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10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10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10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10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10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10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10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10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10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10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10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10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10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10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10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10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10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10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10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10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10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10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10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10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10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10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10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10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10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10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10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10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10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10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10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10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10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10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10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10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10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10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10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10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10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10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10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10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10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10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10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10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10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10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10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10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10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10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10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10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10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10</v>
      </c>
    </row>
    <row r="21" spans="1:203" x14ac:dyDescent="0.25">
      <c r="A21" t="s">
        <v>16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1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1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1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1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3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3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5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5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5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5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7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7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7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7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7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7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7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7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7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7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7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7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7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7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7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7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7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7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7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7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7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7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7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7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7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7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7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7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7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7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7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7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7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7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7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7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7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7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7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7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7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7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7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7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7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7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7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7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7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7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7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7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7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7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7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7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7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7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7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7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7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7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7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7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7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7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7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7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7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7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7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7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7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7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7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7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7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7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7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7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7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7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7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7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7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7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7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7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7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7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7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7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7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7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7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7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7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7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7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7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7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7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7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7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7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7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7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7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7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7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7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7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7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7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7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7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7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7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7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7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7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7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7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7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7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7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7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7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7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7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7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7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7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7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7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7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7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7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7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7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7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7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7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7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7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7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7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7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7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7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7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7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7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7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7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7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7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7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7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7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7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7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7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7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7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7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7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7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7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7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7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7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7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7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7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7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7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7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7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7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7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7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7</v>
      </c>
    </row>
    <row r="23" spans="1:203" x14ac:dyDescent="0.25">
      <c r="A23" t="s">
        <v>12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7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7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7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7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7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7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7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7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7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7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7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7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7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7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7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7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7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7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7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7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7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7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7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7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7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7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7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7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7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7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7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7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7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7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7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7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7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7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7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7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7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7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7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7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7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7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7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7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7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7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7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7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7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7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7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7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7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7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7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7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7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7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7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7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7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7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7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7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7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7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7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7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7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7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7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7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7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7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7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7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7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7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7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7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7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7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7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7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7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7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7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7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7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7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7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7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7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7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7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7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7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7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7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7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7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7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7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7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7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7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7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7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7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7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7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7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7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7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7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7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7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7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7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7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7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7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7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7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7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7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7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7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7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7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7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7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7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7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7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7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7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7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7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7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7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7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7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7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7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7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7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7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7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7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7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7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7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7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7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7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7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7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7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7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7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7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7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7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7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7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7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7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7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7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7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7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7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7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7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7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7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7</v>
      </c>
    </row>
    <row r="24" spans="1:203" x14ac:dyDescent="0.25">
      <c r="A24" t="s">
        <v>33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4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4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6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6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6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6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34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2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2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3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3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5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5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5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6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6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6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6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6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6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6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6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6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6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6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6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6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6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6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6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6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6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6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6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6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6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6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6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6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6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6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6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6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6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6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6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6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6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6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6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6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6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6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6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6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6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6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6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6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6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6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6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6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6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6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6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6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6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6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6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6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6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6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6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6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6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6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6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6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6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6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6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6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6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6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6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6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6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6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6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6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6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6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6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6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6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6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6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6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6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6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6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6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6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6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6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6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6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6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6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6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6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6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6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6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6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6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6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6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6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6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6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6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6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6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6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6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6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6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6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6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6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6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6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6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6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6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6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6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6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6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6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6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6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6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6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6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6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6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6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6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6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6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6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6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6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6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6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6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6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6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6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6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6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6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6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6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6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6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6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6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6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6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6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6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6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6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6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6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6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6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6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6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6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6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6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6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6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6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6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6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6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6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6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6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6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6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6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12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12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12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12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12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12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12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12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12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12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12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12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12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12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12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12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12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12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12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12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12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12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12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12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12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12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12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12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12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12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12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12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12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12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12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12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12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12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12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12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12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12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12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12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12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12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12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12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12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12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12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12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12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12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12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12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12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12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12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12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12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12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12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12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12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12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12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12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12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12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12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12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12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12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12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12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12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12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12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12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12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12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12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12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12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12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12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12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12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12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12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12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12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12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12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12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12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12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12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12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12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12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12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12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12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12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12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12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12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12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12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12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12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12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12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12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12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12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12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12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12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12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12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12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12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12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12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12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12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12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12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12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12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12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12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12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12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12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12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12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12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12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12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12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12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12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12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12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12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12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12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12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12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12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12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12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12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12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12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12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12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12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12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12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12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12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12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12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12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12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12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12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12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12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12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12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12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7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7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7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7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7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7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7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7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7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7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7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7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7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7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7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7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7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7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7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7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7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7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7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7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7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7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7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7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7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7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7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7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7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7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7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7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7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7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7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7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7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7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7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7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7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7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7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7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7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7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7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7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7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7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7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7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7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7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7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7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7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7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7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7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7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7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7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7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7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7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7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7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7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7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7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7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7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7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7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7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7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7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7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7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7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7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7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7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7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7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7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7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7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7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7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7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7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7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7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7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7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7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7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7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7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7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7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7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7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7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7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7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7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7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7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7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7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7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7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7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7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7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7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7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7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7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7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7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7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7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7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7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7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7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7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7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7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7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7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7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7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7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7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7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7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7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7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7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7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7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7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7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7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7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7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7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7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7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7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7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7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7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7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7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7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7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7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7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7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7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7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7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7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7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7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7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7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7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7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7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7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7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7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7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7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7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7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7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7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7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7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7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7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7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7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7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7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7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7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7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7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7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7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7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7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7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7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7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7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7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7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7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7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7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7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7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7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7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7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7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7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7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7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7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7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7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7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7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7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7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7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7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7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7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7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7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7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7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7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7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7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7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7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7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7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7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7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7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7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7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7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7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7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7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7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7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7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7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7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7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7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7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7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7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7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7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7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7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7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7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7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7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7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7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7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7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7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7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7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7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7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7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7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7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7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7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7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7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7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7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7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7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7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7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7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7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7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7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7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7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7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7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7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7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7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7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7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7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7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7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7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7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7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7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7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7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7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7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7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7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7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7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7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7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7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7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7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7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7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7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7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7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7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7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7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7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7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7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7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7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7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7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7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7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7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7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7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7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7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7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7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7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7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7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7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7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7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7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7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7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6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6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6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6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6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6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6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6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6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6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6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6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6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6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6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6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6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6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6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6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6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6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6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6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6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6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6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6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6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6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6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6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6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6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6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6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6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6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6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6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6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6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6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6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6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6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6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6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6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6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6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6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6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6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6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6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6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6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6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6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6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6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6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6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6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6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6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6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6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6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6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6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6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6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6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6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6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6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6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6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6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6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6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6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6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6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6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6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6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6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6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6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6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6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6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6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6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6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6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6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6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6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6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6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6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6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6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6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6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6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6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6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6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6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6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6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6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6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6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6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6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6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6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6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6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6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6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6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6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6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6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6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6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6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6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6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6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6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6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6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6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6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6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6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6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6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6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6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6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6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6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6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6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6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6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6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6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6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6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6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6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6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6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6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6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6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6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6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6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6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6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6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6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6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6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6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6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6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6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6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6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6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3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3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3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3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3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3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3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3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3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3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3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3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3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3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3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3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3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3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3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3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3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3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3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3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3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3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3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3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3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3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3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3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3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3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3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3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3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3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3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3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3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3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3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3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3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3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3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3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3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3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3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3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3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3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3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3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3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3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3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3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3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3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3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3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3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3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3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3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3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3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3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3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3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3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3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3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3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3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3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3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3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3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3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3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3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3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3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3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3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3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3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3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3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3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3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3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3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3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3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3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3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3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3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3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3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3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3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3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3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3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3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3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3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3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3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3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3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3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3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3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3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3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3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3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3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3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3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3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3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3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3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3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3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3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3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3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3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3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3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3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3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3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3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3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3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3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3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3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3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3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3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3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3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3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3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3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3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3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3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3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3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3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3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3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3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3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3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3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3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3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3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3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3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3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3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3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3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3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3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3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3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7.65625</v>
      </c>
      <c r="Y34">
        <f>SUBTOTAL(101,Table4[2025-10-24])</f>
        <v>7.65625</v>
      </c>
      <c r="Z34">
        <f>SUBTOTAL(101,Table4[2025-10-25])</f>
        <v>7.65625</v>
      </c>
      <c r="AA34">
        <f>SUBTOTAL(101,Table4[2025-10-26])</f>
        <v>7.65625</v>
      </c>
      <c r="AB34">
        <f>SUBTOTAL(101,Table4[2025-10-27])</f>
        <v>7.65625</v>
      </c>
      <c r="AC34">
        <f>SUBTOTAL(101,Table4[2025-10-28])</f>
        <v>7.65625</v>
      </c>
      <c r="AD34">
        <f>SUBTOTAL(101,Table4[2025-10-29])</f>
        <v>7.65625</v>
      </c>
      <c r="AE34">
        <f>SUBTOTAL(101,Table4[2025-10-30])</f>
        <v>7.65625</v>
      </c>
      <c r="AF34">
        <f>SUBTOTAL(101,Table4[2025-10-31])</f>
        <v>7.65625</v>
      </c>
      <c r="AG34">
        <f>SUBTOTAL(101,Table4[2025-11-01])</f>
        <v>7.65625</v>
      </c>
      <c r="AH34">
        <f>SUBTOTAL(101,Table4[2025-11-02])</f>
        <v>7.65625</v>
      </c>
      <c r="AI34">
        <f>SUBTOTAL(101,Table4[2025-11-03])</f>
        <v>7.65625</v>
      </c>
      <c r="AJ34">
        <f>SUBTOTAL(101,Table4[2025-11-04])</f>
        <v>7.65625</v>
      </c>
      <c r="AK34">
        <f>SUBTOTAL(101,Table4[2025-11-05])</f>
        <v>7.65625</v>
      </c>
      <c r="AL34">
        <f>SUBTOTAL(101,Table4[2025-11-06])</f>
        <v>7.65625</v>
      </c>
      <c r="AM34">
        <f>SUBTOTAL(101,Table4[2025-11-07])</f>
        <v>7.65625</v>
      </c>
      <c r="AN34">
        <f>SUBTOTAL(101,Table4[2025-11-08])</f>
        <v>7.65625</v>
      </c>
      <c r="AO34">
        <f>SUBTOTAL(101,Table4[2025-11-09])</f>
        <v>7.65625</v>
      </c>
      <c r="AP34">
        <f>SUBTOTAL(101,Table4[2025-11-10])</f>
        <v>7.65625</v>
      </c>
      <c r="AQ34">
        <f>SUBTOTAL(101,Table4[2025-11-11])</f>
        <v>7.65625</v>
      </c>
      <c r="AR34">
        <f>SUBTOTAL(101,Table4[2025-11-12])</f>
        <v>7.65625</v>
      </c>
      <c r="AS34">
        <f>SUBTOTAL(101,Table4[2025-11-13])</f>
        <v>7.65625</v>
      </c>
      <c r="AT34">
        <f>SUBTOTAL(101,Table4[2025-11-14])</f>
        <v>7.65625</v>
      </c>
      <c r="AU34">
        <f>SUBTOTAL(101,Table4[2025-11-15])</f>
        <v>7.65625</v>
      </c>
      <c r="AV34">
        <f>SUBTOTAL(101,Table4[2025-11-16])</f>
        <v>7.65625</v>
      </c>
      <c r="AW34">
        <f>SUBTOTAL(101,Table4[2025-11-17])</f>
        <v>7.65625</v>
      </c>
      <c r="AX34">
        <f>SUBTOTAL(101,Table4[2025-11-18])</f>
        <v>7.65625</v>
      </c>
      <c r="AY34">
        <f>SUBTOTAL(101,Table4[2025-11-19])</f>
        <v>7.65625</v>
      </c>
      <c r="AZ34">
        <f>SUBTOTAL(101,Table4[2025-11-20])</f>
        <v>7.65625</v>
      </c>
      <c r="BA34">
        <f>SUBTOTAL(101,Table4[2025-11-21])</f>
        <v>7.65625</v>
      </c>
      <c r="BB34">
        <f>SUBTOTAL(101,Table4[2025-11-22])</f>
        <v>7.65625</v>
      </c>
      <c r="BC34">
        <f>SUBTOTAL(101,Table4[2025-11-23])</f>
        <v>7.65625</v>
      </c>
      <c r="BD34">
        <f>SUBTOTAL(101,Table4[2025-11-24])</f>
        <v>7.65625</v>
      </c>
      <c r="BE34">
        <f>SUBTOTAL(101,Table4[2025-11-25])</f>
        <v>7.65625</v>
      </c>
      <c r="BF34">
        <f>SUBTOTAL(101,Table4[2025-11-26])</f>
        <v>7.65625</v>
      </c>
      <c r="BG34">
        <f>SUBTOTAL(101,Table4[2025-11-27])</f>
        <v>7.65625</v>
      </c>
      <c r="BH34">
        <f>SUBTOTAL(101,Table4[2025-11-28])</f>
        <v>7.65625</v>
      </c>
      <c r="BI34">
        <f>SUBTOTAL(101,Table4[2025-11-29])</f>
        <v>7.65625</v>
      </c>
      <c r="BJ34">
        <f>SUBTOTAL(101,Table4[2025-11-30])</f>
        <v>7.65625</v>
      </c>
      <c r="BK34">
        <f>SUBTOTAL(101,Table4[2025-12-01])</f>
        <v>7.65625</v>
      </c>
      <c r="BL34">
        <f>SUBTOTAL(101,Table4[2025-12-02])</f>
        <v>7.65625</v>
      </c>
      <c r="BM34">
        <f>SUBTOTAL(101,Table4[2025-12-03])</f>
        <v>7.65625</v>
      </c>
      <c r="BN34">
        <f>SUBTOTAL(101,Table4[2025-12-04])</f>
        <v>7.65625</v>
      </c>
      <c r="BO34">
        <f>SUBTOTAL(101,Table4[2025-12-05])</f>
        <v>7.65625</v>
      </c>
      <c r="BP34">
        <f>SUBTOTAL(101,Table4[2025-12-06])</f>
        <v>7.65625</v>
      </c>
      <c r="BQ34">
        <f>SUBTOTAL(101,Table4[2025-12-07])</f>
        <v>7.65625</v>
      </c>
      <c r="BR34">
        <f>SUBTOTAL(101,Table4[2025-12-08])</f>
        <v>7.65625</v>
      </c>
      <c r="BS34">
        <f>SUBTOTAL(101,Table4[2025-12-09])</f>
        <v>7.65625</v>
      </c>
      <c r="BT34">
        <f>SUBTOTAL(101,Table4[2025-12-10])</f>
        <v>7.65625</v>
      </c>
      <c r="BU34">
        <f>SUBTOTAL(101,Table4[2025-12-11])</f>
        <v>7.65625</v>
      </c>
      <c r="BV34">
        <f>SUBTOTAL(101,Table4[2025-12-12])</f>
        <v>7.65625</v>
      </c>
      <c r="BW34">
        <f>SUBTOTAL(101,Table4[2025-12-13])</f>
        <v>7.65625</v>
      </c>
      <c r="BX34">
        <f>SUBTOTAL(101,Table4[2025-12-14])</f>
        <v>7.65625</v>
      </c>
      <c r="BY34">
        <f>SUBTOTAL(101,Table4[2025-12-15])</f>
        <v>7.65625</v>
      </c>
      <c r="BZ34">
        <f>SUBTOTAL(101,Table4[2025-12-16])</f>
        <v>7.65625</v>
      </c>
      <c r="CA34">
        <f>SUBTOTAL(101,Table4[2025-12-17])</f>
        <v>7.65625</v>
      </c>
      <c r="CB34">
        <f>SUBTOTAL(101,Table4[2025-12-18])</f>
        <v>7.65625</v>
      </c>
      <c r="CC34">
        <f>SUBTOTAL(101,Table4[2025-12-19])</f>
        <v>7.65625</v>
      </c>
      <c r="CD34">
        <f>SUBTOTAL(101,Table4[2025-12-20])</f>
        <v>7.65625</v>
      </c>
      <c r="CE34">
        <f>SUBTOTAL(101,Table4[2025-12-21])</f>
        <v>7.65625</v>
      </c>
      <c r="CF34">
        <f>SUBTOTAL(101,Table4[2025-12-22])</f>
        <v>7.65625</v>
      </c>
      <c r="CG34">
        <f>SUBTOTAL(101,Table4[2025-12-23])</f>
        <v>7.65625</v>
      </c>
      <c r="CH34">
        <f>SUBTOTAL(101,Table4[2025-12-24])</f>
        <v>7.65625</v>
      </c>
      <c r="CI34">
        <f>SUBTOTAL(101,Table4[2025-12-25])</f>
        <v>7.65625</v>
      </c>
      <c r="CJ34">
        <f>SUBTOTAL(101,Table4[2025-12-26])</f>
        <v>7.65625</v>
      </c>
      <c r="CK34">
        <f>SUBTOTAL(101,Table4[2025-12-27])</f>
        <v>7.65625</v>
      </c>
      <c r="CL34">
        <f>SUBTOTAL(101,Table4[2025-12-28])</f>
        <v>7.65625</v>
      </c>
      <c r="CM34">
        <f>SUBTOTAL(101,Table4[2025-12-29])</f>
        <v>7.65625</v>
      </c>
      <c r="CN34">
        <f>SUBTOTAL(101,Table4[2025-12-30])</f>
        <v>7.65625</v>
      </c>
      <c r="CO34">
        <f>SUBTOTAL(101,Table4[2025-12-31])</f>
        <v>7.65625</v>
      </c>
      <c r="CP34">
        <f>SUBTOTAL(101,Table4[2026-01-01])</f>
        <v>7.65625</v>
      </c>
      <c r="CQ34">
        <f>SUBTOTAL(101,Table4[2026-01-02])</f>
        <v>7.65625</v>
      </c>
      <c r="CR34">
        <f>SUBTOTAL(101,Table4[2026-01-03])</f>
        <v>7.65625</v>
      </c>
      <c r="CS34">
        <f>SUBTOTAL(101,Table4[2026-01-04])</f>
        <v>7.65625</v>
      </c>
      <c r="CT34">
        <f>SUBTOTAL(101,Table4[2026-01-05])</f>
        <v>7.65625</v>
      </c>
      <c r="CU34">
        <f>SUBTOTAL(101,Table4[2026-01-06])</f>
        <v>7.65625</v>
      </c>
      <c r="CV34">
        <f>SUBTOTAL(101,Table4[2026-01-07])</f>
        <v>7.65625</v>
      </c>
      <c r="CW34">
        <f>SUBTOTAL(101,Table4[2026-01-08])</f>
        <v>7.65625</v>
      </c>
      <c r="CX34">
        <f>SUBTOTAL(101,Table4[2026-01-09])</f>
        <v>7.65625</v>
      </c>
      <c r="CY34">
        <f>SUBTOTAL(101,Table4[2026-01-10])</f>
        <v>7.65625</v>
      </c>
      <c r="CZ34">
        <f>SUBTOTAL(101,Table4[2026-01-11])</f>
        <v>7.65625</v>
      </c>
      <c r="DA34">
        <f>SUBTOTAL(101,Table4[2026-01-12])</f>
        <v>7.65625</v>
      </c>
      <c r="DB34">
        <f>SUBTOTAL(101,Table4[2026-01-13])</f>
        <v>7.65625</v>
      </c>
      <c r="DC34">
        <f>SUBTOTAL(101,Table4[2026-01-14])</f>
        <v>7.65625</v>
      </c>
      <c r="DD34">
        <f>SUBTOTAL(101,Table4[2026-01-15])</f>
        <v>7.65625</v>
      </c>
      <c r="DE34">
        <f>SUBTOTAL(101,Table4[2026-01-16])</f>
        <v>7.65625</v>
      </c>
      <c r="DF34">
        <f>SUBTOTAL(101,Table4[2026-01-17])</f>
        <v>7.65625</v>
      </c>
      <c r="DG34">
        <f>SUBTOTAL(101,Table4[2026-01-18])</f>
        <v>7.65625</v>
      </c>
      <c r="DH34">
        <f>SUBTOTAL(101,Table4[2026-01-19])</f>
        <v>7.65625</v>
      </c>
      <c r="DI34">
        <f>SUBTOTAL(101,Table4[2026-01-20])</f>
        <v>7.65625</v>
      </c>
      <c r="DJ34">
        <f>SUBTOTAL(101,Table4[2026-01-21])</f>
        <v>7.65625</v>
      </c>
      <c r="DK34">
        <f>SUBTOTAL(101,Table4[2026-01-22])</f>
        <v>7.65625</v>
      </c>
      <c r="DL34">
        <f>SUBTOTAL(101,Table4[2026-01-23])</f>
        <v>7.65625</v>
      </c>
      <c r="DM34">
        <f>SUBTOTAL(101,Table4[2026-01-24])</f>
        <v>7.65625</v>
      </c>
      <c r="DN34">
        <f>SUBTOTAL(101,Table4[2026-01-25])</f>
        <v>7.65625</v>
      </c>
      <c r="DO34">
        <f>SUBTOTAL(101,Table4[2026-01-26])</f>
        <v>7.65625</v>
      </c>
      <c r="DP34">
        <f>SUBTOTAL(101,Table4[2026-01-27])</f>
        <v>7.65625</v>
      </c>
      <c r="DQ34">
        <f>SUBTOTAL(101,Table4[2026-01-28])</f>
        <v>7.65625</v>
      </c>
      <c r="DR34">
        <f>SUBTOTAL(101,Table4[2026-01-29])</f>
        <v>7.65625</v>
      </c>
      <c r="DS34">
        <f>SUBTOTAL(101,Table4[2026-01-30])</f>
        <v>7.65625</v>
      </c>
      <c r="DT34">
        <f>SUBTOTAL(101,Table4[2026-01-31])</f>
        <v>7.65625</v>
      </c>
      <c r="DU34">
        <f>SUBTOTAL(101,Table4[2026-02-01])</f>
        <v>7.65625</v>
      </c>
      <c r="DV34">
        <f>SUBTOTAL(101,Table4[2026-02-02])</f>
        <v>7.65625</v>
      </c>
      <c r="DW34">
        <f>SUBTOTAL(101,Table4[2026-02-03])</f>
        <v>7.65625</v>
      </c>
      <c r="DX34">
        <f>SUBTOTAL(101,Table4[2026-02-04])</f>
        <v>7.65625</v>
      </c>
      <c r="DY34">
        <f>SUBTOTAL(101,Table4[2026-02-05])</f>
        <v>7.65625</v>
      </c>
      <c r="DZ34">
        <f>SUBTOTAL(101,Table4[2026-02-06])</f>
        <v>7.65625</v>
      </c>
      <c r="EA34">
        <f>SUBTOTAL(101,Table4[2026-02-07])</f>
        <v>7.65625</v>
      </c>
      <c r="EB34">
        <f>SUBTOTAL(101,Table4[2026-02-08])</f>
        <v>7.65625</v>
      </c>
      <c r="EC34">
        <f>SUBTOTAL(101,Table4[2026-02-09])</f>
        <v>7.65625</v>
      </c>
      <c r="ED34">
        <f>SUBTOTAL(101,Table4[2026-02-10])</f>
        <v>7.65625</v>
      </c>
      <c r="EE34">
        <f>SUBTOTAL(101,Table4[2026-02-11])</f>
        <v>7.65625</v>
      </c>
      <c r="EF34">
        <f>SUBTOTAL(101,Table4[2026-02-12])</f>
        <v>7.65625</v>
      </c>
      <c r="EG34">
        <f>SUBTOTAL(101,Table4[2026-02-13])</f>
        <v>7.65625</v>
      </c>
      <c r="EH34">
        <f>SUBTOTAL(101,Table4[2026-02-14])</f>
        <v>7.65625</v>
      </c>
      <c r="EI34">
        <f>SUBTOTAL(101,Table4[2026-02-15])</f>
        <v>7.65625</v>
      </c>
      <c r="EJ34">
        <f>SUBTOTAL(101,Table4[2026-02-16])</f>
        <v>7.65625</v>
      </c>
      <c r="EK34">
        <f>SUBTOTAL(101,Table4[2026-02-17])</f>
        <v>7.65625</v>
      </c>
      <c r="EL34">
        <f>SUBTOTAL(101,Table4[2026-02-18])</f>
        <v>7.65625</v>
      </c>
      <c r="EM34">
        <f>SUBTOTAL(101,Table4[2026-02-19])</f>
        <v>7.65625</v>
      </c>
      <c r="EN34">
        <f>SUBTOTAL(101,Table4[2026-02-20])</f>
        <v>7.65625</v>
      </c>
      <c r="EO34">
        <f>SUBTOTAL(101,Table4[2026-02-21])</f>
        <v>7.65625</v>
      </c>
      <c r="EP34">
        <f>SUBTOTAL(101,Table4[2026-02-22])</f>
        <v>7.65625</v>
      </c>
      <c r="EQ34">
        <f>SUBTOTAL(101,Table4[2026-02-23])</f>
        <v>7.65625</v>
      </c>
      <c r="ER34">
        <f>SUBTOTAL(101,Table4[2026-02-24])</f>
        <v>7.65625</v>
      </c>
      <c r="ES34">
        <f>SUBTOTAL(101,Table4[2026-02-25])</f>
        <v>7.65625</v>
      </c>
      <c r="ET34">
        <f>SUBTOTAL(101,Table4[2026-02-26])</f>
        <v>7.65625</v>
      </c>
      <c r="EU34">
        <f>SUBTOTAL(101,Table4[2026-02-27])</f>
        <v>7.65625</v>
      </c>
      <c r="EV34">
        <f>SUBTOTAL(101,Table4[2026-02-28])</f>
        <v>7.65625</v>
      </c>
      <c r="EW34">
        <f>SUBTOTAL(101,Table4[2026-03-01])</f>
        <v>7.65625</v>
      </c>
      <c r="EX34">
        <f>SUBTOTAL(101,Table4[2026-03-02])</f>
        <v>7.65625</v>
      </c>
      <c r="EY34">
        <f>SUBTOTAL(101,Table4[2026-03-03])</f>
        <v>7.65625</v>
      </c>
      <c r="EZ34">
        <f>SUBTOTAL(101,Table4[2026-03-04])</f>
        <v>7.65625</v>
      </c>
      <c r="FA34">
        <f>SUBTOTAL(101,Table4[2026-03-05])</f>
        <v>7.65625</v>
      </c>
      <c r="FB34">
        <f>SUBTOTAL(101,Table4[2026-03-06])</f>
        <v>7.65625</v>
      </c>
      <c r="FC34">
        <f>SUBTOTAL(101,Table4[2026-03-07])</f>
        <v>7.65625</v>
      </c>
      <c r="FD34">
        <f>SUBTOTAL(101,Table4[2026-03-08])</f>
        <v>7.65625</v>
      </c>
      <c r="FE34">
        <f>SUBTOTAL(101,Table4[2026-03-09])</f>
        <v>7.65625</v>
      </c>
      <c r="FF34">
        <f>SUBTOTAL(101,Table4[2026-03-10])</f>
        <v>7.65625</v>
      </c>
      <c r="FG34">
        <f>SUBTOTAL(101,Table4[2026-03-11])</f>
        <v>7.65625</v>
      </c>
      <c r="FH34">
        <f>SUBTOTAL(101,Table4[2026-03-12])</f>
        <v>7.65625</v>
      </c>
      <c r="FI34">
        <f>SUBTOTAL(101,Table4[2026-03-13])</f>
        <v>7.65625</v>
      </c>
      <c r="FJ34">
        <f>SUBTOTAL(101,Table4[2026-03-14])</f>
        <v>7.65625</v>
      </c>
      <c r="FK34">
        <f>SUBTOTAL(101,Table4[2026-03-15])</f>
        <v>7.65625</v>
      </c>
      <c r="FL34">
        <f>SUBTOTAL(101,Table4[2026-03-16])</f>
        <v>7.65625</v>
      </c>
      <c r="FM34">
        <f>SUBTOTAL(101,Table4[2026-03-17])</f>
        <v>7.65625</v>
      </c>
      <c r="FN34">
        <f>SUBTOTAL(101,Table4[2026-03-18])</f>
        <v>7.65625</v>
      </c>
      <c r="FO34">
        <f>SUBTOTAL(101,Table4[2026-03-19])</f>
        <v>7.65625</v>
      </c>
      <c r="FP34">
        <f>SUBTOTAL(101,Table4[2026-03-20])</f>
        <v>7.65625</v>
      </c>
      <c r="FQ34">
        <f>SUBTOTAL(101,Table4[2026-03-21])</f>
        <v>7.65625</v>
      </c>
      <c r="FR34">
        <f>SUBTOTAL(101,Table4[2026-03-22])</f>
        <v>7.65625</v>
      </c>
      <c r="FS34">
        <f>SUBTOTAL(101,Table4[2026-03-23])</f>
        <v>7.65625</v>
      </c>
      <c r="FT34">
        <f>SUBTOTAL(101,Table4[2026-03-24])</f>
        <v>7.65625</v>
      </c>
      <c r="FU34">
        <f>SUBTOTAL(101,Table4[2026-03-25])</f>
        <v>7.65625</v>
      </c>
      <c r="FV34">
        <f>SUBTOTAL(101,Table4[2026-03-26])</f>
        <v>7.65625</v>
      </c>
      <c r="FW34">
        <f>SUBTOTAL(101,Table4[2026-03-27])</f>
        <v>7.65625</v>
      </c>
      <c r="FX34">
        <f>SUBTOTAL(101,Table4[2026-03-28])</f>
        <v>7.65625</v>
      </c>
      <c r="FY34">
        <f>SUBTOTAL(101,Table4[2026-03-29])</f>
        <v>7.65625</v>
      </c>
      <c r="FZ34">
        <f>SUBTOTAL(101,Table4[2026-03-30])</f>
        <v>7.65625</v>
      </c>
      <c r="GA34">
        <f>SUBTOTAL(101,Table4[2026-03-31])</f>
        <v>7.65625</v>
      </c>
      <c r="GB34">
        <f>SUBTOTAL(101,Table4[2026-04-01])</f>
        <v>7.65625</v>
      </c>
      <c r="GC34">
        <f>SUBTOTAL(101,Table4[2026-04-02])</f>
        <v>7.65625</v>
      </c>
      <c r="GD34">
        <f>SUBTOTAL(101,Table4[2026-04-03])</f>
        <v>7.65625</v>
      </c>
      <c r="GE34">
        <f>SUBTOTAL(101,Table4[2026-04-04])</f>
        <v>7.65625</v>
      </c>
      <c r="GF34">
        <f>SUBTOTAL(101,Table4[2026-04-05])</f>
        <v>7.65625</v>
      </c>
      <c r="GG34">
        <f>SUBTOTAL(101,Table4[2026-04-06])</f>
        <v>7.65625</v>
      </c>
      <c r="GH34">
        <f>SUBTOTAL(101,Table4[2026-04-07])</f>
        <v>7.65625</v>
      </c>
      <c r="GI34">
        <f>SUBTOTAL(101,Table4[2026-04-08])</f>
        <v>7.65625</v>
      </c>
      <c r="GJ34">
        <f>SUBTOTAL(101,Table4[2026-04-09])</f>
        <v>7.65625</v>
      </c>
      <c r="GK34">
        <f>SUBTOTAL(101,Table4[2026-04-10])</f>
        <v>7.65625</v>
      </c>
      <c r="GL34">
        <f>SUBTOTAL(101,Table4[2026-04-11])</f>
        <v>7.65625</v>
      </c>
      <c r="GM34">
        <f>SUBTOTAL(101,Table4[2026-04-12])</f>
        <v>7.65625</v>
      </c>
      <c r="GN34">
        <f>SUBTOTAL(101,Table4[2026-04-13])</f>
        <v>7.65625</v>
      </c>
      <c r="GO34">
        <f>SUBTOTAL(101,Table4[2026-04-14])</f>
        <v>7.65625</v>
      </c>
      <c r="GP34">
        <f>SUBTOTAL(101,Table4[2026-04-15])</f>
        <v>7.65625</v>
      </c>
      <c r="GQ34">
        <f>SUBTOTAL(101,Table4[2026-04-16])</f>
        <v>7.65625</v>
      </c>
      <c r="GR34">
        <f>SUBTOTAL(101,Table4[2026-04-17])</f>
        <v>7.65625</v>
      </c>
      <c r="GS34">
        <f>SUBTOTAL(101,Table4[2026-04-18])</f>
        <v>7.65625</v>
      </c>
      <c r="GT34">
        <f>SUBTOTAL(101,Table4[2026-04-19])</f>
        <v>7.65625</v>
      </c>
      <c r="GU34">
        <f>SUBTOTAL(101,Table4[2026-04-20])</f>
        <v>7.65625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12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12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12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12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12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12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12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12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12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12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12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12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12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12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12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12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12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12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12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12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12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12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12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12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12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12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12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12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12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12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12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12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12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12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12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12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12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12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12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12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12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12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12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12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12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12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12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12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12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12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12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12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12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12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12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12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12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12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12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12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12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12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12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12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12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12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12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12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12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12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12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12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12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12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12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12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12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12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12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12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12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12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12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12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12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12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12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12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12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12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12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12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12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12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12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12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12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12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12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12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12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12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12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12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12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12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12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12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12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12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12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12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12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12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12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12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12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12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12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12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12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12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12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12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12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12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12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12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12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12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12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12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12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12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12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12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12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12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12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12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12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12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12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12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12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12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12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12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12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12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12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12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12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12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12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12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12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12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12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12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12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12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12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12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12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12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12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12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12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12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12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12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12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12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12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12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12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12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8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8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8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8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8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8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8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8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8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8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8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8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8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8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8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8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8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8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8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8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8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8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8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8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8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8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8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8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8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8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8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8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8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8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8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8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8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8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8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8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8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8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8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8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8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8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8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8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8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8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8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8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8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8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8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8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8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8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8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8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8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8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8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8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8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8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8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8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8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8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8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8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8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8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8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8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8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8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8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8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8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8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8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8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8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8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8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8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8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8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8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8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8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8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8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8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8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8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8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8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8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8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8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8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8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8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8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8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8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8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8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8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8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8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8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8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8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8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8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8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8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8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8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8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8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8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8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8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8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8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8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8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8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8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8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8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8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8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8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8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8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8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8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8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8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8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8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8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8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8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8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8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8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8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8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8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8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8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8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8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8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8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8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8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8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8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8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8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8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8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8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8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8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8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8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8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8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8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5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5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5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5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5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5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5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5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5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5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5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5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5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5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5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5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5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5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5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5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5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5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5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5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5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5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5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5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5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5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5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5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5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5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5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5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5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5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5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5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5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5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5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5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5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5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5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5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5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5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5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5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5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5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5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5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5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5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5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5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5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5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5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5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5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5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5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5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5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5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5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5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5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5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5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5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5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5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5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5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5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5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5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5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5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5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5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5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5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5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5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5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5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5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5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5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5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5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5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5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5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5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5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5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5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5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5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5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5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5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5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5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5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5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5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5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5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5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5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5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5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5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5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5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5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5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5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5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5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5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5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5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5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5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5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5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5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5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5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5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5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5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5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5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5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5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5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5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5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5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5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5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5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5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5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5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5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5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5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5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5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5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5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5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5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5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5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5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5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5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5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5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5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5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5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5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5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5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5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5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6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6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6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6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6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6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6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6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6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6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6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6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6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6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6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6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6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6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6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6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6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6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6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6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6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6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6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6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6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6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6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6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6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6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6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6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6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6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6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6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6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6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6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6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6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6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6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6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6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6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6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6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6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6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6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6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6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6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6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6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6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6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6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6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6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6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6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6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6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6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6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6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6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6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6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6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6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6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6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6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6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6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6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6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6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6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6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6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6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6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6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6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6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6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6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6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6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6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6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6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6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6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6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6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6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6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6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6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6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6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6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6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6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6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6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6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6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6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6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6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6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6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6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6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6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6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6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6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6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6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6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6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6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6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6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6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6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6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6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6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6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6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6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6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6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6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6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6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6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6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6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6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6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6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6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6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6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6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6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6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6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6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6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6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6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6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6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6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6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6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6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6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6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6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6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6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6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6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6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12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12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12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12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12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12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12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12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12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12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12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12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12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12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12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12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12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12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12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12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12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12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12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12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12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12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12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12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12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12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12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12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12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12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12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12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12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12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12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12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12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12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12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12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12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12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12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12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12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12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12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12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12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12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12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12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12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12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12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12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12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12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12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12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12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12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12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12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12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12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12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12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12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12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12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12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12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12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12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12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12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12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12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12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12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12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12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12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12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12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12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12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12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12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12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12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12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12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12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12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12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12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12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12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12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12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12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12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12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12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12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12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12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12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12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12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12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12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12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12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12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12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12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12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12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12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12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12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12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12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12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12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12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12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12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12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12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12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12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12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12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12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12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12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12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12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12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12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12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12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12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12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12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12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12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12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12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12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12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12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12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12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12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12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12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12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12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12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12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12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12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12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12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12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12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12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12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12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12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10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7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7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7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7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7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7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7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7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7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7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7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7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7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7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7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7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7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7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7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7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7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7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7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7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7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7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7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7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7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7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7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7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7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7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7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7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7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7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7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7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7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7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7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7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7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7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7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7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7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7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7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7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7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7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7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7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7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7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7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7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7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7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7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7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7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7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7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7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7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7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7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7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7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7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7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7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7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7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7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7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7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7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7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7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7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7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7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7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7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7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7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7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7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7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7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7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7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7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7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7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7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7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7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7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7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7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7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7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7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7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7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7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7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7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7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7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7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7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7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7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7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7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7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7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7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7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7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7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7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7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7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7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7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7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7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7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7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7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7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7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7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7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7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7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7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7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7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7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7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7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7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7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7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7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7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7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7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7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7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7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7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7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7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7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7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7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7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7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7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7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7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7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7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7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7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7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7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7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6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6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6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6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6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6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6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6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6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6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6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6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6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6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6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6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6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6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6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6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6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6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6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6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6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6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6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6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6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6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6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6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6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6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6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6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6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6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6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6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6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6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6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6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6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6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6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6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6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6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6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6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6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6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6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6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6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6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6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6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6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6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6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6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6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6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6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6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6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6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6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6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6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6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6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6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6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6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6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6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6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6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6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6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6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6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6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6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6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6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6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6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6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6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6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6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6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6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6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6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6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6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6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6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6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6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6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6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6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6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6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6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6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6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6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6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6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6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6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6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6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6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6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6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6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6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6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6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6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6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6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6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6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6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6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6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6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6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6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6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6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6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6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6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6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6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6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6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6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6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6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6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6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6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6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6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6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6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6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6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6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6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6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6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6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6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6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6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6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6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6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6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6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6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6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6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6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6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6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6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6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6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6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6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6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6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6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6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6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6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6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6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6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6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6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6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6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6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6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6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6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6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6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6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6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6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6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6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6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6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6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6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6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6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6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6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6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6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6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6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6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6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6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6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6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6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6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6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6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6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6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6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6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6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6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6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6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6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6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6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6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6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6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6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6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6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6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6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6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6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6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6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6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6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6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6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6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6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6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6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6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6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6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6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6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6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6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6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6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6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6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6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6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6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6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6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6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6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6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6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6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6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6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6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6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6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6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6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6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6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6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6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6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6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6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6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6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6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6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6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6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6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6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6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6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6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6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6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6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6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6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6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6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6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6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6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6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6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6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6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6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6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6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6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6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6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6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6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6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6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6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6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6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6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6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6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6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6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6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6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6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6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6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6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6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6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6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6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6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6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6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6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6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6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6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6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6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6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12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12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12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12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12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12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12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12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12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12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12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12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12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12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12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12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12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12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12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12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12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12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12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12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12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12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12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12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12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12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12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12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12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12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12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12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12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12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12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12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12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12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12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12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12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12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12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12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12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12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12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12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12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12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12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12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12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12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12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12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12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12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12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12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12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12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12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12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12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12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12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12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12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12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12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12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12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12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12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12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12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12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12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12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12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12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12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12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12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12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12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12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12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12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12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12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12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12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12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12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12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12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12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12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12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12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12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12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12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12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12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12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12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12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12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12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12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12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12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12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12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12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12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12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12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12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12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12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12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12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12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12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12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12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12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12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12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12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12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12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12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12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12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12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12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12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12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12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12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12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12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12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12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12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12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12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12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12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12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12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12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12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12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12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12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12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12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12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12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12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12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12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12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12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12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12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12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12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12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12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10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10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7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7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7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7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7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7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7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7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7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7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7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7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7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7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7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7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7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7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7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7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7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7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7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7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7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7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7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7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7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7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7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7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7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7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7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7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7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7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7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7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7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7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7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7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7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7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7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7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7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7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7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7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7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7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7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7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7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7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7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7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7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7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7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7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7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7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7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7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7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7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7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7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7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7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7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7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7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7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7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7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7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7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7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7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7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7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7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7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7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7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7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7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7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7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7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7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7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7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7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7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7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7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7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7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7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7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7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7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7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7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7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7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7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7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7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7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7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7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7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7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7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7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7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7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7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7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7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7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7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7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7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7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7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7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7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7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7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7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7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7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7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7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7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7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7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7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7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7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7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7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7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7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7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7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7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7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7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7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7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7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7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7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7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7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7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7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7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7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7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7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7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7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7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7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7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7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7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12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12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12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12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12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12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12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12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12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12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12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12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12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12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12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12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12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12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12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12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12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12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12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12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12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12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12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12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12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12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12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12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12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12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12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12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12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12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12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12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12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12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12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12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12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12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12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12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12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12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12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12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12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12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12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12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12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12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12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12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12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12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12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12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12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12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12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12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12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12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12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12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12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12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12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12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12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12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12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12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12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12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12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12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12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12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12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12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12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12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12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12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12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12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12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12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12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12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12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12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12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12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12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12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12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12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12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12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12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12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12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12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12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12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12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12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12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12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12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12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12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12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12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12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12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12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12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12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12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12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12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12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12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12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12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12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12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12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12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12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12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12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12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12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12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12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12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12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12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12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12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12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12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12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12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12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12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12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12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12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12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12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12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12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12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12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12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12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12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12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12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12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12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12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12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12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12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7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7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7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7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7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7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7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7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7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7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7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7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7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7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7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7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7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7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7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7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7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7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7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7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7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7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7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7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7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7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7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7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7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7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7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7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7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7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7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7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7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7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7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7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7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7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7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7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7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7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7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7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7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7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7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7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7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7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7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7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7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7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7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7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7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7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7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7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7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7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7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7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7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7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7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7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7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7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7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7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7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7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7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7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7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7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7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7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7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7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7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7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7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7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7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7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7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7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7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7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7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7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7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7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7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7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7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7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7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7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7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7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7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7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7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7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7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7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7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7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7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7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7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7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7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7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7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7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7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7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7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7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7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7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7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7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7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7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7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7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7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7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7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7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7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7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7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7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7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7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7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7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7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7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7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7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7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7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7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7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7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7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7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7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7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7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7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7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7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7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7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7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7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7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7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7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7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7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7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7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6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6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6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6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6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6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6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6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6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6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6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6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6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6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6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6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6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6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6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6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6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6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6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6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6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6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6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6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6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6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6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6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6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6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6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6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6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6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6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6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6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6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6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6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6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6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6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6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6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6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6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6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6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6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6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6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6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6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6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6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6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6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6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6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6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6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6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6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6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6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6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6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6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6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6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6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6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6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6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6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6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6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6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6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6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6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6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6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6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6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6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6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6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6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6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6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6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6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6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6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6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6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6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6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6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6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6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6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6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6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6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6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6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6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6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6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6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6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6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6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6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6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6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6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6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6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6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6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6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6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6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6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6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6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6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6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6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6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6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6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6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6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6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6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6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6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6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6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6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6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6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6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6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6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6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6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6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6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6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6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6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6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6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6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6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6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6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6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6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6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6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6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6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6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6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6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6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6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6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6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7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7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7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7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7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7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7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7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7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7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7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7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7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7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7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7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7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7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7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7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7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7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7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7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7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7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7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7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7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7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7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7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7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7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7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7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7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7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7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7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7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7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7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7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7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7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7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7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7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7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7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7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7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7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7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7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7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7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7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7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7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7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7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7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7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7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7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7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7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7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7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7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7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7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7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7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7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7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7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7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7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7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7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7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7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7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7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7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7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7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7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7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7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7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7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7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7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7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7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7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7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7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7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7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7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7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7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7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7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7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7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7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7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7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7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7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7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7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7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7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7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7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7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7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7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7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7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7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7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7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7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7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7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7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7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7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7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7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7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7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7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7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7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7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7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7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7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7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7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7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7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7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7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7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7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7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7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7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7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7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7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7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7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7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7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7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7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7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7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7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7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7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7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7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7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7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7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7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7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7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3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3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3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3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3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3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3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3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3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3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3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3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3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3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3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3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3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3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3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3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3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3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3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3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3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3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3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3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3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3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3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3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3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3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3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3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3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3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3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3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3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3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3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3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3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3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3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3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3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3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3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3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3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3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3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3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3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3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3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3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3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3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3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3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3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3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3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3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3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3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3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3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3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3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3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3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3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3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3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3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3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3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3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3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3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3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3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3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3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3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3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3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3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3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3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3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3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3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3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3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3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3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3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3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3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3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3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3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3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3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3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3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3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3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3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3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3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3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3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3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3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3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3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3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3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3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3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3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3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3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3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3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3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3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3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3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3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3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3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3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3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3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3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3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3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3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3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3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3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3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3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3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3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3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3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3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3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3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3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3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3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3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3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3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3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3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3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3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3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3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3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3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3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3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3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3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3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7.65625</v>
      </c>
      <c r="Y70">
        <f>SUBTOTAL(101,Table46[2024-10-24])</f>
        <v>7.65625</v>
      </c>
      <c r="Z70">
        <f>SUBTOTAL(101,Table46[2024-10-25])</f>
        <v>7.65625</v>
      </c>
      <c r="AA70">
        <f>SUBTOTAL(101,Table46[2024-10-26])</f>
        <v>7.65625</v>
      </c>
      <c r="AB70">
        <f>SUBTOTAL(101,Table46[2024-10-27])</f>
        <v>7.65625</v>
      </c>
      <c r="AC70">
        <f>SUBTOTAL(101,Table46[2024-10-28])</f>
        <v>7.65625</v>
      </c>
      <c r="AD70">
        <f>SUBTOTAL(101,Table46[2024-10-29])</f>
        <v>7.65625</v>
      </c>
      <c r="AE70">
        <f>SUBTOTAL(101,Table46[2024-10-30])</f>
        <v>7.65625</v>
      </c>
      <c r="AF70">
        <f>SUBTOTAL(101,Table46[2024-10-31])</f>
        <v>7.65625</v>
      </c>
      <c r="AG70">
        <f>SUBTOTAL(101,Table46[2024-11-01])</f>
        <v>7.65625</v>
      </c>
      <c r="AH70">
        <f>SUBTOTAL(101,Table46[2024-11-02])</f>
        <v>7.65625</v>
      </c>
      <c r="AI70">
        <f>SUBTOTAL(101,Table46[2024-11-03])</f>
        <v>7.65625</v>
      </c>
      <c r="AJ70">
        <f>SUBTOTAL(101,Table46[2024-11-04])</f>
        <v>7.65625</v>
      </c>
      <c r="AK70">
        <f>SUBTOTAL(101,Table46[2024-11-05])</f>
        <v>7.65625</v>
      </c>
      <c r="AL70">
        <f>SUBTOTAL(101,Table46[2024-11-06])</f>
        <v>7.65625</v>
      </c>
      <c r="AM70">
        <f>SUBTOTAL(101,Table46[2024-11-07])</f>
        <v>7.65625</v>
      </c>
      <c r="AN70">
        <f>SUBTOTAL(101,Table46[2024-11-08])</f>
        <v>7.65625</v>
      </c>
      <c r="AO70">
        <f>SUBTOTAL(101,Table46[2024-11-09])</f>
        <v>7.65625</v>
      </c>
      <c r="AP70">
        <f>SUBTOTAL(101,Table46[2024-11-10])</f>
        <v>7.65625</v>
      </c>
      <c r="AQ70">
        <f>SUBTOTAL(101,Table46[2024-11-11])</f>
        <v>7.65625</v>
      </c>
      <c r="AR70">
        <f>SUBTOTAL(101,Table46[2024-11-12])</f>
        <v>7.65625</v>
      </c>
      <c r="AS70">
        <f>SUBTOTAL(101,Table46[2024-11-13])</f>
        <v>7.65625</v>
      </c>
      <c r="AT70">
        <f>SUBTOTAL(101,Table46[2024-11-14])</f>
        <v>7.65625</v>
      </c>
      <c r="AU70">
        <f>SUBTOTAL(101,Table46[2024-11-15])</f>
        <v>7.65625</v>
      </c>
      <c r="AV70">
        <f>SUBTOTAL(101,Table46[2024-11-16])</f>
        <v>7.65625</v>
      </c>
      <c r="AW70">
        <f>SUBTOTAL(101,Table46[2024-11-17])</f>
        <v>7.65625</v>
      </c>
      <c r="AX70">
        <f>SUBTOTAL(101,Table46[2024-11-18])</f>
        <v>7.65625</v>
      </c>
      <c r="AY70">
        <f>SUBTOTAL(101,Table46[2024-11-19])</f>
        <v>7.65625</v>
      </c>
      <c r="AZ70">
        <f>SUBTOTAL(101,Table46[2024-11-20])</f>
        <v>7.65625</v>
      </c>
      <c r="BA70">
        <f>SUBTOTAL(101,Table46[2024-11-21])</f>
        <v>7.65625</v>
      </c>
      <c r="BB70">
        <f>SUBTOTAL(101,Table46[2024-11-22])</f>
        <v>7.65625</v>
      </c>
      <c r="BC70">
        <f>SUBTOTAL(101,Table46[2024-11-23])</f>
        <v>7.65625</v>
      </c>
      <c r="BD70">
        <f>SUBTOTAL(101,Table46[2024-11-24])</f>
        <v>7.65625</v>
      </c>
      <c r="BE70">
        <f>SUBTOTAL(101,Table46[2024-11-25])</f>
        <v>7.65625</v>
      </c>
      <c r="BF70">
        <f>SUBTOTAL(101,Table46[2024-11-26])</f>
        <v>7.65625</v>
      </c>
      <c r="BG70">
        <f>SUBTOTAL(101,Table46[2024-11-27])</f>
        <v>7.65625</v>
      </c>
      <c r="BH70">
        <f>SUBTOTAL(101,Table46[2024-11-28])</f>
        <v>7.65625</v>
      </c>
      <c r="BI70">
        <f>SUBTOTAL(101,Table46[2024-11-29])</f>
        <v>7.65625</v>
      </c>
      <c r="BJ70">
        <f>SUBTOTAL(101,Table46[2024-11-30])</f>
        <v>7.65625</v>
      </c>
      <c r="BK70">
        <f>SUBTOTAL(101,Table46[2024-12-01])</f>
        <v>7.65625</v>
      </c>
      <c r="BL70">
        <f>SUBTOTAL(101,Table46[2024-12-02])</f>
        <v>7.65625</v>
      </c>
      <c r="BM70">
        <f>SUBTOTAL(101,Table46[2024-12-03])</f>
        <v>7.65625</v>
      </c>
      <c r="BN70">
        <f>SUBTOTAL(101,Table46[2024-12-04])</f>
        <v>7.65625</v>
      </c>
      <c r="BO70">
        <f>SUBTOTAL(101,Table46[2024-12-05])</f>
        <v>7.65625</v>
      </c>
      <c r="BP70">
        <f>SUBTOTAL(101,Table46[2024-12-06])</f>
        <v>7.65625</v>
      </c>
      <c r="BQ70">
        <f>SUBTOTAL(101,Table46[2024-12-07])</f>
        <v>7.65625</v>
      </c>
      <c r="BR70">
        <f>SUBTOTAL(101,Table46[2024-12-08])</f>
        <v>7.65625</v>
      </c>
      <c r="BS70">
        <f>SUBTOTAL(101,Table46[2024-12-09])</f>
        <v>7.65625</v>
      </c>
      <c r="BT70">
        <f>SUBTOTAL(101,Table46[2024-12-10])</f>
        <v>7.65625</v>
      </c>
      <c r="BU70">
        <f>SUBTOTAL(101,Table46[2024-12-11])</f>
        <v>7.65625</v>
      </c>
      <c r="BV70">
        <f>SUBTOTAL(101,Table46[2024-12-12])</f>
        <v>7.65625</v>
      </c>
      <c r="BW70">
        <f>SUBTOTAL(101,Table46[2024-12-13])</f>
        <v>7.65625</v>
      </c>
      <c r="BX70">
        <f>SUBTOTAL(101,Table46[2024-12-14])</f>
        <v>7.65625</v>
      </c>
      <c r="BY70">
        <f>SUBTOTAL(101,Table46[2024-12-15])</f>
        <v>7.65625</v>
      </c>
      <c r="BZ70">
        <f>SUBTOTAL(101,Table46[2024-12-16])</f>
        <v>7.65625</v>
      </c>
      <c r="CA70">
        <f>SUBTOTAL(101,Table46[2024-12-17])</f>
        <v>7.65625</v>
      </c>
      <c r="CB70">
        <f>SUBTOTAL(101,Table46[2024-12-18])</f>
        <v>7.65625</v>
      </c>
      <c r="CC70">
        <f>SUBTOTAL(101,Table46[2024-12-19])</f>
        <v>7.65625</v>
      </c>
      <c r="CD70">
        <f>SUBTOTAL(101,Table46[2024-12-20])</f>
        <v>7.65625</v>
      </c>
      <c r="CE70">
        <f>SUBTOTAL(101,Table46[2024-12-21])</f>
        <v>7.65625</v>
      </c>
      <c r="CF70">
        <f>SUBTOTAL(101,Table46[2024-12-22])</f>
        <v>7.65625</v>
      </c>
      <c r="CG70">
        <f>SUBTOTAL(101,Table46[2024-12-23])</f>
        <v>7.65625</v>
      </c>
      <c r="CH70">
        <f>SUBTOTAL(101,Table46[2024-12-24])</f>
        <v>7.65625</v>
      </c>
      <c r="CI70">
        <f>SUBTOTAL(101,Table46[2024-12-25])</f>
        <v>7.65625</v>
      </c>
      <c r="CJ70">
        <f>SUBTOTAL(101,Table46[2024-12-26])</f>
        <v>7.65625</v>
      </c>
      <c r="CK70">
        <f>SUBTOTAL(101,Table46[2024-12-27])</f>
        <v>7.65625</v>
      </c>
      <c r="CL70">
        <f>SUBTOTAL(101,Table46[2024-12-28])</f>
        <v>7.65625</v>
      </c>
      <c r="CM70">
        <f>SUBTOTAL(101,Table46[2024-12-29])</f>
        <v>7.65625</v>
      </c>
      <c r="CN70">
        <f>SUBTOTAL(101,Table46[2024-12-30])</f>
        <v>7.65625</v>
      </c>
      <c r="CO70">
        <f>SUBTOTAL(101,Table46[2024-12-31])</f>
        <v>7.65625</v>
      </c>
      <c r="CP70">
        <f>SUBTOTAL(101,Table46[2025-01-01])</f>
        <v>7.65625</v>
      </c>
      <c r="CQ70">
        <f>SUBTOTAL(101,Table46[2025-01-02])</f>
        <v>7.65625</v>
      </c>
      <c r="CR70">
        <f>SUBTOTAL(101,Table46[2025-01-03])</f>
        <v>7.65625</v>
      </c>
      <c r="CS70">
        <f>SUBTOTAL(101,Table46[2025-01-04])</f>
        <v>7.65625</v>
      </c>
      <c r="CT70">
        <f>SUBTOTAL(101,Table46[2025-01-05])</f>
        <v>7.65625</v>
      </c>
      <c r="CU70">
        <f>SUBTOTAL(101,Table46[2025-01-06])</f>
        <v>7.65625</v>
      </c>
      <c r="CV70">
        <f>SUBTOTAL(101,Table46[2025-01-07])</f>
        <v>7.65625</v>
      </c>
      <c r="CW70">
        <f>SUBTOTAL(101,Table46[2025-01-08])</f>
        <v>7.65625</v>
      </c>
      <c r="CX70">
        <f>SUBTOTAL(101,Table46[2025-01-09])</f>
        <v>7.65625</v>
      </c>
      <c r="CY70">
        <f>SUBTOTAL(101,Table46[2025-01-10])</f>
        <v>7.65625</v>
      </c>
      <c r="CZ70">
        <f>SUBTOTAL(101,Table46[2025-01-11])</f>
        <v>7.65625</v>
      </c>
      <c r="DA70">
        <f>SUBTOTAL(101,Table46[2025-01-12])</f>
        <v>7.65625</v>
      </c>
      <c r="DB70">
        <f>SUBTOTAL(101,Table46[2025-01-13])</f>
        <v>7.65625</v>
      </c>
      <c r="DC70">
        <f>SUBTOTAL(101,Table46[2025-01-14])</f>
        <v>7.65625</v>
      </c>
      <c r="DD70">
        <f>SUBTOTAL(101,Table46[2025-01-15])</f>
        <v>7.65625</v>
      </c>
      <c r="DE70">
        <f>SUBTOTAL(101,Table46[2025-01-16])</f>
        <v>7.65625</v>
      </c>
      <c r="DF70">
        <f>SUBTOTAL(101,Table46[2025-01-17])</f>
        <v>7.65625</v>
      </c>
      <c r="DG70">
        <f>SUBTOTAL(101,Table46[2025-01-18])</f>
        <v>7.65625</v>
      </c>
      <c r="DH70">
        <f>SUBTOTAL(101,Table46[2025-01-19])</f>
        <v>7.65625</v>
      </c>
      <c r="DI70">
        <f>SUBTOTAL(101,Table46[2025-01-20])</f>
        <v>7.65625</v>
      </c>
      <c r="DJ70">
        <f>SUBTOTAL(101,Table46[2025-01-21])</f>
        <v>7.65625</v>
      </c>
      <c r="DK70">
        <f>SUBTOTAL(101,Table46[2025-01-22])</f>
        <v>7.65625</v>
      </c>
      <c r="DL70">
        <f>SUBTOTAL(101,Table46[2025-01-23])</f>
        <v>7.65625</v>
      </c>
      <c r="DM70">
        <f>SUBTOTAL(101,Table46[2025-01-24])</f>
        <v>7.65625</v>
      </c>
      <c r="DN70">
        <f>SUBTOTAL(101,Table46[2025-01-25])</f>
        <v>7.65625</v>
      </c>
      <c r="DO70">
        <f>SUBTOTAL(101,Table46[2025-01-26])</f>
        <v>7.65625</v>
      </c>
      <c r="DP70">
        <f>SUBTOTAL(101,Table46[2025-01-27])</f>
        <v>7.65625</v>
      </c>
      <c r="DQ70">
        <f>SUBTOTAL(101,Table46[2025-01-28])</f>
        <v>7.65625</v>
      </c>
      <c r="DR70">
        <f>SUBTOTAL(101,Table46[2025-01-29])</f>
        <v>7.65625</v>
      </c>
      <c r="DS70">
        <f>SUBTOTAL(101,Table46[2025-01-30])</f>
        <v>7.65625</v>
      </c>
      <c r="DT70">
        <f>SUBTOTAL(101,Table46[2025-01-31])</f>
        <v>7.65625</v>
      </c>
      <c r="DU70">
        <f>SUBTOTAL(101,Table46[2025-02-01])</f>
        <v>7.65625</v>
      </c>
      <c r="DV70">
        <f>SUBTOTAL(101,Table46[2025-02-02])</f>
        <v>7.65625</v>
      </c>
      <c r="DW70">
        <f>SUBTOTAL(101,Table46[2025-02-03])</f>
        <v>7.65625</v>
      </c>
      <c r="DX70">
        <f>SUBTOTAL(101,Table46[2025-02-04])</f>
        <v>7.65625</v>
      </c>
      <c r="DY70">
        <f>SUBTOTAL(101,Table46[2025-02-05])</f>
        <v>7.65625</v>
      </c>
      <c r="DZ70">
        <f>SUBTOTAL(101,Table46[2025-02-06])</f>
        <v>7.65625</v>
      </c>
      <c r="EA70">
        <f>SUBTOTAL(101,Table46[2025-02-07])</f>
        <v>7.65625</v>
      </c>
      <c r="EB70">
        <f>SUBTOTAL(101,Table46[2025-02-08])</f>
        <v>7.65625</v>
      </c>
      <c r="EC70">
        <f>SUBTOTAL(101,Table46[2025-02-09])</f>
        <v>7.65625</v>
      </c>
      <c r="ED70">
        <f>SUBTOTAL(101,Table46[2025-02-10])</f>
        <v>7.65625</v>
      </c>
      <c r="EE70">
        <f>SUBTOTAL(101,Table46[2025-02-11])</f>
        <v>7.65625</v>
      </c>
      <c r="EF70">
        <f>SUBTOTAL(101,Table46[2025-02-12])</f>
        <v>7.65625</v>
      </c>
      <c r="EG70">
        <f>SUBTOTAL(101,Table46[2025-02-13])</f>
        <v>7.65625</v>
      </c>
      <c r="EH70">
        <f>SUBTOTAL(101,Table46[2025-02-14])</f>
        <v>7.65625</v>
      </c>
      <c r="EI70">
        <f>SUBTOTAL(101,Table46[2025-02-15])</f>
        <v>7.65625</v>
      </c>
      <c r="EJ70">
        <f>SUBTOTAL(101,Table46[2025-02-16])</f>
        <v>7.65625</v>
      </c>
      <c r="EK70">
        <f>SUBTOTAL(101,Table46[2025-02-17])</f>
        <v>7.65625</v>
      </c>
      <c r="EL70">
        <f>SUBTOTAL(101,Table46[2025-02-18])</f>
        <v>7.65625</v>
      </c>
      <c r="EM70">
        <f>SUBTOTAL(101,Table46[2025-02-19])</f>
        <v>7.65625</v>
      </c>
      <c r="EN70">
        <f>SUBTOTAL(101,Table46[2025-02-20])</f>
        <v>7.65625</v>
      </c>
      <c r="EO70">
        <f>SUBTOTAL(101,Table46[2025-02-21])</f>
        <v>7.65625</v>
      </c>
      <c r="EP70">
        <f>SUBTOTAL(101,Table46[2025-02-22])</f>
        <v>7.65625</v>
      </c>
      <c r="EQ70">
        <f>SUBTOTAL(101,Table46[2025-02-23])</f>
        <v>7.65625</v>
      </c>
      <c r="ER70">
        <f>SUBTOTAL(101,Table46[2025-02-24])</f>
        <v>7.65625</v>
      </c>
      <c r="ES70">
        <f>SUBTOTAL(101,Table46[2025-02-25])</f>
        <v>7.65625</v>
      </c>
      <c r="ET70">
        <f>SUBTOTAL(101,Table46[2025-02-26])</f>
        <v>7.65625</v>
      </c>
      <c r="EU70">
        <f>SUBTOTAL(101,Table46[2025-02-27])</f>
        <v>7.65625</v>
      </c>
      <c r="EV70">
        <f>SUBTOTAL(101,Table46[2025-02-28])</f>
        <v>7.65625</v>
      </c>
      <c r="EW70">
        <f>SUBTOTAL(101,Table46[2025-03-01])</f>
        <v>7.65625</v>
      </c>
      <c r="EX70">
        <f>SUBTOTAL(101,Table46[2025-03-02])</f>
        <v>7.65625</v>
      </c>
      <c r="EY70">
        <f>SUBTOTAL(101,Table46[2025-03-03])</f>
        <v>7.65625</v>
      </c>
      <c r="EZ70">
        <f>SUBTOTAL(101,Table46[2025-03-04])</f>
        <v>7.65625</v>
      </c>
      <c r="FA70">
        <f>SUBTOTAL(101,Table46[2025-03-05])</f>
        <v>7.65625</v>
      </c>
      <c r="FB70">
        <f>SUBTOTAL(101,Table46[2025-03-06])</f>
        <v>7.65625</v>
      </c>
      <c r="FC70">
        <f>SUBTOTAL(101,Table46[2025-03-07])</f>
        <v>7.65625</v>
      </c>
      <c r="FD70">
        <f>SUBTOTAL(101,Table46[2025-03-08])</f>
        <v>7.65625</v>
      </c>
      <c r="FE70">
        <f>SUBTOTAL(101,Table46[2025-03-09])</f>
        <v>7.65625</v>
      </c>
      <c r="FF70">
        <f>SUBTOTAL(101,Table46[2025-03-10])</f>
        <v>7.65625</v>
      </c>
      <c r="FG70">
        <f>SUBTOTAL(101,Table46[2025-03-11])</f>
        <v>7.65625</v>
      </c>
      <c r="FH70">
        <f>SUBTOTAL(101,Table46[2025-03-12])</f>
        <v>7.65625</v>
      </c>
      <c r="FI70">
        <f>SUBTOTAL(101,Table46[2025-03-13])</f>
        <v>7.65625</v>
      </c>
      <c r="FJ70">
        <f>SUBTOTAL(101,Table46[2025-03-14])</f>
        <v>7.65625</v>
      </c>
      <c r="FK70">
        <f>SUBTOTAL(101,Table46[2025-03-15])</f>
        <v>7.65625</v>
      </c>
      <c r="FL70">
        <f>SUBTOTAL(101,Table46[2025-03-16])</f>
        <v>7.65625</v>
      </c>
      <c r="FM70">
        <f>SUBTOTAL(101,Table46[2025-03-17])</f>
        <v>7.65625</v>
      </c>
      <c r="FN70">
        <f>SUBTOTAL(101,Table46[2025-03-18])</f>
        <v>7.65625</v>
      </c>
      <c r="FO70">
        <f>SUBTOTAL(101,Table46[2025-03-19])</f>
        <v>7.65625</v>
      </c>
      <c r="FP70">
        <f>SUBTOTAL(101,Table46[2025-03-20])</f>
        <v>7.65625</v>
      </c>
      <c r="FQ70">
        <f>SUBTOTAL(101,Table46[2025-03-21])</f>
        <v>7.65625</v>
      </c>
      <c r="FR70">
        <f>SUBTOTAL(101,Table46[2025-03-22])</f>
        <v>7.65625</v>
      </c>
      <c r="FS70">
        <f>SUBTOTAL(101,Table46[2025-03-23])</f>
        <v>7.65625</v>
      </c>
      <c r="FT70">
        <f>SUBTOTAL(101,Table46[2025-03-24])</f>
        <v>7.65625</v>
      </c>
      <c r="FU70">
        <f>SUBTOTAL(101,Table46[2025-03-25])</f>
        <v>7.65625</v>
      </c>
      <c r="FV70">
        <f>SUBTOTAL(101,Table46[2025-03-26])</f>
        <v>7.65625</v>
      </c>
      <c r="FW70">
        <f>SUBTOTAL(101,Table46[2025-03-27])</f>
        <v>7.65625</v>
      </c>
      <c r="FX70">
        <f>SUBTOTAL(101,Table46[2025-03-28])</f>
        <v>7.65625</v>
      </c>
      <c r="FY70">
        <f>SUBTOTAL(101,Table46[2025-03-29])</f>
        <v>7.65625</v>
      </c>
      <c r="FZ70">
        <f>SUBTOTAL(101,Table46[2025-03-30])</f>
        <v>7.65625</v>
      </c>
      <c r="GA70">
        <f>SUBTOTAL(101,Table46[2025-03-31])</f>
        <v>7.65625</v>
      </c>
      <c r="GB70">
        <f>SUBTOTAL(101,Table46[2025-04-01])</f>
        <v>7.65625</v>
      </c>
      <c r="GC70">
        <f>SUBTOTAL(101,Table46[2025-04-02])</f>
        <v>7.65625</v>
      </c>
      <c r="GD70">
        <f>SUBTOTAL(101,Table46[2025-04-03])</f>
        <v>7.65625</v>
      </c>
      <c r="GE70">
        <f>SUBTOTAL(101,Table46[2025-04-04])</f>
        <v>7.65625</v>
      </c>
      <c r="GF70">
        <f>SUBTOTAL(101,Table46[2025-04-05])</f>
        <v>7.65625</v>
      </c>
      <c r="GG70">
        <f>SUBTOTAL(101,Table46[2025-04-06])</f>
        <v>7.65625</v>
      </c>
      <c r="GH70">
        <f>SUBTOTAL(101,Table46[2025-04-07])</f>
        <v>7.65625</v>
      </c>
      <c r="GI70">
        <f>SUBTOTAL(101,Table46[2025-04-08])</f>
        <v>7.65625</v>
      </c>
      <c r="GJ70">
        <f>SUBTOTAL(101,Table46[2025-04-09])</f>
        <v>7.65625</v>
      </c>
      <c r="GK70">
        <f>SUBTOTAL(101,Table46[2025-04-10])</f>
        <v>7.65625</v>
      </c>
      <c r="GL70">
        <f>SUBTOTAL(101,Table46[2025-04-11])</f>
        <v>7.65625</v>
      </c>
      <c r="GM70">
        <f>SUBTOTAL(101,Table46[2025-04-12])</f>
        <v>7.65625</v>
      </c>
      <c r="GN70">
        <f>SUBTOTAL(101,Table46[2025-04-13])</f>
        <v>7.65625</v>
      </c>
      <c r="GO70">
        <f>SUBTOTAL(101,Table46[2025-04-14])</f>
        <v>7.65625</v>
      </c>
      <c r="GP70">
        <f>SUBTOTAL(101,Table46[2025-04-15])</f>
        <v>7.65625</v>
      </c>
      <c r="GQ70">
        <f>SUBTOTAL(101,Table46[2025-04-16])</f>
        <v>7.65625</v>
      </c>
      <c r="GR70">
        <f>SUBTOTAL(101,Table46[2025-04-17])</f>
        <v>7.65625</v>
      </c>
      <c r="GS70">
        <f>SUBTOTAL(101,Table46[2025-04-18])</f>
        <v>7.65625</v>
      </c>
      <c r="GT70">
        <f>SUBTOTAL(101,Table46[2025-04-19])</f>
        <v>7.65625</v>
      </c>
      <c r="GU70">
        <f>SUBTOTAL(101,Table46[2025-04-20])</f>
        <v>7.65625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topLeftCell="A7"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4" zoomScaleNormal="100" workbookViewId="0">
      <selection activeCell="BP39" sqref="BP39:BP4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4</v>
      </c>
      <c r="BP3" s="171">
        <f>BO3+BO4</f>
        <v>6</v>
      </c>
      <c r="BQ3" s="167">
        <f>82-BP3</f>
        <v>76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71">
        <f t="shared" ref="BP5" si="1">BO5+BO6</f>
        <v>8</v>
      </c>
      <c r="BQ5" s="167">
        <f t="shared" ref="BQ5" si="2">82-BP5</f>
        <v>74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4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2</v>
      </c>
      <c r="BP7" s="171">
        <f t="shared" ref="BP7" si="3">BO7+BO8</f>
        <v>7</v>
      </c>
      <c r="BQ7" s="167">
        <f t="shared" ref="BQ7" si="4">82-BP7</f>
        <v>75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5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4</v>
      </c>
      <c r="BP9" s="171">
        <f t="shared" ref="BP9" si="5">BO9+BO10</f>
        <v>6</v>
      </c>
      <c r="BQ9" s="167">
        <f t="shared" ref="BQ9" si="6">82-BP9</f>
        <v>76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3</v>
      </c>
      <c r="BP11" s="171">
        <f t="shared" ref="BP11" si="7">BO11+BO12</f>
        <v>6</v>
      </c>
      <c r="BQ11" s="167">
        <f t="shared" ref="BQ11" si="8">82-BP11</f>
        <v>76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71">
        <f t="shared" ref="BP13" si="9">BO13+BO14</f>
        <v>8</v>
      </c>
      <c r="BQ13" s="167">
        <f t="shared" ref="BQ13" si="10">82-BP13</f>
        <v>74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71">
        <f t="shared" ref="BP15" si="11">BO15+BO16</f>
        <v>7</v>
      </c>
      <c r="BQ15" s="167">
        <f t="shared" ref="BQ15" si="12">82-BP15</f>
        <v>75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4</v>
      </c>
      <c r="BP17" s="171">
        <f t="shared" ref="BP17" si="13">BO17+BO18</f>
        <v>7</v>
      </c>
      <c r="BQ17" s="167">
        <f t="shared" ref="BQ17" si="14">82-BP17</f>
        <v>75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71">
        <f t="shared" ref="BP19" si="15">BO19+BO20</f>
        <v>6</v>
      </c>
      <c r="BQ19" s="167">
        <f t="shared" ref="BQ19" si="16">82-BP19</f>
        <v>76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3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2</v>
      </c>
      <c r="BP21" s="171">
        <f t="shared" ref="BP21" si="17">BO21+BO22</f>
        <v>7</v>
      </c>
      <c r="BQ21" s="167">
        <f t="shared" ref="BQ21" si="18">82-BP21</f>
        <v>75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5</v>
      </c>
      <c r="BP23" s="171">
        <f t="shared" ref="BP23" si="19">BO23+BO24</f>
        <v>7</v>
      </c>
      <c r="BQ23" s="167">
        <f t="shared" ref="BQ23" si="20">82-BP23</f>
        <v>75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71">
        <f t="shared" ref="BP25" si="21">BO25+BO26</f>
        <v>8</v>
      </c>
      <c r="BQ25" s="167">
        <f t="shared" ref="BQ25" si="22">82-BP25</f>
        <v>74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4</v>
      </c>
      <c r="BP27" s="171">
        <f t="shared" ref="BP27" si="23">BO27+BO28</f>
        <v>7</v>
      </c>
      <c r="BQ27" s="167">
        <f t="shared" ref="BQ27" si="24">82-BP27</f>
        <v>75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71">
        <f t="shared" ref="BP29" si="25">BO29+BO30</f>
        <v>8</v>
      </c>
      <c r="BQ29" s="167">
        <f t="shared" ref="BQ29" si="26">82-BP29</f>
        <v>74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4</v>
      </c>
      <c r="BP31" s="171">
        <f t="shared" ref="BP31" si="27">BO31+BO32</f>
        <v>8</v>
      </c>
      <c r="BQ31" s="167">
        <f t="shared" ref="BQ31" si="28">82-BP31</f>
        <v>74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71">
        <f t="shared" ref="BP33" si="29">BO33+BO34</f>
        <v>7</v>
      </c>
      <c r="BQ33" s="167">
        <f t="shared" ref="BQ33" si="30">82-BP33</f>
        <v>75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3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7</v>
      </c>
      <c r="BQ35" s="167">
        <f t="shared" ref="BQ35" si="32">82-BP35</f>
        <v>75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3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71">
        <f t="shared" ref="BP37" si="33">BO37+BO38</f>
        <v>6</v>
      </c>
      <c r="BQ37" s="167">
        <f t="shared" ref="BQ37" si="34">82-BP37</f>
        <v>76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4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71">
        <f t="shared" ref="BP39" si="35">BO39+BO40</f>
        <v>8</v>
      </c>
      <c r="BQ39" s="167">
        <f t="shared" ref="BQ39" si="36">82-BP39</f>
        <v>74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4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71">
        <f t="shared" ref="BP41" si="37">BO41+BO42</f>
        <v>7</v>
      </c>
      <c r="BQ41" s="167">
        <f t="shared" ref="BQ41" si="38">82-BP41</f>
        <v>75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4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71">
        <f t="shared" ref="BP43" si="39">BO43+BO44</f>
        <v>6</v>
      </c>
      <c r="BQ43" s="167">
        <f t="shared" ref="BQ43" si="40">82-BP43</f>
        <v>76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4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71">
        <f t="shared" ref="BP45" si="41">BO45+BO46</f>
        <v>7</v>
      </c>
      <c r="BQ45" s="167">
        <f t="shared" ref="BQ45" si="42">82-BP45</f>
        <v>75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3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5</v>
      </c>
      <c r="BP47" s="171">
        <f t="shared" ref="BP47" si="43">BO47+BO48</f>
        <v>7</v>
      </c>
      <c r="BQ47" s="167">
        <f t="shared" ref="BQ47" si="44">82-BP47</f>
        <v>75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2</v>
      </c>
      <c r="BP49" s="171">
        <f t="shared" ref="BP49" si="45">BO49+BO50</f>
        <v>6</v>
      </c>
      <c r="BQ49" s="167">
        <f t="shared" ref="BQ49" si="46">82-BP49</f>
        <v>76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71">
        <f t="shared" ref="BP51" si="47">BO51+BO52</f>
        <v>6</v>
      </c>
      <c r="BQ51" s="167">
        <f t="shared" ref="BQ51" si="48">82-BP51</f>
        <v>76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4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71">
        <f t="shared" ref="BP53" si="49">BO53+BO54</f>
        <v>6</v>
      </c>
      <c r="BQ53" s="167">
        <f t="shared" ref="BQ53" si="50">82-BP53</f>
        <v>76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71">
        <f t="shared" ref="BP55" si="51">BO55+BO56</f>
        <v>7</v>
      </c>
      <c r="BQ55" s="167">
        <f t="shared" ref="BQ55" si="52">82-BP55</f>
        <v>75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6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71">
        <f t="shared" ref="BP57" si="53">BO57+BO58</f>
        <v>7</v>
      </c>
      <c r="BQ57" s="167">
        <f t="shared" ref="BQ57" si="54">82-BP57</f>
        <v>75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5</v>
      </c>
      <c r="BP59" s="171">
        <f t="shared" ref="BP59" si="55">BO59+BO60</f>
        <v>7</v>
      </c>
      <c r="BQ59" s="167">
        <f t="shared" ref="BQ59" si="56">82-BP59</f>
        <v>75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71">
        <f t="shared" ref="BP61" si="57">BO61+BO62</f>
        <v>7</v>
      </c>
      <c r="BQ61" s="167">
        <f t="shared" ref="BQ61" si="58">82-BP61</f>
        <v>75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71">
        <f t="shared" ref="BP63" si="59">BO63+BO64</f>
        <v>6</v>
      </c>
      <c r="BQ63" s="167">
        <f t="shared" ref="BQ63" si="60">82-BP63</f>
        <v>76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7</v>
      </c>
      <c r="BQ65" s="167">
        <f t="shared" ref="BQ65" si="62">82-BP65</f>
        <v>75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5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110</v>
      </c>
      <c r="BQ67" s="27">
        <f>SUM(BQ3:BQ66)/2</f>
        <v>1202</v>
      </c>
    </row>
    <row r="68" spans="1:69" x14ac:dyDescent="0.25">
      <c r="BP68" s="43">
        <f>2*BP67/SUM(BP3:BQ66)</f>
        <v>8.3841463414634151E-2</v>
      </c>
      <c r="BQ68" s="43">
        <f>2*BQ67/SUM(BP3:BQ66)</f>
        <v>0.91615853658536583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4"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71">
        <f>BO3+BO4</f>
        <v>6</v>
      </c>
      <c r="BQ3" s="167">
        <f>82-BP3</f>
        <v>76</v>
      </c>
      <c r="BR3" s="177">
        <f t="shared" ref="BR3" si="0">BP3/(BP3+BQ3)</f>
        <v>7.3170731707317069E-2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71">
        <f t="shared" ref="BP5" si="2">BO5+BO6</f>
        <v>8</v>
      </c>
      <c r="BQ5" s="167">
        <f t="shared" ref="BQ5" si="3">82-BP5</f>
        <v>74</v>
      </c>
      <c r="BR5" s="177">
        <f t="shared" ref="BR5" si="4">BP5/(BP5+BQ5)</f>
        <v>9.7560975609756101E-2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4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5</v>
      </c>
      <c r="BP7" s="171">
        <f t="shared" ref="BP7" si="5">BO7+BO8</f>
        <v>7</v>
      </c>
      <c r="BQ7" s="167">
        <f t="shared" ref="BQ7" si="6">82-BP7</f>
        <v>75</v>
      </c>
      <c r="BR7" s="177">
        <f t="shared" ref="BR7" si="7">BP7/(BP7+BQ7)</f>
        <v>8.5365853658536592E-2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4</v>
      </c>
      <c r="BP9" s="171">
        <f t="shared" ref="BP9" si="8">BO9+BO10</f>
        <v>7</v>
      </c>
      <c r="BQ9" s="167">
        <f t="shared" ref="BQ9" si="9">82-BP9</f>
        <v>75</v>
      </c>
      <c r="BR9" s="177">
        <f t="shared" ref="BR9" si="10">BP9/(BP9+BQ9)</f>
        <v>8.5365853658536592E-2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5</v>
      </c>
      <c r="BP11" s="171">
        <f t="shared" ref="BP11" si="11">BO11+BO12</f>
        <v>7</v>
      </c>
      <c r="BQ11" s="167">
        <f t="shared" ref="BQ11" si="12">82-BP11</f>
        <v>75</v>
      </c>
      <c r="BR11" s="177">
        <f t="shared" ref="BR11" si="13">BP11/(BP11+BQ11)</f>
        <v>8.5365853658536592E-2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2</v>
      </c>
      <c r="BP13" s="171">
        <f t="shared" ref="BP13" si="14">BO13+BO14</f>
        <v>6</v>
      </c>
      <c r="BQ13" s="167">
        <f t="shared" ref="BQ13" si="15">82-BP13</f>
        <v>76</v>
      </c>
      <c r="BR13" s="177">
        <f t="shared" ref="BR13" si="16">BP13/(BP13+BQ13)</f>
        <v>7.3170731707317069E-2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5</v>
      </c>
      <c r="BP15" s="171">
        <f t="shared" ref="BP15" si="17">BO15+BO16</f>
        <v>7</v>
      </c>
      <c r="BQ15" s="167">
        <f t="shared" ref="BQ15" si="18">82-BP15</f>
        <v>75</v>
      </c>
      <c r="BR15" s="177">
        <f t="shared" ref="BR15" si="19">BP15/(BP15+BQ15)</f>
        <v>8.5365853658536592E-2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71">
        <f t="shared" ref="BP17" si="20">BO17+BO18</f>
        <v>7</v>
      </c>
      <c r="BQ17" s="167">
        <f t="shared" ref="BQ17" si="21">82-BP17</f>
        <v>75</v>
      </c>
      <c r="BR17" s="177">
        <f t="shared" ref="BR17" si="22">BP17/(BP17+BQ17)</f>
        <v>8.5365853658536592E-2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71">
        <f t="shared" ref="BP19" si="23">BO19+BO20</f>
        <v>7</v>
      </c>
      <c r="BQ19" s="167">
        <f t="shared" ref="BQ19" si="24">82-BP19</f>
        <v>75</v>
      </c>
      <c r="BR19" s="177">
        <f t="shared" ref="BR19" si="25">BP19/(BP19+BQ19)</f>
        <v>8.5365853658536592E-2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4</v>
      </c>
      <c r="BP21" s="171">
        <f t="shared" ref="BP21" si="26">BO21+BO22</f>
        <v>7</v>
      </c>
      <c r="BQ21" s="167">
        <f t="shared" ref="BQ21" si="27">82-BP21</f>
        <v>75</v>
      </c>
      <c r="BR21" s="177">
        <f t="shared" ref="BR21" si="28">BP21/(BP21+BQ21)</f>
        <v>8.5365853658536592E-2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71">
        <f t="shared" ref="BP23" si="29">BO23+BO24</f>
        <v>6</v>
      </c>
      <c r="BQ23" s="167">
        <f t="shared" ref="BQ23" si="30">82-BP23</f>
        <v>76</v>
      </c>
      <c r="BR23" s="177">
        <f t="shared" ref="BR23" si="31">BP23/(BP23+BQ23)</f>
        <v>7.3170731707317069E-2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3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71">
        <f t="shared" ref="BP25" si="32">BO25+BO26</f>
        <v>8</v>
      </c>
      <c r="BQ25" s="167">
        <f t="shared" ref="BQ25" si="33">82-BP25</f>
        <v>74</v>
      </c>
      <c r="BR25" s="177">
        <f t="shared" ref="BR25" si="34">BP25/(BP25+BQ25)</f>
        <v>9.7560975609756101E-2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7</v>
      </c>
      <c r="BQ27" s="167">
        <f t="shared" ref="BQ27" si="36">82-BP27</f>
        <v>75</v>
      </c>
      <c r="BR27" s="177">
        <f t="shared" ref="BR27" si="37">BP27/(BP27+BQ27)</f>
        <v>8.5365853658536592E-2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3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71">
        <f t="shared" ref="BP29" si="38">BO29+BO30</f>
        <v>6</v>
      </c>
      <c r="BQ29" s="167">
        <f t="shared" ref="BQ29" si="39">82-BP29</f>
        <v>76</v>
      </c>
      <c r="BR29" s="177">
        <f t="shared" ref="BR29" si="40">BP29/(BP29+BQ29)</f>
        <v>7.3170731707317069E-2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4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71">
        <f t="shared" ref="BP31" si="41">BO31+BO32</f>
        <v>7</v>
      </c>
      <c r="BQ31" s="167">
        <f t="shared" ref="BQ31" si="42">82-BP31</f>
        <v>75</v>
      </c>
      <c r="BR31" s="177">
        <f t="shared" ref="BR31" si="43">BP31/(BP31+BQ31)</f>
        <v>8.5365853658536592E-2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71">
        <f t="shared" ref="BP33" si="44">BO33+BO34</f>
        <v>6</v>
      </c>
      <c r="BQ33" s="167">
        <f t="shared" ref="BQ33" si="45">82-BP33</f>
        <v>76</v>
      </c>
      <c r="BR33" s="177">
        <f t="shared" ref="BR33" si="46">BP33/(BP33+BQ33)</f>
        <v>7.3170731707317069E-2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4</v>
      </c>
      <c r="BP35" s="171">
        <f t="shared" ref="BP35" si="47">BO35+BO36</f>
        <v>6</v>
      </c>
      <c r="BQ35" s="167">
        <f t="shared" ref="BQ35" si="48">82-BP35</f>
        <v>76</v>
      </c>
      <c r="BR35" s="177">
        <f t="shared" ref="BR35" si="49">BP35/(BP35+BQ35)</f>
        <v>7.3170731707317069E-2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3</v>
      </c>
      <c r="BP37" s="171">
        <f t="shared" ref="BP37" si="50">BO37+BO38</f>
        <v>6</v>
      </c>
      <c r="BQ37" s="167">
        <f t="shared" ref="BQ37" si="51">82-BP37</f>
        <v>76</v>
      </c>
      <c r="BR37" s="177">
        <f t="shared" ref="BR37" si="52">BP37/(BP37+BQ37)</f>
        <v>7.3170731707317069E-2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71">
        <f t="shared" ref="BP39" si="53">BO39+BO40</f>
        <v>7</v>
      </c>
      <c r="BQ39" s="167">
        <f t="shared" ref="BQ39" si="54">82-BP39</f>
        <v>75</v>
      </c>
      <c r="BR39" s="177">
        <f t="shared" ref="BR39" si="55">BP39/(BP39+BQ39)</f>
        <v>8.5365853658536592E-2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3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71">
        <f t="shared" ref="BP41" si="56">BO41+BO42</f>
        <v>6</v>
      </c>
      <c r="BQ41" s="167">
        <f t="shared" ref="BQ41" si="57">82-BP41</f>
        <v>76</v>
      </c>
      <c r="BR41" s="177">
        <f t="shared" ref="BR41" si="58">BP41/(BP41+BQ41)</f>
        <v>7.3170731707317069E-2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4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71">
        <f t="shared" ref="BP43" si="59">BO43+BO44</f>
        <v>8</v>
      </c>
      <c r="BQ43" s="167">
        <f t="shared" ref="BQ43" si="60">82-BP43</f>
        <v>74</v>
      </c>
      <c r="BR43" s="177">
        <f t="shared" ref="BR43" si="61">BP43/(BP43+BQ43)</f>
        <v>9.7560975609756101E-2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4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71">
        <f t="shared" ref="BP45" si="62">BO45+BO46</f>
        <v>6</v>
      </c>
      <c r="BQ45" s="167">
        <f t="shared" ref="BQ45" si="63">82-BP45</f>
        <v>76</v>
      </c>
      <c r="BR45" s="177">
        <f t="shared" ref="BR45" si="64">BP45/(BP45+BQ45)</f>
        <v>7.3170731707317069E-2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4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71">
        <f t="shared" ref="BP47" si="65">BO47+BO48</f>
        <v>7</v>
      </c>
      <c r="BQ47" s="167">
        <f t="shared" ref="BQ47" si="66">82-BP47</f>
        <v>75</v>
      </c>
      <c r="BR47" s="177">
        <f t="shared" ref="BR47" si="67">BP47/(BP47+BQ47)</f>
        <v>8.5365853658536592E-2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3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71">
        <f t="shared" ref="BP49" si="68">BO49+BO50</f>
        <v>7</v>
      </c>
      <c r="BQ49" s="167">
        <f t="shared" ref="BQ49" si="69">82-BP49</f>
        <v>75</v>
      </c>
      <c r="BR49" s="177">
        <f t="shared" ref="BR49" si="70">BP49/(BP49+BQ49)</f>
        <v>8.5365853658536592E-2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5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71">
        <f t="shared" ref="BP51" si="71">BO51+BO52</f>
        <v>8</v>
      </c>
      <c r="BQ51" s="167">
        <f t="shared" ref="BQ51" si="72">82-BP51</f>
        <v>74</v>
      </c>
      <c r="BR51" s="177">
        <f t="shared" ref="BR51" si="73">BP51/(BP51+BQ51)</f>
        <v>9.7560975609756101E-2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4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2</v>
      </c>
      <c r="BP53" s="171">
        <f t="shared" ref="BP53" si="74">BO53+BO54</f>
        <v>7</v>
      </c>
      <c r="BQ53" s="167">
        <f t="shared" ref="BQ53" si="75">82-BP53</f>
        <v>75</v>
      </c>
      <c r="BR53" s="177">
        <f t="shared" ref="BR53" si="76">BP53/(BP53+BQ53)</f>
        <v>8.5365853658536592E-2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5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2</v>
      </c>
      <c r="BP55" s="171">
        <f t="shared" ref="BP55" si="77">BO55+BO56</f>
        <v>7</v>
      </c>
      <c r="BQ55" s="167">
        <f t="shared" ref="BQ55" si="78">82-BP55</f>
        <v>75</v>
      </c>
      <c r="BR55" s="177">
        <f t="shared" ref="BR55" si="79">BP55/(BP55+BQ55)</f>
        <v>8.5365853658536592E-2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71">
        <f t="shared" ref="BP57" si="80">BO57+BO58</f>
        <v>8</v>
      </c>
      <c r="BQ57" s="167">
        <f t="shared" ref="BQ57" si="81">82-BP57</f>
        <v>74</v>
      </c>
      <c r="BR57" s="177">
        <f t="shared" ref="BR57" si="82">BP57/(BP57+BQ57)</f>
        <v>9.7560975609756101E-2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4</v>
      </c>
      <c r="BP59" s="171">
        <f t="shared" ref="BP59" si="83">BO59+BO60</f>
        <v>8</v>
      </c>
      <c r="BQ59" s="167">
        <f t="shared" ref="BQ59" si="84">82-BP59</f>
        <v>74</v>
      </c>
      <c r="BR59" s="177">
        <f t="shared" ref="BR59" si="85">BP59/(BP59+BQ59)</f>
        <v>9.7560975609756101E-2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71">
        <f t="shared" ref="BP61" si="86">BO61+BO62</f>
        <v>7</v>
      </c>
      <c r="BQ61" s="167">
        <f t="shared" ref="BQ61" si="87">82-BP61</f>
        <v>75</v>
      </c>
      <c r="BR61" s="177">
        <f t="shared" ref="BR61" si="88">BP61/(BP61+BQ61)</f>
        <v>8.5365853658536592E-2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4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71">
        <f t="shared" ref="BP63" si="89">BO63+BO64</f>
        <v>6</v>
      </c>
      <c r="BQ63" s="167">
        <f t="shared" ref="BQ63" si="90">82-BP63</f>
        <v>76</v>
      </c>
      <c r="BR63" s="177">
        <f t="shared" ref="BR63" si="91">BP63/(BP63+BQ63)</f>
        <v>7.3170731707317069E-2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71">
        <f t="shared" ref="BP65" si="92">BO65+BO66</f>
        <v>7</v>
      </c>
      <c r="BQ65" s="167">
        <f t="shared" ref="BQ65" si="93">82-BP65</f>
        <v>75</v>
      </c>
      <c r="BR65" s="177">
        <f>BP65/(BP65+BQ65)</f>
        <v>8.5365853658536592E-2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6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110</v>
      </c>
      <c r="BQ67" s="27">
        <f>SUM(BQ3:BQ66)/2</f>
        <v>1202</v>
      </c>
    </row>
    <row r="68" spans="1:70" x14ac:dyDescent="0.25">
      <c r="BP68" s="43">
        <f>2*BP67/SUM(BP3:BQ66)</f>
        <v>8.3841463414634151E-2</v>
      </c>
      <c r="BQ68" s="43">
        <f>2*BQ67/SUM(BP3:BQ66)</f>
        <v>0.91615853658536583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71">
        <f>BO3+BO4</f>
        <v>5</v>
      </c>
      <c r="BQ3" s="167">
        <f>82-BP3</f>
        <v>77</v>
      </c>
      <c r="BR3" s="177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71">
        <f t="shared" ref="BP5" si="2">BO5+BO6</f>
        <v>6</v>
      </c>
      <c r="BQ5" s="167">
        <f t="shared" ref="BQ5" si="3">82-BP5</f>
        <v>76</v>
      </c>
      <c r="BR5" s="177">
        <f t="shared" si="0"/>
        <v>7.3170731707317069E-2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1</v>
      </c>
      <c r="BP7" s="171">
        <f t="shared" ref="BP7" si="4">BO7+BO8</f>
        <v>5</v>
      </c>
      <c r="BQ7" s="167">
        <f t="shared" ref="BQ7" si="5">82-BP7</f>
        <v>77</v>
      </c>
      <c r="BR7" s="177">
        <f t="shared" si="0"/>
        <v>6.097560975609756E-2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4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4</v>
      </c>
      <c r="BP9" s="171">
        <f t="shared" ref="BP9" si="6">BO9+BO10</f>
        <v>5</v>
      </c>
      <c r="BQ9" s="167">
        <f t="shared" ref="BQ9" si="7">82-BP9</f>
        <v>77</v>
      </c>
      <c r="BR9" s="177">
        <f t="shared" si="0"/>
        <v>6.097560975609756E-2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71">
        <f t="shared" ref="BP11" si="8">BO11+BO12</f>
        <v>1</v>
      </c>
      <c r="BQ11" s="167">
        <f t="shared" ref="BQ11" si="9">82-BP11</f>
        <v>81</v>
      </c>
      <c r="BR11" s="177">
        <f t="shared" si="0"/>
        <v>1.2195121951219513E-2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71">
        <f t="shared" ref="BP13" si="10">BO13+BO14</f>
        <v>8</v>
      </c>
      <c r="BQ13" s="167">
        <f t="shared" ref="BQ13" si="11">82-BP13</f>
        <v>74</v>
      </c>
      <c r="BR13" s="177">
        <f t="shared" si="0"/>
        <v>9.7560975609756101E-2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4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71">
        <f t="shared" ref="BP15" si="12">BO15+BO16</f>
        <v>7</v>
      </c>
      <c r="BQ15" s="167">
        <f t="shared" ref="BQ15" si="13">82-BP15</f>
        <v>75</v>
      </c>
      <c r="BR15" s="177">
        <f t="shared" si="0"/>
        <v>8.5365853658536592E-2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3</v>
      </c>
      <c r="BP17" s="171">
        <f t="shared" ref="BP17" si="14">BO17+BO18</f>
        <v>6</v>
      </c>
      <c r="BQ17" s="167">
        <f t="shared" ref="BQ17" si="15">82-BP17</f>
        <v>76</v>
      </c>
      <c r="BR17" s="177">
        <f t="shared" si="0"/>
        <v>7.3170731707317069E-2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71">
        <f t="shared" ref="BP19" si="16">BO19+BO20</f>
        <v>3</v>
      </c>
      <c r="BQ19" s="167">
        <f t="shared" ref="BQ19" si="17">82-BP19</f>
        <v>79</v>
      </c>
      <c r="BR19" s="177">
        <f t="shared" si="0"/>
        <v>3.6585365853658534E-2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2</v>
      </c>
      <c r="BP21" s="171">
        <f t="shared" ref="BP21" si="18">BO21+BO22</f>
        <v>7</v>
      </c>
      <c r="BQ21" s="167">
        <f t="shared" ref="BQ21" si="19">82-BP21</f>
        <v>75</v>
      </c>
      <c r="BR21" s="177">
        <f t="shared" si="0"/>
        <v>8.5365853658536592E-2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5</v>
      </c>
      <c r="BP23" s="171">
        <f t="shared" ref="BP23" si="20">BO23+BO24</f>
        <v>7</v>
      </c>
      <c r="BQ23" s="167">
        <f t="shared" ref="BQ23" si="21">82-BP23</f>
        <v>75</v>
      </c>
      <c r="BR23" s="177">
        <f t="shared" si="0"/>
        <v>8.5365853658536592E-2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71">
        <f t="shared" ref="BP25" si="22">BO25+BO26</f>
        <v>7</v>
      </c>
      <c r="BQ25" s="167">
        <f t="shared" ref="BQ25" si="23">82-BP25</f>
        <v>75</v>
      </c>
      <c r="BR25" s="177">
        <f t="shared" si="0"/>
        <v>8.5365853658536592E-2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71">
        <f t="shared" ref="BP27" si="24">BO27+BO28</f>
        <v>3</v>
      </c>
      <c r="BQ27" s="167">
        <f t="shared" ref="BQ27" si="25">82-BP27</f>
        <v>79</v>
      </c>
      <c r="BR27" s="177">
        <f t="shared" si="0"/>
        <v>3.6585365853658534E-2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4</v>
      </c>
      <c r="BQ29" s="167">
        <f t="shared" ref="BQ29" si="27">82-BP29</f>
        <v>78</v>
      </c>
      <c r="BR29" s="177">
        <f t="shared" si="0"/>
        <v>4.878048780487805E-2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4</v>
      </c>
      <c r="BP31" s="171">
        <f t="shared" ref="BP31" si="28">BO31+BO32</f>
        <v>8</v>
      </c>
      <c r="BQ31" s="167">
        <f t="shared" ref="BQ31" si="29">82-BP31</f>
        <v>74</v>
      </c>
      <c r="BR31" s="177">
        <f t="shared" si="0"/>
        <v>9.7560975609756101E-2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71">
        <f t="shared" ref="BP33" si="30">BO33+BO34</f>
        <v>3</v>
      </c>
      <c r="BQ33" s="167">
        <f t="shared" ref="BQ33" si="31">82-BP33</f>
        <v>79</v>
      </c>
      <c r="BR33" s="177">
        <f t="shared" si="0"/>
        <v>3.6585365853658534E-2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5</v>
      </c>
      <c r="BQ35" s="167">
        <f t="shared" ref="BQ35" si="33">82-BP35</f>
        <v>77</v>
      </c>
      <c r="BR35" s="177">
        <f t="shared" si="0"/>
        <v>6.097560975609756E-2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2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71">
        <f t="shared" ref="BP37" si="34">BO37+BO38</f>
        <v>2</v>
      </c>
      <c r="BQ37" s="167">
        <f t="shared" ref="BQ37" si="35">82-BP37</f>
        <v>80</v>
      </c>
      <c r="BR37" s="177">
        <f t="shared" si="0"/>
        <v>2.4390243902439025E-2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71">
        <f t="shared" ref="BP39" si="36">BO39+BO40</f>
        <v>6</v>
      </c>
      <c r="BQ39" s="167">
        <f t="shared" ref="BQ39" si="37">82-BP39</f>
        <v>76</v>
      </c>
      <c r="BR39" s="177">
        <f t="shared" si="0"/>
        <v>7.3170731707317069E-2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4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71">
        <f t="shared" ref="BP41" si="38">BO41+BO42</f>
        <v>6</v>
      </c>
      <c r="BQ41" s="167">
        <f t="shared" ref="BQ41" si="39">82-BP41</f>
        <v>76</v>
      </c>
      <c r="BR41" s="177">
        <f t="shared" si="0"/>
        <v>7.3170731707317069E-2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3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71">
        <f t="shared" ref="BP43" si="40">BO43+BO44</f>
        <v>4</v>
      </c>
      <c r="BQ43" s="167">
        <f t="shared" ref="BQ43" si="41">82-BP43</f>
        <v>78</v>
      </c>
      <c r="BR43" s="177">
        <f t="shared" si="0"/>
        <v>4.878048780487805E-2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71">
        <f t="shared" ref="BP45" si="42">BO45+BO46</f>
        <v>4</v>
      </c>
      <c r="BQ45" s="167">
        <f t="shared" ref="BQ45" si="43">82-BP45</f>
        <v>78</v>
      </c>
      <c r="BR45" s="177">
        <f t="shared" si="0"/>
        <v>4.878048780487805E-2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1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5</v>
      </c>
      <c r="BP47" s="171">
        <f t="shared" ref="BP47" si="44">BO47+BO48</f>
        <v>6</v>
      </c>
      <c r="BQ47" s="167">
        <f t="shared" ref="BQ47" si="45">82-BP47</f>
        <v>76</v>
      </c>
      <c r="BR47" s="177">
        <f t="shared" si="0"/>
        <v>7.3170731707317069E-2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71">
        <f t="shared" ref="BP49" si="46">BO49+BO50</f>
        <v>3</v>
      </c>
      <c r="BQ49" s="167">
        <f t="shared" ref="BQ49" si="47">82-BP49</f>
        <v>79</v>
      </c>
      <c r="BR49" s="177">
        <f t="shared" si="0"/>
        <v>3.6585365853658534E-2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71">
        <f t="shared" ref="BP51" si="48">BO51+BO52</f>
        <v>5</v>
      </c>
      <c r="BQ51" s="167">
        <f t="shared" ref="BQ51" si="49">82-BP51</f>
        <v>77</v>
      </c>
      <c r="BR51" s="177">
        <f t="shared" si="0"/>
        <v>6.097560975609756E-2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71">
        <f t="shared" ref="BP53" si="50">BO53+BO54</f>
        <v>5</v>
      </c>
      <c r="BQ53" s="167">
        <f t="shared" ref="BQ53" si="51">82-BP53</f>
        <v>77</v>
      </c>
      <c r="BR53" s="177">
        <f t="shared" si="0"/>
        <v>6.097560975609756E-2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71">
        <f t="shared" ref="BP55" si="52">BO55+BO56</f>
        <v>7</v>
      </c>
      <c r="BQ55" s="167">
        <f t="shared" ref="BQ55" si="53">82-BP55</f>
        <v>75</v>
      </c>
      <c r="BR55" s="177">
        <f t="shared" si="0"/>
        <v>8.5365853658536592E-2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6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71">
        <f t="shared" ref="BP57" si="54">BO57+BO58</f>
        <v>7</v>
      </c>
      <c r="BQ57" s="167">
        <f t="shared" ref="BQ57" si="55">82-BP57</f>
        <v>75</v>
      </c>
      <c r="BR57" s="177">
        <f t="shared" si="0"/>
        <v>8.5365853658536592E-2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4</v>
      </c>
      <c r="BP59" s="171">
        <f t="shared" ref="BP59" si="56">BO59+BO60</f>
        <v>6</v>
      </c>
      <c r="BQ59" s="167">
        <f t="shared" ref="BQ59" si="57">82-BP59</f>
        <v>76</v>
      </c>
      <c r="BR59" s="177">
        <f t="shared" si="0"/>
        <v>7.3170731707317069E-2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71">
        <f t="shared" ref="BP61" si="58">BO61+BO62</f>
        <v>4</v>
      </c>
      <c r="BQ61" s="167">
        <f t="shared" ref="BQ61" si="59">82-BP61</f>
        <v>78</v>
      </c>
      <c r="BR61" s="177">
        <f t="shared" si="0"/>
        <v>4.878048780487805E-2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71">
        <f t="shared" ref="BP63" si="60">BO63+BO64</f>
        <v>3</v>
      </c>
      <c r="BQ63" s="167">
        <f t="shared" ref="BQ63" si="61">82-BP63</f>
        <v>79</v>
      </c>
      <c r="BR63" s="177">
        <f t="shared" si="0"/>
        <v>3.6585365853658534E-2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71">
        <f t="shared" ref="BP65" si="62">BO65+BO66</f>
        <v>4</v>
      </c>
      <c r="BQ65" s="167">
        <f t="shared" ref="BQ65" si="63">82-BP65</f>
        <v>78</v>
      </c>
      <c r="BR65" s="177">
        <f t="shared" si="0"/>
        <v>4.878048780487805E-2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3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81</v>
      </c>
      <c r="BQ67" s="26">
        <f>SUM(BQ3:BQ66)/2</f>
        <v>1231</v>
      </c>
      <c r="BR67" s="135">
        <f t="shared" si="0"/>
        <v>6.173780487804878E-2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K1" activePane="topRight" state="frozen"/>
      <selection pane="topRight" activeCell="BP1" sqref="BP1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25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0.8571428571428571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3</v>
      </c>
      <c r="I2">
        <f>41-Table3[[#This Row],[GP_H]]</f>
        <v>38</v>
      </c>
      <c r="J2">
        <f>F2+H2</f>
        <v>7</v>
      </c>
      <c r="K2">
        <f>82-Table3[[#This Row],[GP]]</f>
        <v>75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1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1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2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1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1</v>
      </c>
      <c r="AB2">
        <f>Table3[[#This Row],[W]]/MAX(1,Table3[[#This Row],[W]]+Table3[[#This Row],[L]])</f>
        <v>0.7142857142857143</v>
      </c>
      <c r="AC2">
        <f>Table3[[#This Row],[W_A]]+Table3[[#This Row],[W_H]]</f>
        <v>5</v>
      </c>
      <c r="AD2">
        <f>Table3[[#This Row],[L_A]]+Table3[[#This Row],[L_H]]</f>
        <v>2</v>
      </c>
      <c r="AE2">
        <f>Table3[[#This Row],[RW_A]]+Table3[[#This Row],[RW_H]]</f>
        <v>5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1</v>
      </c>
      <c r="AI2">
        <f>Table3[[#This Row],[SOW_A]]+Table3[[#This Row],[SOW_H]]</f>
        <v>0</v>
      </c>
      <c r="AJ2">
        <f>Table3[[#This Row],[SOL_A]]+Table3[[#This Row],[SOL_H]]</f>
        <v>1</v>
      </c>
      <c r="AK2" s="15" t="str">
        <f>_xlfn.CONCAT(TEXT(Table3[[#This Row],[OTW]]+Table3[[#This Row],[SOW]], "0"), "-", TEXT(Table3[[#This Row],[OTL]]+Table3[[#This Row],[SOL]],"0"))</f>
        <v>0-2</v>
      </c>
      <c r="AL2">
        <f>SUM(Table3[[#This Row],[OTW]],Table3[[#This Row],[OTL]],Table3[[#This Row],[SOW]],Table3[[#This Row],[SOL]])</f>
        <v>2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0.2857142857142857</v>
      </c>
      <c r="AO2">
        <f>(2*(Table3[[#This Row],[W_A]]+Table3[[#This Row],[W_H]]))+Table3[[#This Row],[OTL_A]]+Table3[[#This Row],[SOL_A]]+Table3[[#This Row],[OTL_H]]+Table3[[#This Row],[SOL_H]]</f>
        <v>12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2" s="10">
        <f>Table3[[#This Row],[PTS]]/(2*Table3[[#This Row],[GP]])</f>
        <v>0.8571428571428571</v>
      </c>
      <c r="AR2" s="10">
        <f>Table3[[#This Row],[PTS2]]/(3*Table3[[#This Row],[GP]])</f>
        <v>0.80952380952380953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140.57142857142856</v>
      </c>
      <c r="AV2">
        <f>Table3[[#This Row],[PTS2]]+(3 * Table3[[#This Row],[GR]] * Table3[[#This Row],[PTS%2]])</f>
        <v>199.14285714285714</v>
      </c>
      <c r="AW2" s="15" t="str">
        <f>_xlfn.CONCAT(TEXT(Table3[[#This Row],[W]], "0"), "-", TEXT(Table3[[#This Row],[RL]],"0"), "-", TEXT(Table3[[#This Row],[OTL]]+Table3[[#This Row],[SOL]], "0"))</f>
        <v>5-0-2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14</v>
      </c>
      <c r="AZ2">
        <f>SUMIF(DataRegularSeason20242025!$D$3:$D$1315,$A2, DataRegularSeason20242025!$K$3:$K$1315)</f>
        <v>7</v>
      </c>
      <c r="BA2">
        <f>AY2-AZ2</f>
        <v>7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7</v>
      </c>
      <c r="BE2">
        <f>BC2-BD2</f>
        <v>3</v>
      </c>
      <c r="BF2">
        <f>AY2+BC2</f>
        <v>24</v>
      </c>
      <c r="BG2">
        <f>AZ2+BD2</f>
        <v>14</v>
      </c>
      <c r="BH2">
        <f>BF2-BG2</f>
        <v>10</v>
      </c>
      <c r="BI2" s="12">
        <f>Table3[[#This Row],[GF]]/Table3[[#This Row],[GP]]</f>
        <v>3.4285714285714284</v>
      </c>
      <c r="BJ2" s="12">
        <f>Table3[[#This Row],[GA]]/Table3[[#This Row],[GP]]</f>
        <v>2</v>
      </c>
      <c r="BK2" s="12">
        <f>(Table3[[#This Row],[GF]]-Table3[[#This Row],[GA]])/Table3[[#This Row],[GP]]</f>
        <v>1.4285714285714286</v>
      </c>
      <c r="BL2" s="42" t="str">
        <f>_xlfn.CONCAT(TEXT(Table3[[#This Row],[W_H]], "0"), "-", TEXT(Table3[[#This Row],[RL_H]],"0"), "-", TEXT(Table3[[#This Row],[OTL_H]]+Table3[[#This Row],[SOL_H]], "0"))</f>
        <v>2-0-1</v>
      </c>
      <c r="BM2" s="42" t="str">
        <f>_xlfn.CONCAT(TEXT(Table3[[#This Row],[W_A]], "0"), "-", TEXT(Table3[[#This Row],[RL_A]],"0"), "-", TEXT(Table3[[#This Row],[OTL_A]]+Table3[[#This Row],[SOL_A]], "0"))</f>
        <v>3-0-1</v>
      </c>
      <c r="BN2" s="42">
        <f>((2*(Table3[[#This Row],[W_H]]))+Table3[[#This Row],[OTL_H]]+Table3[[#This Row],[SOL_H]])/(2*Table3[[#This Row],[GP_H]])</f>
        <v>0.83333333333333337</v>
      </c>
      <c r="BO2" s="42">
        <f>((2*(Table3[[#This Row],[W_A]]))+Table3[[#This Row],[OTL_A]]+Table3[[#This Row],[SOL_A]])/(2*Table3[[#This Row],[GP_A]])</f>
        <v>0.875</v>
      </c>
      <c r="BP2" s="16">
        <f>(Table3[[#This Row],[W]]*$CX$3)+(Table3[[#This Row],[L]]*$CX$4)+(Table3[[#This Row],[GF]]*$CX$5)+(Table3[[#This Row],[GA]]*$CX$6)</f>
        <v>8.1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72.193877551020407</v>
      </c>
      <c r="BR2" s="16">
        <f>(Table3[[#This Row],[W]]*0.7) + ((Table3[[#This Row],[GF]] - Table3[[#This Row],[GA]])*0.25)+(Table3[[#This Row],[GF]]*0.1)+(Table3[[#This Row],[GA]]*0.05)+(Table3[[#This Row],[L]]*0.3)</f>
        <v>9.6999999999999993</v>
      </c>
      <c r="BS2" s="16">
        <f>Table3[[#This Row],[TeamCost83]]/Table3[[#This Row],[GP]]</f>
        <v>1.3857142857142857</v>
      </c>
      <c r="BT2">
        <f>COUNTIFS(Table2[AwayTeam],$A2,Table2[PredictedWinner], $A2, Table2[GameIsOver], 1)</f>
        <v>4</v>
      </c>
      <c r="BU2">
        <f>COUNTIFS(Table2[HomeTeam],$A2,Table2[PredictedWinner], $A2, Table2[GameIsOver], 1)</f>
        <v>3</v>
      </c>
      <c r="BV2">
        <f>BT2+BU2</f>
        <v>7</v>
      </c>
      <c r="BW2">
        <f>F2-BT2</f>
        <v>0</v>
      </c>
      <c r="BX2">
        <f>H2-BU2</f>
        <v>0</v>
      </c>
      <c r="BY2">
        <f>BW2+BX2</f>
        <v>0</v>
      </c>
      <c r="BZ2">
        <f>Table3[[#This Row],[TimesPredictedWinner]]/Table3[[#This Row],[GP]]</f>
        <v>1</v>
      </c>
      <c r="CB2">
        <v>2022</v>
      </c>
      <c r="CD2" s="1">
        <v>45750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2.4000000000000004</v>
      </c>
      <c r="CJ2">
        <f>SUMIFS(Table2[GamePredictionScore], Table2[HomeTeam], Table3[[#This Row],[Teams]])</f>
        <v>1.6</v>
      </c>
      <c r="CK2">
        <f>Table3[[#This Row],[Column4]]+Table3[[#This Row],[Column3]]</f>
        <v>4</v>
      </c>
      <c r="CL2">
        <f>Table3[[#This Row],[Column5]]/Table3[[#This Row],[GP]]</f>
        <v>0.5714285714285714</v>
      </c>
      <c r="CR2" t="s">
        <v>139</v>
      </c>
      <c r="CS2">
        <f>SUM($J$2:$J$33)/2</f>
        <v>110</v>
      </c>
      <c r="CW2" t="s">
        <v>57</v>
      </c>
      <c r="CX2" s="14" t="s">
        <v>150</v>
      </c>
      <c r="CY2">
        <f>INDEX($J$2:$J$33,MATCH("CGY",$A$2:$A$33,0),1)</f>
        <v>8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4</v>
      </c>
      <c r="E3" s="10">
        <f>Table3[[#This Row],[Watched]]/Table3[[#This Row],[GP]]</f>
        <v>0.5714285714285714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>F3+H3</f>
        <v>7</v>
      </c>
      <c r="K3">
        <f>82-Table3[[#This Row],[GP]]</f>
        <v>75</v>
      </c>
      <c r="L3">
        <f>COUNTIFS(DataRegularSeason20242025!$D$3:$D$1315,$A3, DataRegularSeason20242025!$L$3:$L$1315, $A3,DataRegularSeason20242025!$N$3:$N$1315,1)</f>
        <v>2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1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1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0.7142857142857143</v>
      </c>
      <c r="AC3">
        <f>Table3[[#This Row],[W_A]]+Table3[[#This Row],[W_H]]</f>
        <v>5</v>
      </c>
      <c r="AD3">
        <f>Table3[[#This Row],[L_A]]+Table3[[#This Row],[L_H]]</f>
        <v>2</v>
      </c>
      <c r="AE3">
        <f>Table3[[#This Row],[RW_A]]+Table3[[#This Row],[RW_H]]</f>
        <v>4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1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1-2</v>
      </c>
      <c r="AL3">
        <f>SUM(Table3[[#This Row],[OTW]],Table3[[#This Row],[OTL]],Table3[[#This Row],[SOW]],Table3[[#This Row],[SOL]])</f>
        <v>3</v>
      </c>
      <c r="AM3">
        <f>(Table3[[#This Row],[OTW]]+Table3[[#This Row],[SOW]])/IF(Table3[[#This Row],[Total_ExtraTimes]]=0,1,Table3[[#This Row],[Total_ExtraTimes]])</f>
        <v>0.33333333333333331</v>
      </c>
      <c r="AN3">
        <f>Table3[[#This Row],[Total_ExtraTimes]]/MAX(1,Table3[[#This Row],[GP]])</f>
        <v>0.42857142857142855</v>
      </c>
      <c r="AO3">
        <f>(2*(Table3[[#This Row],[W_A]]+Table3[[#This Row],[W_H]]))+Table3[[#This Row],[OTL_A]]+Table3[[#This Row],[SOL_A]]+Table3[[#This Row],[OTL_H]]+Table3[[#This Row],[SOL_H]]</f>
        <v>12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0.8571428571428571</v>
      </c>
      <c r="AR3" s="10">
        <f>Table3[[#This Row],[PTS2]]/(3*Table3[[#This Row],[GP]])</f>
        <v>0.76190476190476186</v>
      </c>
      <c r="AS3">
        <f>(2*Table3[[#This Row],[GR]])+Table3[[#This Row],[PTS]]</f>
        <v>162</v>
      </c>
      <c r="AT3">
        <f>(3*Table3[[#This Row],[GR]])+Table3[[#This Row],[PTS2]]</f>
        <v>241</v>
      </c>
      <c r="AU3">
        <f>Table3[[#This Row],[PTS]]+(2 * Table3[[#This Row],[GR]] * Table3[[#This Row],[PTS%]])</f>
        <v>140.57142857142856</v>
      </c>
      <c r="AV3">
        <f>Table3[[#This Row],[PTS2]]+(3 * Table3[[#This Row],[GR]] * Table3[[#This Row],[PTS%2]])</f>
        <v>187.42857142857142</v>
      </c>
      <c r="AW3" s="15" t="str">
        <f>_xlfn.CONCAT(TEXT(Table3[[#This Row],[W]], "0"), "-", TEXT(Table3[[#This Row],[RL]],"0"), "-", TEXT(Table3[[#This Row],[OTL]]+Table3[[#This Row],[SOL]], "0"))</f>
        <v>5-0-2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9</v>
      </c>
      <c r="AZ3">
        <f>SUMIF(DataRegularSeason20242025!$D$3:$D$1315,$A3, DataRegularSeason20242025!$K$3:$K$1315)</f>
        <v>7</v>
      </c>
      <c r="BA3">
        <f>AY3-AZ3</f>
        <v>2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>BC3-BD3</f>
        <v>8</v>
      </c>
      <c r="BF3">
        <f>AY3+BC3</f>
        <v>30</v>
      </c>
      <c r="BG3">
        <f>AZ3+BD3</f>
        <v>20</v>
      </c>
      <c r="BH3">
        <f>BF3-BG3</f>
        <v>10</v>
      </c>
      <c r="BI3" s="12">
        <f>Table3[[#This Row],[GF]]/Table3[[#This Row],[GP]]</f>
        <v>4.2857142857142856</v>
      </c>
      <c r="BJ3" s="12">
        <f>Table3[[#This Row],[GA]]/Table3[[#This Row],[GP]]</f>
        <v>2.8571428571428572</v>
      </c>
      <c r="BK3" s="12">
        <f>(Table3[[#This Row],[GF]]-Table3[[#This Row],[GA]])/Table3[[#This Row],[GP]]</f>
        <v>1.4285714285714286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2-0-1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0.83333333333333337</v>
      </c>
      <c r="BP3" s="16">
        <f>(Table3[[#This Row],[W]]*$CX$3)+(Table3[[#This Row],[L]]*$CX$4)+(Table3[[#This Row],[GF]]*$CX$5)+(Table3[[#This Row],[GA]]*$CX$6)</f>
        <v>9.6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91.265306122448976</v>
      </c>
      <c r="BR3" s="16">
        <f>(Table3[[#This Row],[W]]*0.7) + ((Table3[[#This Row],[GF]] - Table3[[#This Row],[GA]])*0.25)+(Table3[[#This Row],[GF]]*0.1)+(Table3[[#This Row],[GA]]*0.05)+(Table3[[#This Row],[L]]*0.3)</f>
        <v>10.6</v>
      </c>
      <c r="BS3" s="16">
        <f>Table3[[#This Row],[TeamCost83]]/Table3[[#This Row],[GP]]</f>
        <v>1.5142857142857142</v>
      </c>
      <c r="BT3">
        <f>COUNTIFS(Table2[AwayTeam],$A3,Table2[PredictedWinner], $A3, Table2[GameIsOver], 1)</f>
        <v>2</v>
      </c>
      <c r="BU3">
        <f>COUNTIFS(Table2[HomeTeam],$A3,Table2[PredictedWinner], $A3, Table2[GameIsOver], 1)</f>
        <v>4</v>
      </c>
      <c r="BV3">
        <f>BT3+BU3</f>
        <v>6</v>
      </c>
      <c r="BW3">
        <f>F3-BT3</f>
        <v>1</v>
      </c>
      <c r="BX3">
        <f>H3-BU3</f>
        <v>0</v>
      </c>
      <c r="BY3">
        <f>BW3+BX3</f>
        <v>1</v>
      </c>
      <c r="BZ3">
        <f>Table3[[#This Row],[TimesPredictedWinner]]/Table3[[#This Row],[GP]]</f>
        <v>0.8571428571428571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3.4000000000000004</v>
      </c>
      <c r="CL3">
        <f>Table3[[#This Row],[Column5]]/Table3[[#This Row],[GP]]</f>
        <v>0.48571428571428577</v>
      </c>
      <c r="CR3" t="s">
        <v>137</v>
      </c>
      <c r="CS3">
        <f>SUM($D$2:$D$33)/2</f>
        <v>81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6.7114093959731544E-2</v>
      </c>
    </row>
    <row r="4" spans="1:144" x14ac:dyDescent="0.25">
      <c r="A4" t="s">
        <v>31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3</v>
      </c>
      <c r="E4" s="10">
        <f>Table3[[#This Row],[Watched]]/Table3[[#This Row],[GP]]</f>
        <v>0.42857142857142855</v>
      </c>
      <c r="F4">
        <f>COUNTIFS(DataRegularSeason20242025!$N$3:$N$1315,1,DataRegularSeason20242025!$D$3:$D$1315,$A4)</f>
        <v>4</v>
      </c>
      <c r="G4">
        <f>41-Table3[[#This Row],[GP_A]]</f>
        <v>37</v>
      </c>
      <c r="H4">
        <f>COUNTIFS(DataRegularSeason20242025!$E$3:$E$1315,$A4,DataRegularSeason20242025!$N$3:$N$1315,1)</f>
        <v>3</v>
      </c>
      <c r="I4">
        <f>41-Table3[[#This Row],[GP_H]]</f>
        <v>38</v>
      </c>
      <c r="J4">
        <f>F4+H4</f>
        <v>7</v>
      </c>
      <c r="K4">
        <f>82-Table3[[#This Row],[GP]]</f>
        <v>75</v>
      </c>
      <c r="L4">
        <f>COUNTIFS(DataRegularSeason20242025!$D$3:$D$1315,$A4, DataRegularSeason20242025!$L$3:$L$1315, $A4,DataRegularSeason20242025!$N$3:$N$1315,1)</f>
        <v>3</v>
      </c>
      <c r="M4">
        <f>COUNTIFS(DataRegularSeason20242025!$D$3:$D$1315,$A4, DataRegularSeason20242025!$L$3:$L$1315, $A4,DataRegularSeason20242025!$N$3:$N$1315,1,DataRegularSeason20242025!$M$3:$M$1315,"REG")</f>
        <v>3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3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0.8571428571428571</v>
      </c>
      <c r="AC4">
        <f>Table3[[#This Row],[W_A]]+Table3[[#This Row],[W_H]]</f>
        <v>6</v>
      </c>
      <c r="AD4">
        <f>Table3[[#This Row],[L_A]]+Table3[[#This Row],[L_H]]</f>
        <v>1</v>
      </c>
      <c r="AE4">
        <f>Table3[[#This Row],[RW_A]]+Table3[[#This Row],[RW_H]]</f>
        <v>6</v>
      </c>
      <c r="AF4">
        <f>Table3[[#This Row],[RL_A]]+Table3[[#This Row],[RL_H]]</f>
        <v>1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0-0</v>
      </c>
      <c r="AL4">
        <f>SUM(Table3[[#This Row],[OTW]],Table3[[#This Row],[OTL]],Table3[[#This Row],[SOW]],Table3[[#This Row],[SOL]])</f>
        <v>0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</v>
      </c>
      <c r="AO4">
        <f>(2*(Table3[[#This Row],[W_A]]+Table3[[#This Row],[W_H]]))+Table3[[#This Row],[OTL_A]]+Table3[[#This Row],[SOL_A]]+Table3[[#This Row],[OTL_H]]+Table3[[#This Row],[SOL_H]]</f>
        <v>12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4" s="10">
        <f>Table3[[#This Row],[PTS]]/(2*Table3[[#This Row],[GP]])</f>
        <v>0.8571428571428571</v>
      </c>
      <c r="AR4" s="10">
        <f>Table3[[#This Row],[PTS2]]/(3*Table3[[#This Row],[GP]])</f>
        <v>0.8571428571428571</v>
      </c>
      <c r="AS4">
        <f>(2*Table3[[#This Row],[GR]])+Table3[[#This Row],[PTS]]</f>
        <v>162</v>
      </c>
      <c r="AT4">
        <f>(3*Table3[[#This Row],[GR]])+Table3[[#This Row],[PTS2]]</f>
        <v>243</v>
      </c>
      <c r="AU4">
        <f>Table3[[#This Row],[PTS]]+(2 * Table3[[#This Row],[GR]] * Table3[[#This Row],[PTS%]])</f>
        <v>140.57142857142856</v>
      </c>
      <c r="AV4">
        <f>Table3[[#This Row],[PTS2]]+(3 * Table3[[#This Row],[GR]] * Table3[[#This Row],[PTS%2]])</f>
        <v>210.85714285714283</v>
      </c>
      <c r="AW4" s="15" t="str">
        <f>_xlfn.CONCAT(TEXT(Table3[[#This Row],[W]], "0"), "-", TEXT(Table3[[#This Row],[RL]],"0"), "-", TEXT(Table3[[#This Row],[OTL]]+Table3[[#This Row],[SOL]], "0"))</f>
        <v>6-1-0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16</v>
      </c>
      <c r="AZ4">
        <f>SUMIF(DataRegularSeason20242025!$D$3:$D$1315,$A4, DataRegularSeason20242025!$K$3:$K$1315)</f>
        <v>13</v>
      </c>
      <c r="BA4">
        <f>AY4-AZ4</f>
        <v>3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12</v>
      </c>
      <c r="BD4">
        <f>SUMIF(DataRegularSeason20242025!$E$3:$E$1315,$A4,DataRegularSeason20242025!$J$3:$J$1315)</f>
        <v>5</v>
      </c>
      <c r="BE4">
        <f>BC4-BD4</f>
        <v>7</v>
      </c>
      <c r="BF4">
        <f>AY4+BC4</f>
        <v>28</v>
      </c>
      <c r="BG4">
        <f>AZ4+BD4</f>
        <v>18</v>
      </c>
      <c r="BH4">
        <f>BF4-BG4</f>
        <v>10</v>
      </c>
      <c r="BI4" s="12">
        <f>Table3[[#This Row],[GF]]/Table3[[#This Row],[GP]]</f>
        <v>4</v>
      </c>
      <c r="BJ4" s="12">
        <f>Table3[[#This Row],[GA]]/Table3[[#This Row],[GP]]</f>
        <v>2.5714285714285716</v>
      </c>
      <c r="BK4" s="12">
        <f>(Table3[[#This Row],[GF]]-Table3[[#This Row],[GA]])/Table3[[#This Row],[GP]]</f>
        <v>1.4285714285714286</v>
      </c>
      <c r="BL4" s="42" t="str">
        <f>_xlfn.CONCAT(TEXT(Table3[[#This Row],[W_H]], "0"), "-", TEXT(Table3[[#This Row],[RL_H]],"0"), "-", TEXT(Table3[[#This Row],[OTL_H]]+Table3[[#This Row],[SOL_H]], "0"))</f>
        <v>3-0-0</v>
      </c>
      <c r="BM4" s="42" t="str">
        <f>_xlfn.CONCAT(TEXT(Table3[[#This Row],[W_A]], "0"), "-", TEXT(Table3[[#This Row],[RL_A]],"0"), "-", TEXT(Table3[[#This Row],[OTL_A]]+Table3[[#This Row],[SOL_A]], "0"))</f>
        <v>3-1-0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0.75</v>
      </c>
      <c r="BP4" s="16">
        <f>(Table3[[#This Row],[W]]*$CX$3)+(Table3[[#This Row],[L]]*$CX$4)+(Table3[[#This Row],[GF]]*$CX$5)+(Table3[[#This Row],[GA]]*$CX$6)</f>
        <v>9.3000000000000007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85.108163265306118</v>
      </c>
      <c r="BR4" s="16">
        <f>(Table3[[#This Row],[W]]*0.7) + ((Table3[[#This Row],[GF]] - Table3[[#This Row],[GA]])*0.25)+(Table3[[#This Row],[GF]]*0.1)+(Table3[[#This Row],[GA]]*0.05)+(Table3[[#This Row],[L]]*0.3)</f>
        <v>10.700000000000001</v>
      </c>
      <c r="BS4" s="16">
        <f>Table3[[#This Row],[TeamCost83]]/Table3[[#This Row],[GP]]</f>
        <v>1.5285714285714287</v>
      </c>
      <c r="BT4">
        <f>COUNTIFS(Table2[AwayTeam],$A4,Table2[PredictedWinner], $A4, Table2[GameIsOver], 1)</f>
        <v>1</v>
      </c>
      <c r="BU4">
        <f>COUNTIFS(Table2[HomeTeam],$A4,Table2[PredictedWinner], $A4, Table2[GameIsOver], 1)</f>
        <v>3</v>
      </c>
      <c r="BV4">
        <f>BT4+BU4</f>
        <v>4</v>
      </c>
      <c r="BW4">
        <f>F4-BT4</f>
        <v>3</v>
      </c>
      <c r="BX4">
        <f>H4-BU4</f>
        <v>0</v>
      </c>
      <c r="BY4">
        <f>BW4+BX4</f>
        <v>3</v>
      </c>
      <c r="BZ4">
        <f>Table3[[#This Row],[TimesPredictedWinner]]/Table3[[#This Row],[GP]]</f>
        <v>0.5714285714285714</v>
      </c>
      <c r="CB4">
        <v>2003</v>
      </c>
      <c r="CD4" s="1">
        <v>45755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1.8</v>
      </c>
      <c r="CJ4">
        <f>SUMIFS(Table2[GamePredictionScore], Table2[HomeTeam], Table3[[#This Row],[Teams]])</f>
        <v>2.7</v>
      </c>
      <c r="CK4">
        <f>Table3[[#This Row],[Column4]]+Table3[[#This Row],[Column3]]</f>
        <v>4.5</v>
      </c>
      <c r="CL4">
        <f>Table3[[#This Row],[Column5]]/Table3[[#This Row],[GP]]</f>
        <v>0.6428571428571429</v>
      </c>
      <c r="CR4" t="s">
        <v>138</v>
      </c>
      <c r="CS4">
        <f>$CS$2-$CS$3</f>
        <v>29</v>
      </c>
      <c r="CW4" t="s">
        <v>119</v>
      </c>
      <c r="CX4" s="16">
        <v>0.3</v>
      </c>
      <c r="CY4">
        <f>INDEX($AD$2:$AD$33,MATCH("CGY",$A$2:$A$33,0),1)</f>
        <v>7</v>
      </c>
      <c r="DA4" s="16">
        <f>CX4*CY4</f>
        <v>2.1</v>
      </c>
      <c r="DB4" s="10">
        <f>DA4/$DA$7</f>
        <v>0.28187919463087246</v>
      </c>
    </row>
    <row r="5" spans="1:144" x14ac:dyDescent="0.25">
      <c r="A5" t="s">
        <v>41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5</v>
      </c>
      <c r="E5" s="10">
        <f>Table3[[#This Row],[Watched]]/Table3[[#This Row],[GP]]</f>
        <v>0.83333333333333337</v>
      </c>
      <c r="F5">
        <f>COUNTIFS(DataRegularSeason20242025!$N$3:$N$1315,1,DataRegularSeason20242025!$D$3:$D$1315,$A5)</f>
        <v>4</v>
      </c>
      <c r="G5">
        <f>41-Table3[[#This Row],[GP_A]]</f>
        <v>37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>F5+H5</f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3</v>
      </c>
      <c r="M5">
        <f>COUNTIFS(DataRegularSeason20242025!$D$3:$D$1315,$A5, DataRegularSeason20242025!$L$3:$L$1315, $A5,DataRegularSeason20242025!$N$3:$N$1315,1,DataRegularSeason20242025!$M$3:$M$1315,"REG")</f>
        <v>2</v>
      </c>
      <c r="N5">
        <f>COUNTIFS(DataRegularSeason20242025!$D$3:$D$1315,$A5, DataRegularSeason20242025!$L$3:$L$1315, $A5,DataRegularSeason20242025!$N$3:$N$1315,1,DataRegularSeason20242025!$M$3:$M$1315,"OT")</f>
        <v>1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1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3</v>
      </c>
      <c r="AF5">
        <f>Table3[[#This Row],[RL_A]]+Table3[[#This Row],[RL_H]]</f>
        <v>1</v>
      </c>
      <c r="AG5">
        <f>Table3[[#This Row],[OTW_A]]+Table3[[#This Row],[OTW_H]]</f>
        <v>2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2-0</v>
      </c>
      <c r="AL5">
        <f>SUM(Table3[[#This Row],[OTW]],Table3[[#This Row],[OTL]],Table3[[#This Row],[SOW]],Table3[[#This Row],[SOL]])</f>
        <v>2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0.33333333333333331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5" s="10">
        <f>Table3[[#This Row],[PTS]]/(2*Table3[[#This Row],[GP]])</f>
        <v>0.83333333333333337</v>
      </c>
      <c r="AR5" s="10">
        <f>Table3[[#This Row],[PTS2]]/(3*Table3[[#This Row],[GP]])</f>
        <v>0.72222222222222221</v>
      </c>
      <c r="AS5">
        <f>(2*Table3[[#This Row],[GR]])+Table3[[#This Row],[PTS]]</f>
        <v>162</v>
      </c>
      <c r="AT5">
        <f>(3*Table3[[#This Row],[GR]])+Table3[[#This Row],[PTS2]]</f>
        <v>241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177.66666666666666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14</v>
      </c>
      <c r="AZ5">
        <f>SUMIF(DataRegularSeason20242025!$D$3:$D$1315,$A5, DataRegularSeason20242025!$K$3:$K$1315)</f>
        <v>9</v>
      </c>
      <c r="BA5">
        <f>AY5-AZ5</f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10</v>
      </c>
      <c r="BD5">
        <f>SUMIF(DataRegularSeason20242025!$E$3:$E$1315,$A5,DataRegularSeason20242025!$J$3:$J$1315)</f>
        <v>6</v>
      </c>
      <c r="BE5">
        <f>BC5-BD5</f>
        <v>4</v>
      </c>
      <c r="BF5">
        <f>AY5+BC5</f>
        <v>24</v>
      </c>
      <c r="BG5">
        <f>AZ5+BD5</f>
        <v>15</v>
      </c>
      <c r="BH5">
        <f>BF5-BG5</f>
        <v>9</v>
      </c>
      <c r="BI5" s="12">
        <f>Table3[[#This Row],[GF]]/Table3[[#This Row],[GP]]</f>
        <v>4</v>
      </c>
      <c r="BJ5" s="12">
        <f>Table3[[#This Row],[GA]]/Table3[[#This Row],[GP]]</f>
        <v>2.5</v>
      </c>
      <c r="BK5" s="12">
        <f>(Table3[[#This Row],[GF]]-Table3[[#This Row],[GA]])/Table3[[#This Row],[GP]]</f>
        <v>1.5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3-1-0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0.75</v>
      </c>
      <c r="BP5" s="16">
        <f>(Table3[[#This Row],[W]]*$CX$3)+(Table3[[#This Row],[L]]*$CX$4)+(Table3[[#This Row],[GF]]*$CX$5)+(Table3[[#This Row],[GA]]*$CX$6)</f>
        <v>7.8999999999999995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83.97777777777776</v>
      </c>
      <c r="BR5" s="16">
        <f>(Table3[[#This Row],[W]]*0.7) + ((Table3[[#This Row],[GF]] - Table3[[#This Row],[GA]])*0.25)+(Table3[[#This Row],[GF]]*0.1)+(Table3[[#This Row],[GA]]*0.05)+(Table3[[#This Row],[L]]*0.3)</f>
        <v>9.2000000000000011</v>
      </c>
      <c r="BS5" s="16">
        <f>Table3[[#This Row],[TeamCost83]]/Table3[[#This Row],[GP]]</f>
        <v>1.5333333333333334</v>
      </c>
      <c r="BT5">
        <f>COUNTIFS(Table2[AwayTeam],$A5,Table2[PredictedWinner], $A5, Table2[GameIsOver], 1)</f>
        <v>2</v>
      </c>
      <c r="BU5">
        <f>COUNTIFS(Table2[HomeTeam],$A5,Table2[PredictedWinner], $A5, Table2[GameIsOver], 1)</f>
        <v>2</v>
      </c>
      <c r="BV5">
        <f>BT5+BU5</f>
        <v>4</v>
      </c>
      <c r="BW5">
        <f>F5-BT5</f>
        <v>2</v>
      </c>
      <c r="BX5">
        <f>H5-BU5</f>
        <v>0</v>
      </c>
      <c r="BY5">
        <f>BW5+BX5</f>
        <v>2</v>
      </c>
      <c r="BZ5">
        <f>Table3[[#This Row],[TimesPredictedWinner]]/Table3[[#This Row],[GP]]</f>
        <v>0.66666666666666663</v>
      </c>
      <c r="CB5">
        <v>2006</v>
      </c>
      <c r="CD5" s="1">
        <v>45749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2.4000000000000004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4</v>
      </c>
      <c r="CL5">
        <f>Table3[[#This Row],[Column5]]/Table3[[#This Row],[GP]]</f>
        <v>0.66666666666666663</v>
      </c>
      <c r="CR5" t="s">
        <v>140</v>
      </c>
      <c r="CS5">
        <f>SUM($BF$2:$BF$33)</f>
        <v>660</v>
      </c>
      <c r="CW5" t="s">
        <v>67</v>
      </c>
      <c r="CX5" s="16">
        <v>0.15</v>
      </c>
      <c r="CY5">
        <f>INDEX($BF$2:$BF$33,MATCH("CGY",$A$2:$A$33,0),1)</f>
        <v>13</v>
      </c>
      <c r="CZ5">
        <f>CY5/CY2</f>
        <v>1.625</v>
      </c>
      <c r="DA5" s="16">
        <f>CX5*CY5</f>
        <v>1.95</v>
      </c>
      <c r="DB5" s="10">
        <f>DA5/$DA$7</f>
        <v>0.26174496644295303</v>
      </c>
    </row>
    <row r="6" spans="1:144" ht="15.75" thickBot="1" x14ac:dyDescent="0.3">
      <c r="A6" t="s">
        <v>21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0.5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3</v>
      </c>
      <c r="I6">
        <f>41-Table3[[#This Row],[GP_H]]</f>
        <v>38</v>
      </c>
      <c r="J6">
        <f>F6+H6</f>
        <v>6</v>
      </c>
      <c r="K6">
        <f>82-Table3[[#This Row],[GP]]</f>
        <v>76</v>
      </c>
      <c r="L6">
        <f>COUNTIFS(DataRegularSeason20242025!$D$3:$D$1315,$A6, DataRegularSeason20242025!$L$3:$L$1315, $A6,DataRegularSeason20242025!$N$3:$N$1315,1)</f>
        <v>3</v>
      </c>
      <c r="M6">
        <f>COUNTIFS(DataRegularSeason20242025!$D$3:$D$1315,$A6, DataRegularSeason20242025!$L$3:$L$1315, $A6,DataRegularSeason20242025!$N$3:$N$1315,1,DataRegularSeason20242025!$M$3:$M$1315,"REG")</f>
        <v>3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0.83333333333333337</v>
      </c>
      <c r="AC6">
        <f>Table3[[#This Row],[W_A]]+Table3[[#This Row],[W_H]]</f>
        <v>5</v>
      </c>
      <c r="AD6">
        <f>Table3[[#This Row],[L_A]]+Table3[[#This Row],[L_H]]</f>
        <v>1</v>
      </c>
      <c r="AE6">
        <f>Table3[[#This Row],[RW_A]]+Table3[[#This Row],[RW_H]]</f>
        <v>5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10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6" s="10">
        <f>Table3[[#This Row],[PTS]]/(2*Table3[[#This Row],[GP]])</f>
        <v>0.83333333333333337</v>
      </c>
      <c r="AR6" s="10">
        <f>Table3[[#This Row],[PTS2]]/(3*Table3[[#This Row],[GP]])</f>
        <v>0.83333333333333337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205</v>
      </c>
      <c r="AW6" s="15" t="str">
        <f>_xlfn.CONCAT(TEXT(Table3[[#This Row],[W]], "0"), "-", TEXT(Table3[[#This Row],[RL]],"0"), "-", TEXT(Table3[[#This Row],[OTL]]+Table3[[#This Row],[SOL]], "0"))</f>
        <v>5-1-0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12</v>
      </c>
      <c r="AZ6">
        <f>SUMIF(DataRegularSeason20242025!$D$3:$D$1315,$A6, DataRegularSeason20242025!$K$3:$K$1315)</f>
        <v>5</v>
      </c>
      <c r="BA6">
        <f>AY6-AZ6</f>
        <v>7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11</v>
      </c>
      <c r="BD6">
        <f>SUMIF(DataRegularSeason20242025!$E$3:$E$1315,$A6,DataRegularSeason20242025!$J$3:$J$1315)</f>
        <v>8</v>
      </c>
      <c r="BE6">
        <f>BC6-BD6</f>
        <v>3</v>
      </c>
      <c r="BF6">
        <f>AY6+BC6</f>
        <v>23</v>
      </c>
      <c r="BG6">
        <f>AZ6+BD6</f>
        <v>13</v>
      </c>
      <c r="BH6">
        <f>BF6-BG6</f>
        <v>10</v>
      </c>
      <c r="BI6" s="12">
        <f>Table3[[#This Row],[GF]]/Table3[[#This Row],[GP]]</f>
        <v>3.8333333333333335</v>
      </c>
      <c r="BJ6" s="12">
        <f>Table3[[#This Row],[GA]]/Table3[[#This Row],[GP]]</f>
        <v>2.1666666666666665</v>
      </c>
      <c r="BK6" s="12">
        <f>(Table3[[#This Row],[GF]]-Table3[[#This Row],[GA]])/Table3[[#This Row],[GP]]</f>
        <v>1.6666666666666667</v>
      </c>
      <c r="BL6" s="42" t="str">
        <f>_xlfn.CONCAT(TEXT(Table3[[#This Row],[W_H]], "0"), "-", TEXT(Table3[[#This Row],[RL_H]],"0"), "-", TEXT(Table3[[#This Row],[OTL_H]]+Table3[[#This Row],[SOL_H]], "0"))</f>
        <v>2-1-0</v>
      </c>
      <c r="BM6" s="42" t="str">
        <f>_xlfn.CONCAT(TEXT(Table3[[#This Row],[W_A]], "0"), "-", TEXT(Table3[[#This Row],[RL_A]],"0"), "-", TEXT(Table3[[#This Row],[OTL_A]]+Table3[[#This Row],[SOL_A]], "0"))</f>
        <v>3-0-0</v>
      </c>
      <c r="BN6" s="42">
        <f>((2*(Table3[[#This Row],[W_H]]))+Table3[[#This Row],[OTL_H]]+Table3[[#This Row],[SOL_H]])/(2*Table3[[#This Row],[GP_H]])</f>
        <v>0.66666666666666663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7.55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78.844444444444449</v>
      </c>
      <c r="BR6" s="16">
        <f>(Table3[[#This Row],[W]]*0.7) + ((Table3[[#This Row],[GF]] - Table3[[#This Row],[GA]])*0.25)+(Table3[[#This Row],[GF]]*0.1)+(Table3[[#This Row],[GA]]*0.05)+(Table3[[#This Row],[L]]*0.3)</f>
        <v>9.2500000000000018</v>
      </c>
      <c r="BS6" s="16">
        <f>Table3[[#This Row],[TeamCost83]]/Table3[[#This Row],[GP]]</f>
        <v>1.541666666666667</v>
      </c>
      <c r="BT6">
        <f>COUNTIFS(Table2[AwayTeam],$A6,Table2[PredictedWinner], $A6, Table2[GameIsOver], 1)</f>
        <v>2</v>
      </c>
      <c r="BU6">
        <f>COUNTIFS(Table2[HomeTeam],$A6,Table2[PredictedWinner], $A6, Table2[GameIsOver], 1)</f>
        <v>2</v>
      </c>
      <c r="BV6">
        <f>BT6+BU6</f>
        <v>4</v>
      </c>
      <c r="BW6">
        <f>F6-BT6</f>
        <v>1</v>
      </c>
      <c r="BX6">
        <f>H6-BU6</f>
        <v>1</v>
      </c>
      <c r="BY6">
        <f>BW6+BX6</f>
        <v>2</v>
      </c>
      <c r="BZ6">
        <f>Table3[[#This Row],[TimesPredictedWinner]]/Table3[[#This Row],[GP]]</f>
        <v>0.66666666666666663</v>
      </c>
      <c r="CD6" s="1">
        <v>45741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2.6</v>
      </c>
      <c r="CK6">
        <f>Table3[[#This Row],[Column4]]+Table3[[#This Row],[Column3]]</f>
        <v>4.5</v>
      </c>
      <c r="CL6">
        <f>Table3[[#This Row],[Column5]]/Table3[[#This Row],[GP]]</f>
        <v>0.75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29</v>
      </c>
      <c r="CZ6">
        <f>CY6/CY2</f>
        <v>3.625</v>
      </c>
      <c r="DA6" s="16">
        <f>CX6*CY6</f>
        <v>2.9000000000000004</v>
      </c>
      <c r="DB6" s="10">
        <f>DA6/$DA$7</f>
        <v>0.389261744966443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8</v>
      </c>
      <c r="E7" s="10">
        <f>Table3[[#This Row],[Watched]]/Table3[[#This Row],[GP]]</f>
        <v>1</v>
      </c>
      <c r="F7">
        <f>COUNTIFS(DataRegularSeason20242025!$N$3:$N$1315,1,DataRegularSeason20242025!$D$3:$D$1315,$A7)</f>
        <v>4</v>
      </c>
      <c r="G7">
        <f>41-Table3[[#This Row],[GP_A]]</f>
        <v>37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>F7+H7</f>
        <v>8</v>
      </c>
      <c r="K7">
        <f>82-Table3[[#This Row],[GP]]</f>
        <v>74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1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3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2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0.75</v>
      </c>
      <c r="AC7">
        <f>Table3[[#This Row],[W_A]]+Table3[[#This Row],[W_H]]</f>
        <v>6</v>
      </c>
      <c r="AD7">
        <f>Table3[[#This Row],[L_A]]+Table3[[#This Row],[L_H]]</f>
        <v>2</v>
      </c>
      <c r="AE7">
        <f>Table3[[#This Row],[RW_A]]+Table3[[#This Row],[RW_H]]</f>
        <v>3</v>
      </c>
      <c r="AF7">
        <f>Table3[[#This Row],[RL_A]]+Table3[[#This Row],[RL_H]]</f>
        <v>2</v>
      </c>
      <c r="AG7">
        <f>Table3[[#This Row],[OTW_A]]+Table3[[#This Row],[OTW_H]]</f>
        <v>3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3-0</v>
      </c>
      <c r="AL7">
        <f>SUM(Table3[[#This Row],[OTW]],Table3[[#This Row],[OTL]],Table3[[#This Row],[SOW]],Table3[[#This Row],[SOL]])</f>
        <v>3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0.375</v>
      </c>
      <c r="AO7">
        <f>(2*(Table3[[#This Row],[W_A]]+Table3[[#This Row],[W_H]]))+Table3[[#This Row],[OTL_A]]+Table3[[#This Row],[SOL_A]]+Table3[[#This Row],[OTL_H]]+Table3[[#This Row],[SOL_H]]</f>
        <v>12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7" s="10">
        <f>Table3[[#This Row],[PTS]]/(2*Table3[[#This Row],[GP]])</f>
        <v>0.75</v>
      </c>
      <c r="AR7" s="10">
        <f>Table3[[#This Row],[PTS2]]/(3*Table3[[#This Row],[GP]])</f>
        <v>0.625</v>
      </c>
      <c r="AS7">
        <f>(2*Table3[[#This Row],[GR]])+Table3[[#This Row],[PTS]]</f>
        <v>160</v>
      </c>
      <c r="AT7">
        <f>(3*Table3[[#This Row],[GR]])+Table3[[#This Row],[PTS2]]</f>
        <v>237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153.75</v>
      </c>
      <c r="AW7" s="15" t="str">
        <f>_xlfn.CONCAT(TEXT(Table3[[#This Row],[W]], "0"), "-", TEXT(Table3[[#This Row],[RL]],"0"), "-", TEXT(Table3[[#This Row],[OTL]]+Table3[[#This Row],[SOL]], "0"))</f>
        <v>6-2-0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12</v>
      </c>
      <c r="AZ7">
        <f>SUMIF(DataRegularSeason20242025!$D$3:$D$1315,$A7, DataRegularSeason20242025!$K$3:$K$1315)</f>
        <v>9</v>
      </c>
      <c r="BA7">
        <f>AY7-AZ7</f>
        <v>3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15</v>
      </c>
      <c r="BD7">
        <f>SUMIF(DataRegularSeason20242025!$E$3:$E$1315,$A7,DataRegularSeason20242025!$J$3:$J$1315)</f>
        <v>12</v>
      </c>
      <c r="BE7">
        <f>BC7-BD7</f>
        <v>3</v>
      </c>
      <c r="BF7">
        <f>AY7+BC7</f>
        <v>27</v>
      </c>
      <c r="BG7">
        <f>AZ7+BD7</f>
        <v>21</v>
      </c>
      <c r="BH7">
        <f>BF7-BG7</f>
        <v>6</v>
      </c>
      <c r="BI7" s="12">
        <f>Table3[[#This Row],[GF]]/Table3[[#This Row],[GP]]</f>
        <v>3.375</v>
      </c>
      <c r="BJ7" s="12">
        <f>Table3[[#This Row],[GA]]/Table3[[#This Row],[GP]]</f>
        <v>2.625</v>
      </c>
      <c r="BK7" s="12">
        <f>(Table3[[#This Row],[GF]]-Table3[[#This Row],[GA]])/Table3[[#This Row],[GP]]</f>
        <v>0.75</v>
      </c>
      <c r="BL7" s="42" t="str">
        <f>_xlfn.CONCAT(TEXT(Table3[[#This Row],[W_H]], "0"), "-", TEXT(Table3[[#This Row],[RL_H]],"0"), "-", TEXT(Table3[[#This Row],[OTL_H]]+Table3[[#This Row],[SOL_H]], "0"))</f>
        <v>3-1-0</v>
      </c>
      <c r="BM7" s="42" t="str">
        <f>_xlfn.CONCAT(TEXT(Table3[[#This Row],[W_A]], "0"), "-", TEXT(Table3[[#This Row],[RL_A]],"0"), "-", TEXT(Table3[[#This Row],[OTL_A]]+Table3[[#This Row],[SOL_A]], "0"))</f>
        <v>3-1-0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0.75</v>
      </c>
      <c r="BP7" s="16">
        <f>(Table3[[#This Row],[W]]*$CX$3)+(Table3[[#This Row],[L]]*$CX$4)+(Table3[[#This Row],[GF]]*$CX$5)+(Table3[[#This Row],[GA]]*$CX$6)</f>
        <v>9.75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77.399999999999977</v>
      </c>
      <c r="BR7" s="16">
        <f>(Table3[[#This Row],[W]]*0.7) + ((Table3[[#This Row],[GF]] - Table3[[#This Row],[GA]])*0.25)+(Table3[[#This Row],[GF]]*0.1)+(Table3[[#This Row],[GA]]*0.05)+(Table3[[#This Row],[L]]*0.3)</f>
        <v>10.049999999999999</v>
      </c>
      <c r="BS7" s="16">
        <f>Table3[[#This Row],[TeamCost83]]/Table3[[#This Row],[GP]]</f>
        <v>1.2562499999999999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4</v>
      </c>
      <c r="BV7">
        <f>BT7+BU7</f>
        <v>6</v>
      </c>
      <c r="BW7">
        <f>F7-BT7</f>
        <v>2</v>
      </c>
      <c r="BX7">
        <f>H7-BU7</f>
        <v>0</v>
      </c>
      <c r="BY7">
        <f>BW7+BX7</f>
        <v>2</v>
      </c>
      <c r="BZ7">
        <f>Table3[[#This Row],[TimesPredictedWinner]]/Table3[[#This Row],[GP]]</f>
        <v>0.75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2.5000000000000004</v>
      </c>
      <c r="CJ7">
        <f>SUMIFS(Table2[GamePredictionScore], Table2[HomeTeam], Table3[[#This Row],[Teams]])</f>
        <v>2.5</v>
      </c>
      <c r="CK7">
        <f>Table3[[#This Row],[Column4]]+Table3[[#This Row],[Column3]]</f>
        <v>5</v>
      </c>
      <c r="CL7">
        <f>Table3[[#This Row],[Column5]]/Table3[[#This Row],[GP]]</f>
        <v>0.625</v>
      </c>
      <c r="CR7" t="s">
        <v>142</v>
      </c>
      <c r="CS7">
        <f>SUM($AG$2:$AG$33)</f>
        <v>19</v>
      </c>
      <c r="CW7" t="s">
        <v>543</v>
      </c>
      <c r="CX7">
        <f>INDEX($AQ$2:$AQ$33,MATCH("CGY",$A$2:$A$33,0),1)</f>
        <v>0.1875</v>
      </c>
      <c r="CZ7" s="17">
        <f>(CX4+(ABS(CX3-CX4)*CX7))+(CX5*CZ5)+(CX6*CZ6)</f>
        <v>0.94375000000000009</v>
      </c>
      <c r="DA7" s="88">
        <f>SUM(DA3:DA6)</f>
        <v>7.45</v>
      </c>
    </row>
    <row r="8" spans="1:144" ht="15.75" thickTop="1" x14ac:dyDescent="0.25">
      <c r="A8" t="s">
        <v>30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7</v>
      </c>
      <c r="E8" s="10">
        <f>Table3[[#This Row],[Watched]]/Table3[[#This Row],[GP]]</f>
        <v>1</v>
      </c>
      <c r="F8">
        <f>COUNTIFS(DataRegularSeason20242025!$N$3:$N$1315,1,DataRegularSeason20242025!$D$3:$D$1315,$A8)</f>
        <v>2</v>
      </c>
      <c r="G8">
        <f>41-Table3[[#This Row],[GP_A]]</f>
        <v>39</v>
      </c>
      <c r="H8">
        <f>COUNTIFS(DataRegularSeason20242025!$E$3:$E$1315,$A8,DataRegularSeason20242025!$N$3:$N$1315,1)</f>
        <v>5</v>
      </c>
      <c r="I8">
        <f>41-Table3[[#This Row],[GP_H]]</f>
        <v>36</v>
      </c>
      <c r="J8">
        <f>F8+H8</f>
        <v>7</v>
      </c>
      <c r="K8">
        <f>82-Table3[[#This Row],[GP]]</f>
        <v>75</v>
      </c>
      <c r="L8">
        <f>COUNTIFS(DataRegularSeason20242025!$D$3:$D$1315,$A8, DataRegularSeason20242025!$L$3:$L$1315, $A8,DataRegularSeason20242025!$N$3:$N$1315,1)</f>
        <v>1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1</v>
      </c>
      <c r="Q8">
        <f>COUNTIFS(DataRegularSeason20242025!$D$3:$D$1315,$A8, DataRegularSeason20242025!$S$3:$S$1315, $A8,DataRegularSeason20242025!$M$3:$M$1315,"REG")</f>
        <v>1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4</v>
      </c>
      <c r="U8">
        <f>COUNTIFS(DataRegularSeason20242025!$E$3:$E$1315,$A8, DataRegularSeason20242025!$L$3:$L$1315, $A8,DataRegularSeason20242025!$N$3:$N$1315,1,DataRegularSeason20242025!$M$3:$M$1315,"REG")</f>
        <v>3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0.7142857142857143</v>
      </c>
      <c r="AC8">
        <f>Table3[[#This Row],[W_A]]+Table3[[#This Row],[W_H]]</f>
        <v>5</v>
      </c>
      <c r="AD8">
        <f>Table3[[#This Row],[L_A]]+Table3[[#This Row],[L_H]]</f>
        <v>2</v>
      </c>
      <c r="AE8">
        <f>Table3[[#This Row],[RW_A]]+Table3[[#This Row],[RW_H]]</f>
        <v>4</v>
      </c>
      <c r="AF8">
        <f>Table3[[#This Row],[RL_A]]+Table3[[#This Row],[RL_H]]</f>
        <v>2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0.14285714285714285</v>
      </c>
      <c r="AO8">
        <f>(2*(Table3[[#This Row],[W_A]]+Table3[[#This Row],[W_H]]))+Table3[[#This Row],[OTL_A]]+Table3[[#This Row],[SOL_A]]+Table3[[#This Row],[OTL_H]]+Table3[[#This Row],[SOL_H]]</f>
        <v>10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8" s="10">
        <f>Table3[[#This Row],[PTS]]/(2*Table3[[#This Row],[GP]])</f>
        <v>0.7142857142857143</v>
      </c>
      <c r="AR8" s="10">
        <f>Table3[[#This Row],[PTS2]]/(3*Table3[[#This Row],[GP]])</f>
        <v>0.66666666666666663</v>
      </c>
      <c r="AS8">
        <f>(2*Table3[[#This Row],[GR]])+Table3[[#This Row],[PTS]]</f>
        <v>160</v>
      </c>
      <c r="AT8">
        <f>(3*Table3[[#This Row],[GR]])+Table3[[#This Row],[PTS2]]</f>
        <v>239</v>
      </c>
      <c r="AU8">
        <f>Table3[[#This Row],[PTS]]+(2 * Table3[[#This Row],[GR]] * Table3[[#This Row],[PTS%]])</f>
        <v>117.14285714285714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5-2-0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5</v>
      </c>
      <c r="AZ8">
        <f>SUMIF(DataRegularSeason20242025!$D$3:$D$1315,$A8, DataRegularSeason20242025!$K$3:$K$1315)</f>
        <v>6</v>
      </c>
      <c r="BA8">
        <f>AY8-AZ8</f>
        <v>-1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17</v>
      </c>
      <c r="BD8">
        <f>SUMIF(DataRegularSeason20242025!$E$3:$E$1315,$A8,DataRegularSeason20242025!$J$3:$J$1315)</f>
        <v>12</v>
      </c>
      <c r="BE8">
        <f>BC8-BD8</f>
        <v>5</v>
      </c>
      <c r="BF8">
        <f>AY8+BC8</f>
        <v>22</v>
      </c>
      <c r="BG8">
        <f>AZ8+BD8</f>
        <v>18</v>
      </c>
      <c r="BH8">
        <f>BF8-BG8</f>
        <v>4</v>
      </c>
      <c r="BI8" s="12">
        <f>Table3[[#This Row],[GF]]/Table3[[#This Row],[GP]]</f>
        <v>3.1428571428571428</v>
      </c>
      <c r="BJ8" s="12">
        <f>Table3[[#This Row],[GA]]/Table3[[#This Row],[GP]]</f>
        <v>2.5714285714285716</v>
      </c>
      <c r="BK8" s="12">
        <f>(Table3[[#This Row],[GF]]-Table3[[#This Row],[GA]])/Table3[[#This Row],[GP]]</f>
        <v>0.5714285714285714</v>
      </c>
      <c r="BL8" s="42" t="str">
        <f>_xlfn.CONCAT(TEXT(Table3[[#This Row],[W_H]], "0"), "-", TEXT(Table3[[#This Row],[RL_H]],"0"), "-", TEXT(Table3[[#This Row],[OTL_H]]+Table3[[#This Row],[SOL_H]], "0"))</f>
        <v>4-1-0</v>
      </c>
      <c r="BM8" s="42" t="str">
        <f>_xlfn.CONCAT(TEXT(Table3[[#This Row],[W_A]], "0"), "-", TEXT(Table3[[#This Row],[RL_A]],"0"), "-", TEXT(Table3[[#This Row],[OTL_A]]+Table3[[#This Row],[SOL_A]], "0"))</f>
        <v>1-1-0</v>
      </c>
      <c r="BN8" s="42">
        <f>((2*(Table3[[#This Row],[W_H]]))+Table3[[#This Row],[OTL_H]]+Table3[[#This Row],[SOL_H]])/(2*Table3[[#This Row],[GP_H]])</f>
        <v>0.8</v>
      </c>
      <c r="BO8" s="42">
        <f>((2*(Table3[[#This Row],[W_A]]))+Table3[[#This Row],[OTL_A]]+Table3[[#This Row],[SOL_A]])/(2*Table3[[#This Row],[GP_A]])</f>
        <v>0.5</v>
      </c>
      <c r="BP8" s="16">
        <f>(Table3[[#This Row],[W]]*$CX$3)+(Table3[[#This Row],[L]]*$CX$4)+(Table3[[#This Row],[GF]]*$CX$5)+(Table3[[#This Row],[GA]]*$CX$6)</f>
        <v>8.2000000000000011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73.130612244897947</v>
      </c>
      <c r="BR8" s="16">
        <f>(Table3[[#This Row],[W]]*0.7) + ((Table3[[#This Row],[GF]] - Table3[[#This Row],[GA]])*0.25)+(Table3[[#This Row],[GF]]*0.1)+(Table3[[#This Row],[GA]]*0.05)+(Table3[[#This Row],[L]]*0.3)</f>
        <v>8.2000000000000011</v>
      </c>
      <c r="BS8" s="16">
        <f>Table3[[#This Row],[TeamCost83]]/Table3[[#This Row],[GP]]</f>
        <v>1.1714285714285715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2</v>
      </c>
      <c r="BV8">
        <f>BT8+BU8</f>
        <v>4</v>
      </c>
      <c r="BW8">
        <f>F8-BT8</f>
        <v>0</v>
      </c>
      <c r="BX8">
        <f>H8-BU8</f>
        <v>3</v>
      </c>
      <c r="BY8">
        <f>BW8+BX8</f>
        <v>3</v>
      </c>
      <c r="BZ8">
        <f>Table3[[#This Row],[TimesPredictedWinner]]/Table3[[#This Row],[GP]]</f>
        <v>0.5714285714285714</v>
      </c>
      <c r="CB8">
        <v>2008</v>
      </c>
      <c r="CC8" s="1">
        <v>45759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0.8</v>
      </c>
      <c r="CJ8">
        <f>SUMIFS(Table2[GamePredictionScore], Table2[HomeTeam], Table3[[#This Row],[Teams]])</f>
        <v>2.5</v>
      </c>
      <c r="CK8">
        <f>Table3[[#This Row],[Column4]]+Table3[[#This Row],[Column3]]</f>
        <v>3.3</v>
      </c>
      <c r="CL8">
        <f>Table3[[#This Row],[Column5]]/Table3[[#This Row],[GP]]</f>
        <v>0.47142857142857142</v>
      </c>
      <c r="CR8" t="s">
        <v>143</v>
      </c>
      <c r="CS8">
        <f>SUM($AI$2:$AI$33)</f>
        <v>6</v>
      </c>
      <c r="CY8" t="s">
        <v>153</v>
      </c>
      <c r="CZ8" s="17">
        <f>CZ7*82</f>
        <v>77.387500000000003</v>
      </c>
      <c r="DA8" s="16">
        <f>DA7+((82-CY2)*CZ7)</f>
        <v>77.287500000000009</v>
      </c>
    </row>
    <row r="9" spans="1:144" x14ac:dyDescent="0.25">
      <c r="A9" t="s">
        <v>43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4</v>
      </c>
      <c r="E9" s="10">
        <f>Table3[[#This Row],[Watched]]/Table3[[#This Row],[GP]]</f>
        <v>0.5714285714285714</v>
      </c>
      <c r="F9">
        <f>COUNTIFS(DataRegularSeason20242025!$N$3:$N$1315,1,DataRegularSeason20242025!$D$3:$D$1315,$A9)</f>
        <v>2</v>
      </c>
      <c r="G9">
        <f>41-Table3[[#This Row],[GP_A]]</f>
        <v>39</v>
      </c>
      <c r="H9">
        <f>COUNTIFS(DataRegularSeason20242025!$E$3:$E$1315,$A9,DataRegularSeason20242025!$N$3:$N$1315,1)</f>
        <v>5</v>
      </c>
      <c r="I9">
        <f>41-Table3[[#This Row],[GP_H]]</f>
        <v>36</v>
      </c>
      <c r="J9">
        <f>F9+H9</f>
        <v>7</v>
      </c>
      <c r="K9">
        <f>82-Table3[[#This Row],[GP]]</f>
        <v>75</v>
      </c>
      <c r="L9">
        <f>COUNTIFS(DataRegularSeason20242025!$D$3:$D$1315,$A9, DataRegularSeason20242025!$L$3:$L$1315, $A9,DataRegularSeason20242025!$N$3:$N$1315,1)</f>
        <v>2</v>
      </c>
      <c r="M9">
        <f>COUNTIFS(DataRegularSeason20242025!$D$3:$D$1315,$A9, DataRegularSeason20242025!$L$3:$L$1315, $A9,DataRegularSeason20242025!$N$3:$N$1315,1,DataRegularSeason20242025!$M$3:$M$1315,"REG")</f>
        <v>2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2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2</v>
      </c>
      <c r="Y9">
        <f>COUNTIFS(DataRegularSeason20242025!$E$3:$E$1315,$A9, DataRegularSeason20242025!$S$3:$S$1315, $A9,DataRegularSeason20242025!$M$3:$M$1315,"REG")</f>
        <v>2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0.7142857142857143</v>
      </c>
      <c r="AC9">
        <f>Table3[[#This Row],[W_A]]+Table3[[#This Row],[W_H]]</f>
        <v>5</v>
      </c>
      <c r="AD9">
        <f>Table3[[#This Row],[L_A]]+Table3[[#This Row],[L_H]]</f>
        <v>2</v>
      </c>
      <c r="AE9">
        <f>Table3[[#This Row],[RW_A]]+Table3[[#This Row],[RW_H]]</f>
        <v>4</v>
      </c>
      <c r="AF9">
        <f>Table3[[#This Row],[RL_A]]+Table3[[#This Row],[RL_H]]</f>
        <v>2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0.14285714285714285</v>
      </c>
      <c r="AO9">
        <f>(2*(Table3[[#This Row],[W_A]]+Table3[[#This Row],[W_H]]))+Table3[[#This Row],[OTL_A]]+Table3[[#This Row],[SOL_A]]+Table3[[#This Row],[OTL_H]]+Table3[[#This Row],[SOL_H]]</f>
        <v>10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9" s="10">
        <f>Table3[[#This Row],[PTS]]/(2*Table3[[#This Row],[GP]])</f>
        <v>0.7142857142857143</v>
      </c>
      <c r="AR9" s="10">
        <f>Table3[[#This Row],[PTS2]]/(3*Table3[[#This Row],[GP]])</f>
        <v>0.66666666666666663</v>
      </c>
      <c r="AS9">
        <f>(2*Table3[[#This Row],[GR]])+Table3[[#This Row],[PTS]]</f>
        <v>160</v>
      </c>
      <c r="AT9">
        <f>(3*Table3[[#This Row],[GR]])+Table3[[#This Row],[PTS2]]</f>
        <v>239</v>
      </c>
      <c r="AU9">
        <f>Table3[[#This Row],[PTS]]+(2 * Table3[[#This Row],[GR]] * Table3[[#This Row],[PTS%]])</f>
        <v>117.14285714285714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5-2-0</v>
      </c>
      <c r="AX9">
        <f>COUNTIFS(DataRegularSeason20242025!$D$3:$D$1315,Table3[[#This Row],[Teams]],DataRegularSeason20242025!$K$3:$K$1315,0)</f>
        <v>1</v>
      </c>
      <c r="AY9">
        <f>SUMIF(DataRegularSeason20242025!$D$3:$D$1315,$A9, DataRegularSeason20242025!$J$3:$J$1315)</f>
        <v>5</v>
      </c>
      <c r="AZ9">
        <f>SUMIF(DataRegularSeason20242025!$D$3:$D$1315,$A9, DataRegularSeason20242025!$K$3:$K$1315)</f>
        <v>2</v>
      </c>
      <c r="BA9">
        <f>AY9-AZ9</f>
        <v>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16</v>
      </c>
      <c r="BD9">
        <f>SUMIF(DataRegularSeason20242025!$E$3:$E$1315,$A9,DataRegularSeason20242025!$J$3:$J$1315)</f>
        <v>11</v>
      </c>
      <c r="BE9">
        <f>BC9-BD9</f>
        <v>5</v>
      </c>
      <c r="BF9">
        <f>AY9+BC9</f>
        <v>21</v>
      </c>
      <c r="BG9">
        <f>AZ9+BD9</f>
        <v>13</v>
      </c>
      <c r="BH9">
        <f>BF9-BG9</f>
        <v>8</v>
      </c>
      <c r="BI9" s="12">
        <f>Table3[[#This Row],[GF]]/Table3[[#This Row],[GP]]</f>
        <v>3</v>
      </c>
      <c r="BJ9" s="12">
        <f>Table3[[#This Row],[GA]]/Table3[[#This Row],[GP]]</f>
        <v>1.8571428571428572</v>
      </c>
      <c r="BK9" s="12">
        <f>(Table3[[#This Row],[GF]]-Table3[[#This Row],[GA]])/Table3[[#This Row],[GP]]</f>
        <v>1.1428571428571428</v>
      </c>
      <c r="BL9" s="42" t="str">
        <f>_xlfn.CONCAT(TEXT(Table3[[#This Row],[W_H]], "0"), "-", TEXT(Table3[[#This Row],[RL_H]],"0"), "-", TEXT(Table3[[#This Row],[OTL_H]]+Table3[[#This Row],[SOL_H]], "0"))</f>
        <v>3-2-0</v>
      </c>
      <c r="BM9" s="42" t="str">
        <f>_xlfn.CONCAT(TEXT(Table3[[#This Row],[W_A]], "0"), "-", TEXT(Table3[[#This Row],[RL_A]],"0"), "-", TEXT(Table3[[#This Row],[OTL_A]]+Table3[[#This Row],[SOL_A]], "0"))</f>
        <v>2-0-0</v>
      </c>
      <c r="BN9" s="42">
        <f>((2*(Table3[[#This Row],[W_H]]))+Table3[[#This Row],[OTL_H]]+Table3[[#This Row],[SOL_H]])/(2*Table3[[#This Row],[GP_H]])</f>
        <v>0.6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7.55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64.866326530612241</v>
      </c>
      <c r="BR9" s="16">
        <f>(Table3[[#This Row],[W]]*0.7) + ((Table3[[#This Row],[GF]] - Table3[[#This Row],[GA]])*0.25)+(Table3[[#This Row],[GF]]*0.1)+(Table3[[#This Row],[GA]]*0.05)+(Table3[[#This Row],[L]]*0.3)</f>
        <v>8.85</v>
      </c>
      <c r="BS9" s="16">
        <f>Table3[[#This Row],[TeamCost83]]/Table3[[#This Row],[GP]]</f>
        <v>1.2642857142857142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5</v>
      </c>
      <c r="BV9">
        <f>BT9+BU9</f>
        <v>7</v>
      </c>
      <c r="BW9">
        <f>F9-BT9</f>
        <v>0</v>
      </c>
      <c r="BX9">
        <f>H9-BU9</f>
        <v>0</v>
      </c>
      <c r="BY9">
        <f>BW9+BX9</f>
        <v>0</v>
      </c>
      <c r="BZ9">
        <f>Table3[[#This Row],[TimesPredictedWinner]]/Table3[[#This Row],[GP]]</f>
        <v>1</v>
      </c>
      <c r="CB9">
        <v>2018</v>
      </c>
      <c r="CD9" s="1">
        <v>45736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1.8</v>
      </c>
      <c r="CJ9">
        <f>SUMIFS(Table2[GamePredictionScore], Table2[HomeTeam], Table3[[#This Row],[Teams]])</f>
        <v>2.5</v>
      </c>
      <c r="CK9">
        <f>Table3[[#This Row],[Column4]]+Table3[[#This Row],[Column3]]</f>
        <v>4.3</v>
      </c>
      <c r="CL9">
        <f>Table3[[#This Row],[Column5]]/Table3[[#This Row],[GP]]</f>
        <v>0.61428571428571421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0.94375000000000009</v>
      </c>
    </row>
    <row r="10" spans="1:144" x14ac:dyDescent="0.25">
      <c r="A10" t="s">
        <v>20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4</v>
      </c>
      <c r="E10" s="10">
        <f>Table3[[#This Row],[Watched]]/Table3[[#This Row],[GP]]</f>
        <v>0.5714285714285714</v>
      </c>
      <c r="F10">
        <f>COUNTIFS(DataRegularSeason20242025!$N$3:$N$1315,1,DataRegularSeason20242025!$D$3:$D$1315,$A10)</f>
        <v>4</v>
      </c>
      <c r="G10">
        <f>41-Table3[[#This Row],[GP_A]]</f>
        <v>37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>F10+H10</f>
        <v>7</v>
      </c>
      <c r="K10">
        <f>82-Table3[[#This Row],[GP]]</f>
        <v>75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1</v>
      </c>
      <c r="Q10">
        <f>COUNTIFS(DataRegularSeason20242025!$D$3:$D$1315,$A10, DataRegularSeason20242025!$S$3:$S$1315, $A10,DataRegularSeason20242025!$M$3:$M$1315,"REG")</f>
        <v>1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0.7142857142857143</v>
      </c>
      <c r="AC10">
        <f>Table3[[#This Row],[W_A]]+Table3[[#This Row],[W_H]]</f>
        <v>5</v>
      </c>
      <c r="AD10">
        <f>Table3[[#This Row],[L_A]]+Table3[[#This Row],[L_H]]</f>
        <v>2</v>
      </c>
      <c r="AE10">
        <f>Table3[[#This Row],[RW_A]]+Table3[[#This Row],[RW_H]]</f>
        <v>5</v>
      </c>
      <c r="AF10">
        <f>Table3[[#This Row],[RL_A]]+Table3[[#This Row],[RL_H]]</f>
        <v>2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10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0.7142857142857143</v>
      </c>
      <c r="AR10" s="10">
        <f>Table3[[#This Row],[PTS2]]/(3*Table3[[#This Row],[GP]])</f>
        <v>0.7142857142857143</v>
      </c>
      <c r="AS10">
        <f>(2*Table3[[#This Row],[GR]])+Table3[[#This Row],[PTS]]</f>
        <v>160</v>
      </c>
      <c r="AT10">
        <f>(3*Table3[[#This Row],[GR]])+Table3[[#This Row],[PTS2]]</f>
        <v>240</v>
      </c>
      <c r="AU10">
        <f>Table3[[#This Row],[PTS]]+(2 * Table3[[#This Row],[GR]] * Table3[[#This Row],[PTS%]])</f>
        <v>117.14285714285714</v>
      </c>
      <c r="AV10">
        <f>Table3[[#This Row],[PTS2]]+(3 * Table3[[#This Row],[GR]] * Table3[[#This Row],[PTS%2]])</f>
        <v>175.71428571428572</v>
      </c>
      <c r="AW10" s="15" t="str">
        <f>_xlfn.CONCAT(TEXT(Table3[[#This Row],[W]], "0"), "-", TEXT(Table3[[#This Row],[RL]],"0"), "-", TEXT(Table3[[#This Row],[OTL]]+Table3[[#This Row],[SOL]], "0"))</f>
        <v>5-2-0</v>
      </c>
      <c r="AX10">
        <f>COUNTIFS(DataRegularSeason20242025!$D$3:$D$1315,Table3[[#This Row],[Teams]],DataRegularSeason20242025!$K$3:$K$1315,0)</f>
        <v>2</v>
      </c>
      <c r="AY10">
        <f>SUMIF(DataRegularSeason20242025!$D$3:$D$1315,$A10, DataRegularSeason20242025!$J$3:$J$1315)</f>
        <v>13</v>
      </c>
      <c r="AZ10">
        <f>SUMIF(DataRegularSeason20242025!$D$3:$D$1315,$A10, DataRegularSeason20242025!$K$3:$K$1315)</f>
        <v>6</v>
      </c>
      <c r="BA10">
        <f>AY10-AZ10</f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10</v>
      </c>
      <c r="BD10">
        <f>SUMIF(DataRegularSeason20242025!$E$3:$E$1315,$A10,DataRegularSeason20242025!$J$3:$J$1315)</f>
        <v>10</v>
      </c>
      <c r="BE10">
        <f>BC10-BD10</f>
        <v>0</v>
      </c>
      <c r="BF10">
        <f>AY10+BC10</f>
        <v>23</v>
      </c>
      <c r="BG10">
        <f>AZ10+BD10</f>
        <v>16</v>
      </c>
      <c r="BH10">
        <f>BF10-BG10</f>
        <v>7</v>
      </c>
      <c r="BI10" s="12">
        <f>Table3[[#This Row],[GF]]/Table3[[#This Row],[GP]]</f>
        <v>3.2857142857142856</v>
      </c>
      <c r="BJ10" s="12">
        <f>Table3[[#This Row],[GA]]/Table3[[#This Row],[GP]]</f>
        <v>2.2857142857142856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3-1-0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0.75</v>
      </c>
      <c r="BP10" s="16">
        <f>(Table3[[#This Row],[W]]*$CX$3)+(Table3[[#This Row],[L]]*$CX$4)+(Table3[[#This Row],[GF]]*$CX$5)+(Table3[[#This Row],[GA]]*$CX$6)</f>
        <v>8.15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72.49489795918366</v>
      </c>
      <c r="BR10" s="16">
        <f>(Table3[[#This Row],[W]]*0.7) + ((Table3[[#This Row],[GF]] - Table3[[#This Row],[GA]])*0.25)+(Table3[[#This Row],[GF]]*0.1)+(Table3[[#This Row],[GA]]*0.05)+(Table3[[#This Row],[L]]*0.3)</f>
        <v>8.9500000000000011</v>
      </c>
      <c r="BS10" s="16">
        <f>Table3[[#This Row],[TeamCost83]]/Table3[[#This Row],[GP]]</f>
        <v>1.2785714285714287</v>
      </c>
      <c r="BT10">
        <f>COUNTIFS(Table2[AwayTeam],$A10,Table2[PredictedWinner], $A10, Table2[GameIsOver], 1)</f>
        <v>1</v>
      </c>
      <c r="BU10">
        <f>COUNTIFS(Table2[HomeTeam],$A10,Table2[PredictedWinner], $A10, Table2[GameIsOver], 1)</f>
        <v>3</v>
      </c>
      <c r="BV10">
        <f>BT10+BU10</f>
        <v>4</v>
      </c>
      <c r="BW10">
        <f>F10-BT10</f>
        <v>3</v>
      </c>
      <c r="BX10">
        <f>H10-BU10</f>
        <v>0</v>
      </c>
      <c r="BY10">
        <f>BW10+BX10</f>
        <v>3</v>
      </c>
      <c r="BZ10">
        <f>Table3[[#This Row],[TimesPredictedWinner]]/Table3[[#This Row],[GP]]</f>
        <v>0.5714285714285714</v>
      </c>
      <c r="CB10">
        <v>2017</v>
      </c>
      <c r="CC10" s="1">
        <v>45753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0.2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1.9000000000000001</v>
      </c>
      <c r="CL10">
        <f>Table3[[#This Row],[Column5]]/Table3[[#This Row],[GP]]</f>
        <v>0.27142857142857146</v>
      </c>
      <c r="CR10" t="s">
        <v>147</v>
      </c>
      <c r="CS10" s="1">
        <f>_xlfn.MAXIFS(DataRegularSeason20242025!$B$3:$B$1315,DataRegularSeason20242025!$N$3:$N$1315,1)</f>
        <v>45952</v>
      </c>
      <c r="CW10" t="s">
        <v>153</v>
      </c>
      <c r="CX10" s="16">
        <f>CW9*82</f>
        <v>77.387500000000003</v>
      </c>
    </row>
    <row r="11" spans="1:144" x14ac:dyDescent="0.25">
      <c r="A11" t="s">
        <v>14</v>
      </c>
      <c r="B11" t="s">
        <v>90</v>
      </c>
      <c r="C11" t="s">
        <v>88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7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>F11+H11</f>
        <v>7</v>
      </c>
      <c r="K11">
        <f>82-Table3[[#This Row],[GP]]</f>
        <v>75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4</v>
      </c>
      <c r="U11">
        <f>COUNTIFS(DataRegularSeason20242025!$E$3:$E$1315,$A11, DataRegularSeason20242025!$L$3:$L$1315, $A11,DataRegularSeason20242025!$N$3:$N$1315,1,DataRegularSeason20242025!$M$3:$M$1315,"REG")</f>
        <v>3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0.7142857142857143</v>
      </c>
      <c r="AC11">
        <f>Table3[[#This Row],[W_A]]+Table3[[#This Row],[W_H]]</f>
        <v>5</v>
      </c>
      <c r="AD11">
        <f>Table3[[#This Row],[L_A]]+Table3[[#This Row],[L_H]]</f>
        <v>2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2-0</v>
      </c>
      <c r="AL11">
        <f>SUM(Table3[[#This Row],[OTW]],Table3[[#This Row],[OTL]],Table3[[#This Row],[SOW]],Table3[[#This Row],[SOL]])</f>
        <v>2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0.2857142857142857</v>
      </c>
      <c r="AO11">
        <f>(2*(Table3[[#This Row],[W_A]]+Table3[[#This Row],[W_H]]))+Table3[[#This Row],[OTL_A]]+Table3[[#This Row],[SOL_A]]+Table3[[#This Row],[OTL_H]]+Table3[[#This Row],[SOL_H]]</f>
        <v>10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1" s="10">
        <f>Table3[[#This Row],[PTS]]/(2*Table3[[#This Row],[GP]])</f>
        <v>0.7142857142857143</v>
      </c>
      <c r="AR11" s="10">
        <f>Table3[[#This Row],[PTS2]]/(3*Table3[[#This Row],[GP]])</f>
        <v>0.61904761904761907</v>
      </c>
      <c r="AS11">
        <f>(2*Table3[[#This Row],[GR]])+Table3[[#This Row],[PTS]]</f>
        <v>160</v>
      </c>
      <c r="AT11">
        <f>(3*Table3[[#This Row],[GR]])+Table3[[#This Row],[PTS2]]</f>
        <v>238</v>
      </c>
      <c r="AU11">
        <f>Table3[[#This Row],[PTS]]+(2 * Table3[[#This Row],[GR]] * Table3[[#This Row],[PTS%]])</f>
        <v>117.14285714285714</v>
      </c>
      <c r="AV11">
        <f>Table3[[#This Row],[PTS2]]+(3 * Table3[[#This Row],[GR]] * Table3[[#This Row],[PTS%2]])</f>
        <v>152.28571428571428</v>
      </c>
      <c r="AW11" s="15" t="str">
        <f>_xlfn.CONCAT(TEXT(Table3[[#This Row],[W]], "0"), "-", TEXT(Table3[[#This Row],[RL]],"0"), "-", TEXT(Table3[[#This Row],[OTL]]+Table3[[#This Row],[SOL]], "0"))</f>
        <v>5-2-0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5</v>
      </c>
      <c r="AZ11">
        <f>SUMIF(DataRegularSeason20242025!$D$3:$D$1315,$A11, DataRegularSeason20242025!$K$3:$K$1315)</f>
        <v>7</v>
      </c>
      <c r="BA11">
        <f>AY11-AZ11</f>
        <v>-2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16</v>
      </c>
      <c r="BD11">
        <f>SUMIF(DataRegularSeason20242025!$E$3:$E$1315,$A11,DataRegularSeason20242025!$J$3:$J$1315)</f>
        <v>9</v>
      </c>
      <c r="BE11">
        <f>BC11-BD11</f>
        <v>7</v>
      </c>
      <c r="BF11">
        <f>AY11+BC11</f>
        <v>21</v>
      </c>
      <c r="BG11">
        <f>AZ11+BD11</f>
        <v>16</v>
      </c>
      <c r="BH11">
        <f>BF11-BG11</f>
        <v>5</v>
      </c>
      <c r="BI11" s="12">
        <f>Table3[[#This Row],[GF]]/Table3[[#This Row],[GP]]</f>
        <v>3</v>
      </c>
      <c r="BJ11" s="12">
        <f>Table3[[#This Row],[GA]]/Table3[[#This Row],[GP]]</f>
        <v>2.2857142857142856</v>
      </c>
      <c r="BK11" s="12">
        <f>(Table3[[#This Row],[GF]]-Table3[[#This Row],[GA]])/Table3[[#This Row],[GP]]</f>
        <v>0.7142857142857143</v>
      </c>
      <c r="BL11" s="42" t="str">
        <f>_xlfn.CONCAT(TEXT(Table3[[#This Row],[W_H]], "0"), "-", TEXT(Table3[[#This Row],[RL_H]],"0"), "-", TEXT(Table3[[#This Row],[OTL_H]]+Table3[[#This Row],[SOL_H]], "0"))</f>
        <v>4-0-0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1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7.85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68.680612244897958</v>
      </c>
      <c r="BR11" s="16">
        <f>(Table3[[#This Row],[W]]*0.7) + ((Table3[[#This Row],[GF]] - Table3[[#This Row],[GA]])*0.25)+(Table3[[#This Row],[GF]]*0.1)+(Table3[[#This Row],[GA]]*0.05)+(Table3[[#This Row],[L]]*0.3)</f>
        <v>8.25</v>
      </c>
      <c r="BS11" s="16">
        <f>Table3[[#This Row],[TeamCost83]]/Table3[[#This Row],[GP]]</f>
        <v>1.1785714285714286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1</v>
      </c>
      <c r="BV11">
        <f>BT11+BU11</f>
        <v>3</v>
      </c>
      <c r="BW11">
        <f>F11-BT11</f>
        <v>1</v>
      </c>
      <c r="BX11">
        <f>H11-BU11</f>
        <v>3</v>
      </c>
      <c r="BY11">
        <f>BW11+BX11</f>
        <v>4</v>
      </c>
      <c r="BZ11">
        <f>Table3[[#This Row],[TimesPredictedWinner]]/Table3[[#This Row],[GP]]</f>
        <v>0.42857142857142855</v>
      </c>
      <c r="CC11" s="1">
        <v>45756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1.6</v>
      </c>
      <c r="CJ11">
        <f>SUMIFS(Table2[GamePredictionScore], Table2[HomeTeam], Table3[[#This Row],[Teams]])</f>
        <v>1.1000000000000001</v>
      </c>
      <c r="CK11">
        <f>Table3[[#This Row],[Column4]]+Table3[[#This Row],[Column3]]</f>
        <v>2.7</v>
      </c>
      <c r="CL11">
        <f>Table3[[#This Row],[Column5]]/Table3[[#This Row],[GP]]</f>
        <v>0.38571428571428573</v>
      </c>
      <c r="CR11" t="s">
        <v>148</v>
      </c>
      <c r="CS11">
        <f>$CS$2/($CS$10-$CS$9)</f>
        <v>7.333333333333333</v>
      </c>
      <c r="CW11">
        <f>ROUND(CZ5,0)</f>
        <v>2</v>
      </c>
    </row>
    <row r="12" spans="1:144" x14ac:dyDescent="0.25">
      <c r="A12" t="s">
        <v>12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2</v>
      </c>
      <c r="G12">
        <f>41-Table3[[#This Row],[GP_A]]</f>
        <v>39</v>
      </c>
      <c r="H12">
        <f>COUNTIFS(DataRegularSeason20242025!$E$3:$E$1315,$A12,DataRegularSeason20242025!$N$3:$N$1315,1)</f>
        <v>4</v>
      </c>
      <c r="I12">
        <f>41-Table3[[#This Row],[GP_H]]</f>
        <v>37</v>
      </c>
      <c r="J12">
        <f>F12+H12</f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</v>
      </c>
      <c r="AC12">
        <f>Table3[[#This Row],[W_A]]+Table3[[#This Row],[W_H]]</f>
        <v>3</v>
      </c>
      <c r="AD12">
        <f>Table3[[#This Row],[L_A]]+Table3[[#This Row],[L_H]]</f>
        <v>3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0-1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7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2" s="10">
        <f>Table3[[#This Row],[PTS]]/(2*Table3[[#This Row],[GP]])</f>
        <v>0.58333333333333337</v>
      </c>
      <c r="AR12" s="10">
        <f>Table3[[#This Row],[PTS2]]/(3*Table3[[#This Row],[GP]])</f>
        <v>0.55555555555555558</v>
      </c>
      <c r="AS12">
        <f>(2*Table3[[#This Row],[GR]])+Table3[[#This Row],[PTS]]</f>
        <v>159</v>
      </c>
      <c r="AT12">
        <f>(3*Table3[[#This Row],[GR]])+Table3[[#This Row],[PTS2]]</f>
        <v>238</v>
      </c>
      <c r="AU12">
        <f>Table3[[#This Row],[PTS]]+(2 * Table3[[#This Row],[GR]] * Table3[[#This Row],[PTS%]])</f>
        <v>95.666666666666671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3-2-1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9</v>
      </c>
      <c r="AZ12">
        <f>SUMIF(DataRegularSeason20242025!$D$3:$D$1315,$A12, DataRegularSeason20242025!$K$3:$K$1315)</f>
        <v>4</v>
      </c>
      <c r="BA12">
        <f>AY12-AZ12</f>
        <v>5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16</v>
      </c>
      <c r="BE12">
        <f>BC12-BD12</f>
        <v>-9</v>
      </c>
      <c r="BF12">
        <f>AY12+BC12</f>
        <v>16</v>
      </c>
      <c r="BG12">
        <f>AZ12+BD12</f>
        <v>20</v>
      </c>
      <c r="BH12">
        <f>BF12-BG12</f>
        <v>-4</v>
      </c>
      <c r="BI12" s="12">
        <f>Table3[[#This Row],[GF]]/Table3[[#This Row],[GP]]</f>
        <v>2.6666666666666665</v>
      </c>
      <c r="BJ12" s="12">
        <f>Table3[[#This Row],[GA]]/Table3[[#This Row],[GP]]</f>
        <v>3.3333333333333335</v>
      </c>
      <c r="BK12" s="12">
        <f>(Table3[[#This Row],[GF]]-Table3[[#This Row],[GA]])/Table3[[#This Row],[GP]]</f>
        <v>-0.66666666666666663</v>
      </c>
      <c r="BL12" s="42" t="str">
        <f>_xlfn.CONCAT(TEXT(Table3[[#This Row],[W_H]], "0"), "-", TEXT(Table3[[#This Row],[RL_H]],"0"), "-", TEXT(Table3[[#This Row],[OTL_H]]+Table3[[#This Row],[SOL_H]], "0"))</f>
        <v>1-2-1</v>
      </c>
      <c r="BM12" s="42" t="str">
        <f>_xlfn.CONCAT(TEXT(Table3[[#This Row],[W_A]], "0"), "-", TEXT(Table3[[#This Row],[RL_A]],"0"), "-", TEXT(Table3[[#This Row],[OTL_A]]+Table3[[#This Row],[SOL_A]], "0"))</f>
        <v>2-0-0</v>
      </c>
      <c r="BN12" s="42">
        <f>((2*(Table3[[#This Row],[W_H]]))+Table3[[#This Row],[OTL_H]]+Table3[[#This Row],[SOL_H]])/(2*Table3[[#This Row],[GP_H]])</f>
        <v>0.375</v>
      </c>
      <c r="BO12" s="42">
        <f>((2*(Table3[[#This Row],[W_A]]))+Table3[[#This Row],[OTL_A]]+Table3[[#This Row],[SOL_A]])/(2*Table3[[#This Row],[GP_A]])</f>
        <v>1</v>
      </c>
      <c r="BP12" s="16">
        <f>(Table3[[#This Row],[W]]*$CX$3)+(Table3[[#This Row],[L]]*$CX$4)+(Table3[[#This Row],[GF]]*$CX$5)+(Table3[[#This Row],[GA]]*$CX$6)</f>
        <v>6.8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72.62777777777778</v>
      </c>
      <c r="BR12" s="16">
        <f>(Table3[[#This Row],[W]]*0.7) + ((Table3[[#This Row],[GF]] - Table3[[#This Row],[GA]])*0.25)+(Table3[[#This Row],[GF]]*0.1)+(Table3[[#This Row],[GA]]*0.05)+(Table3[[#This Row],[L]]*0.3)</f>
        <v>4.5999999999999996</v>
      </c>
      <c r="BS12" s="16">
        <f>Table3[[#This Row],[TeamCost83]]/Table3[[#This Row],[GP]]</f>
        <v>0.76666666666666661</v>
      </c>
      <c r="BT12">
        <f>COUNTIFS(Table2[AwayTeam],$A12,Table2[PredictedWinner], $A12, Table2[GameIsOver], 1)</f>
        <v>1</v>
      </c>
      <c r="BU12">
        <f>COUNTIFS(Table2[HomeTeam],$A12,Table2[PredictedWinner], $A12, Table2[GameIsOver], 1)</f>
        <v>1</v>
      </c>
      <c r="BV12">
        <f>BT12+BU12</f>
        <v>2</v>
      </c>
      <c r="BW12">
        <f>F12-BT12</f>
        <v>1</v>
      </c>
      <c r="BX12">
        <f>H12-BU12</f>
        <v>3</v>
      </c>
      <c r="BY12">
        <f>BW12+BX12</f>
        <v>4</v>
      </c>
      <c r="BZ12">
        <f>Table3[[#This Row],[TimesPredictedWinner]]/Table3[[#This Row],[GP]]</f>
        <v>0.33333333333333331</v>
      </c>
      <c r="CB12">
        <v>2019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0.8</v>
      </c>
      <c r="CJ12">
        <f>SUMIFS(Table2[GamePredictionScore], Table2[HomeTeam], Table3[[#This Row],[Teams]])</f>
        <v>1.7000000000000002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5.4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4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2</v>
      </c>
      <c r="G13">
        <f>41-Table3[[#This Row],[GP_A]]</f>
        <v>39</v>
      </c>
      <c r="H13">
        <f>COUNTIFS(DataRegularSeason20242025!$E$3:$E$1315,$A13,DataRegularSeason20242025!$N$3:$N$1315,1)</f>
        <v>4</v>
      </c>
      <c r="I13">
        <f>41-Table3[[#This Row],[GP_H]]</f>
        <v>37</v>
      </c>
      <c r="J13">
        <f>F13+H13</f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2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</v>
      </c>
      <c r="AC13">
        <f>Table3[[#This Row],[W_A]]+Table3[[#This Row],[W_H]]</f>
        <v>3</v>
      </c>
      <c r="AD13">
        <f>Table3[[#This Row],[L_A]]+Table3[[#This Row],[L_H]]</f>
        <v>3</v>
      </c>
      <c r="AE13">
        <f>Table3[[#This Row],[RW_A]]+Table3[[#This Row],[RW_H]]</f>
        <v>2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0.33333333333333331</v>
      </c>
      <c r="AO13">
        <f>(2*(Table3[[#This Row],[W_A]]+Table3[[#This Row],[W_H]]))+Table3[[#This Row],[OTL_A]]+Table3[[#This Row],[SOL_A]]+Table3[[#This Row],[OTL_H]]+Table3[[#This Row],[SOL_H]]</f>
        <v>7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3" s="10">
        <f>Table3[[#This Row],[PTS]]/(2*Table3[[#This Row],[GP]])</f>
        <v>0.58333333333333337</v>
      </c>
      <c r="AR13" s="10">
        <f>Table3[[#This Row],[PTS2]]/(3*Table3[[#This Row],[GP]])</f>
        <v>0.5</v>
      </c>
      <c r="AS13">
        <f>(2*Table3[[#This Row],[GR]])+Table3[[#This Row],[PTS]]</f>
        <v>159</v>
      </c>
      <c r="AT13">
        <f>(3*Table3[[#This Row],[GR]])+Table3[[#This Row],[PTS2]]</f>
        <v>237</v>
      </c>
      <c r="AU13">
        <f>Table3[[#This Row],[PTS]]+(2 * Table3[[#This Row],[GR]] * Table3[[#This Row],[PTS%]])</f>
        <v>95.666666666666671</v>
      </c>
      <c r="AV13">
        <f>Table3[[#This Row],[PTS2]]+(3 * Table3[[#This Row],[GR]] * Table3[[#This Row],[PTS%2]])</f>
        <v>123</v>
      </c>
      <c r="AW13" s="15" t="str">
        <f>_xlfn.CONCAT(TEXT(Table3[[#This Row],[W]], "0"), "-", TEXT(Table3[[#This Row],[RL]],"0"), "-", TEXT(Table3[[#This Row],[OTL]]+Table3[[#This Row],[SOL]], "0"))</f>
        <v>3-2-1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4</v>
      </c>
      <c r="AZ13">
        <f>SUMIF(DataRegularSeason20242025!$D$3:$D$1315,$A13, DataRegularSeason20242025!$K$3:$K$1315)</f>
        <v>6</v>
      </c>
      <c r="BA13">
        <f>AY13-AZ13</f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10</v>
      </c>
      <c r="BE13">
        <f>BC13-BD13</f>
        <v>4</v>
      </c>
      <c r="BF13">
        <f>AY13+BC13</f>
        <v>18</v>
      </c>
      <c r="BG13">
        <f>AZ13+BD13</f>
        <v>16</v>
      </c>
      <c r="BH13">
        <f>BF13-BG13</f>
        <v>2</v>
      </c>
      <c r="BI13" s="12">
        <f>Table3[[#This Row],[GF]]/Table3[[#This Row],[GP]]</f>
        <v>3</v>
      </c>
      <c r="BJ13" s="12">
        <f>Table3[[#This Row],[GA]]/Table3[[#This Row],[GP]]</f>
        <v>2.6666666666666665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3-1-0</v>
      </c>
      <c r="BM13" s="42" t="str">
        <f>_xlfn.CONCAT(TEXT(Table3[[#This Row],[W_A]], "0"), "-", TEXT(Table3[[#This Row],[RL_A]],"0"), "-", TEXT(Table3[[#This Row],[OTL_A]]+Table3[[#This Row],[SOL_A]], "0"))</f>
        <v>0-1-1</v>
      </c>
      <c r="BN13" s="42">
        <f>((2*(Table3[[#This Row],[W_H]]))+Table3[[#This Row],[OTL_H]]+Table3[[#This Row],[SOL_H]])/(2*Table3[[#This Row],[GP_H]])</f>
        <v>0.75</v>
      </c>
      <c r="BO13" s="42">
        <f>((2*(Table3[[#This Row],[W_A]]))+Table3[[#This Row],[OTL_A]]+Table3[[#This Row],[SOL_A]])/(2*Table3[[#This Row],[GP_A]])</f>
        <v>0.25</v>
      </c>
      <c r="BP13" s="16">
        <f>(Table3[[#This Row],[W]]*$CX$3)+(Table3[[#This Row],[L]]*$CX$4)+(Table3[[#This Row],[GF]]*$CX$5)+(Table3[[#This Row],[GA]]*$CX$6)</f>
        <v>6.6999999999999993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71.161111111111111</v>
      </c>
      <c r="BR13" s="16">
        <f>(Table3[[#This Row],[W]]*0.7) + ((Table3[[#This Row],[GF]] - Table3[[#This Row],[GA]])*0.25)+(Table3[[#This Row],[GF]]*0.1)+(Table3[[#This Row],[GA]]*0.05)+(Table3[[#This Row],[L]]*0.3)</f>
        <v>6.1</v>
      </c>
      <c r="BS13" s="16">
        <f>Table3[[#This Row],[TeamCost83]]/Table3[[#This Row],[GP]]</f>
        <v>1.0166666666666666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>BT13+BU13</f>
        <v>0</v>
      </c>
      <c r="BW13">
        <f>F13-BT13</f>
        <v>2</v>
      </c>
      <c r="BX13">
        <f>H13-BU13</f>
        <v>4</v>
      </c>
      <c r="BY13">
        <f>BW13+BX13</f>
        <v>6</v>
      </c>
      <c r="BZ13">
        <f>Table3[[#This Row],[TimesPredictedWinner]]/Table3[[#This Row],[GP]]</f>
        <v>0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1.7000000000000002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2.8000000000000003</v>
      </c>
      <c r="CL13">
        <f>Table3[[#This Row],[Column5]]/Table3[[#This Row],[GP]]</f>
        <v>0.46666666666666673</v>
      </c>
      <c r="CR13" t="s">
        <v>154</v>
      </c>
      <c r="CS13">
        <f>(CS5/CS2)/2</f>
        <v>3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5</v>
      </c>
      <c r="E14" s="10">
        <f>Table3[[#This Row],[Watched]]/Table3[[#This Row],[GP]]</f>
        <v>0.83333333333333337</v>
      </c>
      <c r="F14">
        <f>COUNTIFS(DataRegularSeason20242025!$N$3:$N$1315,1,DataRegularSeason20242025!$D$3:$D$1315,$A14)</f>
        <v>4</v>
      </c>
      <c r="G14">
        <f>41-Table3[[#This Row],[GP_A]]</f>
        <v>37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>F14+H14</f>
        <v>6</v>
      </c>
      <c r="K14">
        <f>82-Table3[[#This Row],[GP]]</f>
        <v>76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3</v>
      </c>
      <c r="AD14">
        <f>Table3[[#This Row],[L_A]]+Table3[[#This Row],[L_H]]</f>
        <v>3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1-1</v>
      </c>
      <c r="AL14">
        <f>SUM(Table3[[#This Row],[OTW]],Table3[[#This Row],[OTL]],Table3[[#This Row],[SOW]],Table3[[#This Row],[SOL]])</f>
        <v>2</v>
      </c>
      <c r="AM14">
        <f>(Table3[[#This Row],[OTW]]+Table3[[#This Row],[SOW]])/IF(Table3[[#This Row],[Total_ExtraTimes]]=0,1,Table3[[#This Row],[Total_ExtraTimes]])</f>
        <v>0.5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7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4" s="10">
        <f>Table3[[#This Row],[PTS]]/(2*Table3[[#This Row],[GP]])</f>
        <v>0.58333333333333337</v>
      </c>
      <c r="AR14" s="10">
        <f>Table3[[#This Row],[PTS2]]/(3*Table3[[#This Row],[GP]])</f>
        <v>0.5</v>
      </c>
      <c r="AS14">
        <f>(2*Table3[[#This Row],[GR]])+Table3[[#This Row],[PTS]]</f>
        <v>159</v>
      </c>
      <c r="AT14">
        <f>(3*Table3[[#This Row],[GR]])+Table3[[#This Row],[PTS2]]</f>
        <v>237</v>
      </c>
      <c r="AU14">
        <f>Table3[[#This Row],[PTS]]+(2 * Table3[[#This Row],[GR]] * Table3[[#This Row],[PTS%]])</f>
        <v>95.666666666666671</v>
      </c>
      <c r="AV14">
        <f>Table3[[#This Row],[PTS2]]+(3 * Table3[[#This Row],[GR]] * Table3[[#This Row],[PTS%2]])</f>
        <v>123</v>
      </c>
      <c r="AW14" s="15" t="str">
        <f>_xlfn.CONCAT(TEXT(Table3[[#This Row],[W]], "0"), "-", TEXT(Table3[[#This Row],[RL]],"0"), "-", TEXT(Table3[[#This Row],[OTL]]+Table3[[#This Row],[SOL]], "0"))</f>
        <v>3-2-1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14</v>
      </c>
      <c r="AZ14">
        <f>SUMIF(DataRegularSeason20242025!$D$3:$D$1315,$A14, DataRegularSeason20242025!$K$3:$K$1315)</f>
        <v>13</v>
      </c>
      <c r="BA14">
        <f>AY14-AZ14</f>
        <v>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>BC14-BD14</f>
        <v>-2</v>
      </c>
      <c r="BF14">
        <f>AY14+BC14</f>
        <v>19</v>
      </c>
      <c r="BG14">
        <f>AZ14+BD14</f>
        <v>20</v>
      </c>
      <c r="BH14">
        <f>BF14-BG14</f>
        <v>-1</v>
      </c>
      <c r="BI14" s="12">
        <f>Table3[[#This Row],[GF]]/Table3[[#This Row],[GP]]</f>
        <v>3.1666666666666665</v>
      </c>
      <c r="BJ14" s="12">
        <f>Table3[[#This Row],[GA]]/Table3[[#This Row],[GP]]</f>
        <v>3.3333333333333335</v>
      </c>
      <c r="BK14" s="12">
        <f>(Table3[[#This Row],[GF]]-Table3[[#This Row],[GA]])/Table3[[#This Row],[GP]]</f>
        <v>-0.16666666666666666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0.625</v>
      </c>
      <c r="BP14" s="16">
        <f>(Table3[[#This Row],[W]]*$CX$3)+(Table3[[#This Row],[L]]*$CX$4)+(Table3[[#This Row],[GF]]*$CX$5)+(Table3[[#This Row],[GA]]*$CX$6)</f>
        <v>7.25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79.227777777777774</v>
      </c>
      <c r="BR14" s="16">
        <f>(Table3[[#This Row],[W]]*0.7) + ((Table3[[#This Row],[GF]] - Table3[[#This Row],[GA]])*0.25)+(Table3[[#This Row],[GF]]*0.1)+(Table3[[#This Row],[GA]]*0.05)+(Table3[[#This Row],[L]]*0.3)</f>
        <v>5.65</v>
      </c>
      <c r="BS14" s="16">
        <f>Table3[[#This Row],[TeamCost83]]/Table3[[#This Row],[GP]]</f>
        <v>0.94166666666666676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1</v>
      </c>
      <c r="BV14">
        <f>BT14+BU14</f>
        <v>3</v>
      </c>
      <c r="BW14">
        <f>F14-BT14</f>
        <v>2</v>
      </c>
      <c r="BX14">
        <f>H14-BU14</f>
        <v>1</v>
      </c>
      <c r="BY14">
        <f>BW14+BX14</f>
        <v>3</v>
      </c>
      <c r="BZ14">
        <f>Table3[[#This Row],[TimesPredictedWinner]]/Table3[[#This Row],[GP]]</f>
        <v>0.5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0</v>
      </c>
      <c r="CK14">
        <f>Table3[[#This Row],[Column4]]+Table3[[#This Row],[Column3]]</f>
        <v>1.7000000000000002</v>
      </c>
      <c r="CL14">
        <f>Table3[[#This Row],[Column5]]/Table3[[#This Row],[GP]]</f>
        <v>0.28333333333333338</v>
      </c>
      <c r="CR14" t="s">
        <v>460</v>
      </c>
      <c r="CS14">
        <f>CS7+CS8</f>
        <v>25</v>
      </c>
    </row>
    <row r="15" spans="1:144" ht="15.75" thickBot="1" x14ac:dyDescent="0.3">
      <c r="A15" t="s">
        <v>11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6</v>
      </c>
      <c r="E15" s="10">
        <f>Table3[[#This Row],[Watched]]/Table3[[#This Row],[GP]]</f>
        <v>0.8571428571428571</v>
      </c>
      <c r="F15">
        <f>COUNTIFS(DataRegularSeason20242025!$N$3:$N$1315,1,DataRegularSeason20242025!$D$3:$D$1315,$A15)</f>
        <v>5</v>
      </c>
      <c r="G15">
        <f>41-Table3[[#This Row],[GP_A]]</f>
        <v>36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7</v>
      </c>
      <c r="K15">
        <f>82-Table3[[#This Row],[GP]]</f>
        <v>75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4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1</v>
      </c>
      <c r="T15">
        <f>COUNTIFS(DataRegularSeason20242025!$E$3:$E$1315,$A15, DataRegularSeason20242025!$L$3:$L$1315, $A15, DataRegularSeason20242025!$N$3:$N$1315,1)</f>
        <v>2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0.42857142857142855</v>
      </c>
      <c r="AC15">
        <f>Table3[[#This Row],[W_A]]+Table3[[#This Row],[W_H]]</f>
        <v>3</v>
      </c>
      <c r="AD15">
        <f>Table3[[#This Row],[L_A]]+Table3[[#This Row],[L_H]]</f>
        <v>4</v>
      </c>
      <c r="AE15">
        <f>Table3[[#This Row],[RW_A]]+Table3[[#This Row],[RW_H]]</f>
        <v>1</v>
      </c>
      <c r="AF15">
        <f>Table3[[#This Row],[RL_A]]+Table3[[#This Row],[RL_H]]</f>
        <v>2</v>
      </c>
      <c r="AG15">
        <f>Table3[[#This Row],[OTW_A]]+Table3[[#This Row],[OTW_H]]</f>
        <v>2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2-2</v>
      </c>
      <c r="AL15">
        <f>SUM(Table3[[#This Row],[OTW]],Table3[[#This Row],[OTL]],Table3[[#This Row],[SOW]],Table3[[#This Row],[SOL]])</f>
        <v>4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0.5714285714285714</v>
      </c>
      <c r="AO15">
        <f>(2*(Table3[[#This Row],[W_A]]+Table3[[#This Row],[W_H]]))+Table3[[#This Row],[OTL_A]]+Table3[[#This Row],[SOL_A]]+Table3[[#This Row],[OTL_H]]+Table3[[#This Row],[SOL_H]]</f>
        <v>8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0.5714285714285714</v>
      </c>
      <c r="AR15" s="10">
        <f>Table3[[#This Row],[PTS2]]/(3*Table3[[#This Row],[GP]])</f>
        <v>0.42857142857142855</v>
      </c>
      <c r="AS15">
        <f>(2*Table3[[#This Row],[GR]])+Table3[[#This Row],[PTS]]</f>
        <v>158</v>
      </c>
      <c r="AT15">
        <f>(3*Table3[[#This Row],[GR]])+Table3[[#This Row],[PTS2]]</f>
        <v>234</v>
      </c>
      <c r="AU15">
        <f>Table3[[#This Row],[PTS]]+(2 * Table3[[#This Row],[GR]] * Table3[[#This Row],[PTS%]])</f>
        <v>93.714285714285708</v>
      </c>
      <c r="AV15">
        <f>Table3[[#This Row],[PTS2]]+(3 * Table3[[#This Row],[GR]] * Table3[[#This Row],[PTS%2]])</f>
        <v>105.42857142857142</v>
      </c>
      <c r="AW15" s="15" t="str">
        <f>_xlfn.CONCAT(TEXT(Table3[[#This Row],[W]], "0"), "-", TEXT(Table3[[#This Row],[RL]],"0"), "-", TEXT(Table3[[#This Row],[OTL]]+Table3[[#This Row],[SOL]], "0"))</f>
        <v>3-2-2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14</v>
      </c>
      <c r="AZ15">
        <f>SUMIF(DataRegularSeason20242025!$D$3:$D$1315,$A15, DataRegularSeason20242025!$K$3:$K$1315)</f>
        <v>21</v>
      </c>
      <c r="BA15">
        <f>AY15-AZ15</f>
        <v>-7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2</v>
      </c>
      <c r="BE15">
        <f>BC15-BD15</f>
        <v>3</v>
      </c>
      <c r="BF15">
        <f>AY15+BC15</f>
        <v>19</v>
      </c>
      <c r="BG15">
        <f>AZ15+BD15</f>
        <v>23</v>
      </c>
      <c r="BH15">
        <f>BF15-BG15</f>
        <v>-4</v>
      </c>
      <c r="BI15" s="12">
        <f>Table3[[#This Row],[GF]]/Table3[[#This Row],[GP]]</f>
        <v>2.7142857142857144</v>
      </c>
      <c r="BJ15" s="12">
        <f>Table3[[#This Row],[GA]]/Table3[[#This Row],[GP]]</f>
        <v>3.2857142857142856</v>
      </c>
      <c r="BK15" s="12">
        <f>(Table3[[#This Row],[GF]]-Table3[[#This Row],[GA]])/Table3[[#This Row],[GP]]</f>
        <v>-0.5714285714285714</v>
      </c>
      <c r="BL15" s="42" t="str">
        <f>_xlfn.CONCAT(TEXT(Table3[[#This Row],[W_H]], "0"), "-", TEXT(Table3[[#This Row],[RL_H]],"0"), "-", TEXT(Table3[[#This Row],[OTL_H]]+Table3[[#This Row],[SOL_H]], "0"))</f>
        <v>2-0-0</v>
      </c>
      <c r="BM15" s="42" t="str">
        <f>_xlfn.CONCAT(TEXT(Table3[[#This Row],[W_A]], "0"), "-", TEXT(Table3[[#This Row],[RL_A]],"0"), "-", TEXT(Table3[[#This Row],[OTL_A]]+Table3[[#This Row],[SOL_A]], "0"))</f>
        <v>1-2-2</v>
      </c>
      <c r="BN15" s="42">
        <f>((2*(Table3[[#This Row],[W_H]]))+Table3[[#This Row],[OTL_H]]+Table3[[#This Row],[SOL_H]])/(2*Table3[[#This Row],[GP_H]])</f>
        <v>1</v>
      </c>
      <c r="BO15" s="42">
        <f>((2*(Table3[[#This Row],[W_A]]))+Table3[[#This Row],[OTL_A]]+Table3[[#This Row],[SOL_A]])/(2*Table3[[#This Row],[GP_A]])</f>
        <v>0.4</v>
      </c>
      <c r="BP15" s="16">
        <f>(Table3[[#This Row],[W]]*$CX$3)+(Table3[[#This Row],[L]]*$CX$4)+(Table3[[#This Row],[GF]]*$CX$5)+(Table3[[#This Row],[GA]]*$CX$6)</f>
        <v>7.8500000000000014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73.031632653061223</v>
      </c>
      <c r="BR15" s="16">
        <f>(Table3[[#This Row],[W]]*0.7) + ((Table3[[#This Row],[GF]] - Table3[[#This Row],[GA]])*0.25)+(Table3[[#This Row],[GF]]*0.1)+(Table3[[#This Row],[GA]]*0.05)+(Table3[[#This Row],[L]]*0.3)</f>
        <v>5.3500000000000005</v>
      </c>
      <c r="BS15" s="16">
        <f>Table3[[#This Row],[TeamCost83]]/Table3[[#This Row],[GP]]</f>
        <v>0.76428571428571435</v>
      </c>
      <c r="BT15">
        <f>COUNTIFS(Table2[AwayTeam],$A15,Table2[PredictedWinner], $A15, Table2[GameIsOver], 1)</f>
        <v>2</v>
      </c>
      <c r="BU15">
        <f>COUNTIFS(Table2[HomeTeam],$A15,Table2[PredictedWinner], $A15, Table2[GameIsOver], 1)</f>
        <v>1</v>
      </c>
      <c r="BV15">
        <f>BT15+BU15</f>
        <v>3</v>
      </c>
      <c r="BW15">
        <f>F15-BT15</f>
        <v>3</v>
      </c>
      <c r="BX15">
        <f>H15-BU15</f>
        <v>1</v>
      </c>
      <c r="BY15">
        <f>BW15+BX15</f>
        <v>4</v>
      </c>
      <c r="BZ15">
        <f>Table3[[#This Row],[TimesPredictedWinner]]/Table3[[#This Row],[GP]]</f>
        <v>0.42857142857142855</v>
      </c>
      <c r="CC15" s="1">
        <v>45745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1.7000000000000002</v>
      </c>
      <c r="CJ15">
        <f>SUMIFS(Table2[GamePredictionScore], Table2[HomeTeam], Table3[[#This Row],[Teams]])</f>
        <v>0.8</v>
      </c>
      <c r="CK15">
        <f>Table3[[#This Row],[Column4]]+Table3[[#This Row],[Column3]]</f>
        <v>2.5</v>
      </c>
      <c r="CL15">
        <f>Table3[[#This Row],[Column5]]/Table3[[#This Row],[GP]]</f>
        <v>0.35714285714285715</v>
      </c>
      <c r="CR15" t="s">
        <v>461</v>
      </c>
      <c r="CS15">
        <f>CS14/CS2</f>
        <v>0.22727272727272727</v>
      </c>
    </row>
    <row r="16" spans="1:144" x14ac:dyDescent="0.25">
      <c r="A16" t="s">
        <v>24</v>
      </c>
      <c r="B16" t="s">
        <v>90</v>
      </c>
      <c r="C16" t="s">
        <v>93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0.8571428571428571</v>
      </c>
      <c r="F16">
        <f>COUNTIFS(DataRegularSeason20242025!$N$3:$N$1315,1,DataRegularSeason20242025!$D$3:$D$1315,$A16)</f>
        <v>5</v>
      </c>
      <c r="G16">
        <f>41-Table3[[#This Row],[GP_A]]</f>
        <v>36</v>
      </c>
      <c r="H16">
        <f>COUNTIFS(DataRegularSeason20242025!$E$3:$E$1315,$A16,DataRegularSeason20242025!$N$3:$N$1315,1)</f>
        <v>2</v>
      </c>
      <c r="I16">
        <f>41-Table3[[#This Row],[GP_H]]</f>
        <v>39</v>
      </c>
      <c r="J16">
        <f>F16+H16</f>
        <v>7</v>
      </c>
      <c r="K16">
        <f>82-Table3[[#This Row],[GP]]</f>
        <v>75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2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1</v>
      </c>
      <c r="P16">
        <f>F16-L16</f>
        <v>2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1</v>
      </c>
      <c r="U16">
        <f>COUNTIFS(DataRegularSeason20242025!$E$3:$E$1315,$A16, DataRegularSeason20242025!$L$3:$L$1315, $A16,DataRegularSeason20242025!$N$3:$N$1315,1,DataRegularSeason20242025!$M$3:$M$1315,"REG")</f>
        <v>1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0.5714285714285714</v>
      </c>
      <c r="AC16">
        <f>Table3[[#This Row],[W_A]]+Table3[[#This Row],[W_H]]</f>
        <v>4</v>
      </c>
      <c r="AD16">
        <f>Table3[[#This Row],[L_A]]+Table3[[#This Row],[L_H]]</f>
        <v>3</v>
      </c>
      <c r="AE16">
        <f>Table3[[#This Row],[RW_A]]+Table3[[#This Row],[RW_H]]</f>
        <v>3</v>
      </c>
      <c r="AF16">
        <f>Table3[[#This Row],[RL_A]]+Table3[[#This Row],[RL_H]]</f>
        <v>3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0.14285714285714285</v>
      </c>
      <c r="AO16">
        <f>(2*(Table3[[#This Row],[W_A]]+Table3[[#This Row],[W_H]]))+Table3[[#This Row],[OTL_A]]+Table3[[#This Row],[SOL_A]]+Table3[[#This Row],[OTL_H]]+Table3[[#This Row],[SOL_H]]</f>
        <v>8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0.5714285714285714</v>
      </c>
      <c r="AR16" s="10">
        <f>Table3[[#This Row],[PTS2]]/(3*Table3[[#This Row],[GP]])</f>
        <v>0.52380952380952384</v>
      </c>
      <c r="AS16">
        <f>(2*Table3[[#This Row],[GR]])+Table3[[#This Row],[PTS]]</f>
        <v>158</v>
      </c>
      <c r="AT16">
        <f>(3*Table3[[#This Row],[GR]])+Table3[[#This Row],[PTS2]]</f>
        <v>236</v>
      </c>
      <c r="AU16">
        <f>Table3[[#This Row],[PTS]]+(2 * Table3[[#This Row],[GR]] * Table3[[#This Row],[PTS%]])</f>
        <v>93.714285714285708</v>
      </c>
      <c r="AV16">
        <f>Table3[[#This Row],[PTS2]]+(3 * Table3[[#This Row],[GR]] * Table3[[#This Row],[PTS%2]])</f>
        <v>128.85714285714286</v>
      </c>
      <c r="AW16" s="15" t="str">
        <f>_xlfn.CONCAT(TEXT(Table3[[#This Row],[W]], "0"), "-", TEXT(Table3[[#This Row],[RL]],"0"), "-", TEXT(Table3[[#This Row],[OTL]]+Table3[[#This Row],[SOL]], "0"))</f>
        <v>4-3-0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14</v>
      </c>
      <c r="AZ16">
        <f>SUMIF(DataRegularSeason20242025!$D$3:$D$1315,$A16, DataRegularSeason20242025!$K$3:$K$1315)</f>
        <v>16</v>
      </c>
      <c r="BA16">
        <f>AY16-AZ16</f>
        <v>-2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7</v>
      </c>
      <c r="BD16">
        <f>SUMIF(DataRegularSeason20242025!$E$3:$E$1315,$A16,DataRegularSeason20242025!$J$3:$J$1315)</f>
        <v>6</v>
      </c>
      <c r="BE16">
        <f>BC16-BD16</f>
        <v>1</v>
      </c>
      <c r="BF16">
        <f>AY16+BC16</f>
        <v>21</v>
      </c>
      <c r="BG16">
        <f>AZ16+BD16</f>
        <v>22</v>
      </c>
      <c r="BH16">
        <f>BF16-BG16</f>
        <v>-1</v>
      </c>
      <c r="BI16" s="12">
        <f>Table3[[#This Row],[GF]]/Table3[[#This Row],[GP]]</f>
        <v>3</v>
      </c>
      <c r="BJ16" s="12">
        <f>Table3[[#This Row],[GA]]/Table3[[#This Row],[GP]]</f>
        <v>3.1428571428571428</v>
      </c>
      <c r="BK16" s="12">
        <f>(Table3[[#This Row],[GF]]-Table3[[#This Row],[GA]])/Table3[[#This Row],[GP]]</f>
        <v>-0.14285714285714285</v>
      </c>
      <c r="BL16" s="42" t="str">
        <f>_xlfn.CONCAT(TEXT(Table3[[#This Row],[W_H]], "0"), "-", TEXT(Table3[[#This Row],[RL_H]],"0"), "-", TEXT(Table3[[#This Row],[OTL_H]]+Table3[[#This Row],[SOL_H]], "0"))</f>
        <v>1-1-0</v>
      </c>
      <c r="BM16" s="42" t="str">
        <f>_xlfn.CONCAT(TEXT(Table3[[#This Row],[W_A]], "0"), "-", TEXT(Table3[[#This Row],[RL_A]],"0"), "-", TEXT(Table3[[#This Row],[OTL_A]]+Table3[[#This Row],[SOL_A]], "0"))</f>
        <v>3-2-0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0.6</v>
      </c>
      <c r="BP16" s="16">
        <f>(Table3[[#This Row],[W]]*$CX$3)+(Table3[[#This Row],[L]]*$CX$4)+(Table3[[#This Row],[GF]]*$CX$5)+(Table3[[#This Row],[GA]]*$CX$6)</f>
        <v>8.25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75.774489795918385</v>
      </c>
      <c r="BR16" s="16">
        <f>(Table3[[#This Row],[W]]*0.7) + ((Table3[[#This Row],[GF]] - Table3[[#This Row],[GA]])*0.25)+(Table3[[#This Row],[GF]]*0.1)+(Table3[[#This Row],[GA]]*0.05)+(Table3[[#This Row],[L]]*0.3)</f>
        <v>6.65</v>
      </c>
      <c r="BS16" s="16">
        <f>Table3[[#This Row],[TeamCost83]]/Table3[[#This Row],[GP]]</f>
        <v>0.95000000000000007</v>
      </c>
      <c r="BT16">
        <f>COUNTIFS(Table2[AwayTeam],$A16,Table2[PredictedWinner], $A16, Table2[GameIsOver], 1)</f>
        <v>2</v>
      </c>
      <c r="BU16">
        <f>COUNTIFS(Table2[HomeTeam],$A16,Table2[PredictedWinner], $A16, Table2[GameIsOver], 1)</f>
        <v>1</v>
      </c>
      <c r="BV16">
        <f>BT16+BU16</f>
        <v>3</v>
      </c>
      <c r="BW16">
        <f>F16-BT16</f>
        <v>3</v>
      </c>
      <c r="BX16">
        <f>H16-BU16</f>
        <v>1</v>
      </c>
      <c r="BY16">
        <f>BW16+BX16</f>
        <v>4</v>
      </c>
      <c r="BZ16">
        <f>Table3[[#This Row],[TimesPredictedWinner]]/Table3[[#This Row],[GP]]</f>
        <v>0.42857142857142855</v>
      </c>
      <c r="CC16" s="1">
        <v>45756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1.7000000000000002</v>
      </c>
      <c r="CJ16">
        <f>SUMIFS(Table2[GamePredictionScore], Table2[HomeTeam], Table3[[#This Row],[Teams]])</f>
        <v>1.6</v>
      </c>
      <c r="CK16">
        <f>Table3[[#This Row],[Column4]]+Table3[[#This Row],[Column3]]</f>
        <v>3.3000000000000003</v>
      </c>
      <c r="CL16">
        <f>Table3[[#This Row],[Column5]]/Table3[[#This Row],[GP]]</f>
        <v>0.47142857142857147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7</v>
      </c>
      <c r="E17" s="10">
        <f>Table3[[#This Row],[Watched]]/Table3[[#This Row],[GP]]</f>
        <v>1</v>
      </c>
      <c r="F17">
        <f>COUNTIFS(DataRegularSeason20242025!$N$3:$N$1315,1,DataRegularSeason20242025!$D$3:$D$1315,$A17)</f>
        <v>3</v>
      </c>
      <c r="G17">
        <f>41-Table3[[#This Row],[GP_A]]</f>
        <v>38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>F17+H17</f>
        <v>7</v>
      </c>
      <c r="K17">
        <f>82-Table3[[#This Row],[GP]]</f>
        <v>75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1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2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0.42857142857142855</v>
      </c>
      <c r="AC17">
        <f>Table3[[#This Row],[W_A]]+Table3[[#This Row],[W_H]]</f>
        <v>3</v>
      </c>
      <c r="AD17">
        <f>Table3[[#This Row],[L_A]]+Table3[[#This Row],[L_H]]</f>
        <v>4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0.42857142857142855</v>
      </c>
      <c r="AO17">
        <f>(2*(Table3[[#This Row],[W_A]]+Table3[[#This Row],[W_H]]))+Table3[[#This Row],[OTL_A]]+Table3[[#This Row],[SOL_A]]+Table3[[#This Row],[OTL_H]]+Table3[[#This Row],[SOL_H]]</f>
        <v>8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7" s="10">
        <f>Table3[[#This Row],[PTS]]/(2*Table3[[#This Row],[GP]])</f>
        <v>0.5714285714285714</v>
      </c>
      <c r="AR17" s="10">
        <f>Table3[[#This Row],[PTS2]]/(3*Table3[[#This Row],[GP]])</f>
        <v>0.47619047619047616</v>
      </c>
      <c r="AS17">
        <f>(2*Table3[[#This Row],[GR]])+Table3[[#This Row],[PTS]]</f>
        <v>158</v>
      </c>
      <c r="AT17">
        <f>(3*Table3[[#This Row],[GR]])+Table3[[#This Row],[PTS2]]</f>
        <v>235</v>
      </c>
      <c r="AU17">
        <f>Table3[[#This Row],[PTS]]+(2 * Table3[[#This Row],[GR]] * Table3[[#This Row],[PTS%]])</f>
        <v>93.714285714285708</v>
      </c>
      <c r="AV17">
        <f>Table3[[#This Row],[PTS2]]+(3 * Table3[[#This Row],[GR]] * Table3[[#This Row],[PTS%2]])</f>
        <v>117.14285714285714</v>
      </c>
      <c r="AW17" s="15" t="str">
        <f>_xlfn.CONCAT(TEXT(Table3[[#This Row],[W]], "0"), "-", TEXT(Table3[[#This Row],[RL]],"0"), "-", TEXT(Table3[[#This Row],[OTL]]+Table3[[#This Row],[SOL]], "0"))</f>
        <v>3-2-2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13</v>
      </c>
      <c r="AZ17">
        <f>SUMIF(DataRegularSeason20242025!$D$3:$D$1315,$A17, DataRegularSeason20242025!$K$3:$K$1315)</f>
        <v>10</v>
      </c>
      <c r="BA17">
        <f>AY17-AZ17</f>
        <v>3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9</v>
      </c>
      <c r="BD17">
        <f>SUMIF(DataRegularSeason20242025!$E$3:$E$1315,$A17,DataRegularSeason20242025!$J$3:$J$1315)</f>
        <v>8</v>
      </c>
      <c r="BE17">
        <f>BC17-BD17</f>
        <v>1</v>
      </c>
      <c r="BF17">
        <f>AY17+BC17</f>
        <v>22</v>
      </c>
      <c r="BG17">
        <f>AZ17+BD17</f>
        <v>18</v>
      </c>
      <c r="BH17">
        <f>BF17-BG17</f>
        <v>4</v>
      </c>
      <c r="BI17" s="12">
        <f>Table3[[#This Row],[GF]]/Table3[[#This Row],[GP]]</f>
        <v>3.1428571428571428</v>
      </c>
      <c r="BJ17" s="12">
        <f>Table3[[#This Row],[GA]]/Table3[[#This Row],[GP]]</f>
        <v>2.5714285714285716</v>
      </c>
      <c r="BK17" s="12">
        <f>(Table3[[#This Row],[GF]]-Table3[[#This Row],[GA]])/Table3[[#This Row],[GP]]</f>
        <v>0.5714285714285714</v>
      </c>
      <c r="BL17" s="42" t="str">
        <f>_xlfn.CONCAT(TEXT(Table3[[#This Row],[W_H]], "0"), "-", TEXT(Table3[[#This Row],[RL_H]],"0"), "-", TEXT(Table3[[#This Row],[OTL_H]]+Table3[[#This Row],[SOL_H]], "0"))</f>
        <v>2-1-1</v>
      </c>
      <c r="BM17" s="42" t="str">
        <f>_xlfn.CONCAT(TEXT(Table3[[#This Row],[W_A]], "0"), "-", TEXT(Table3[[#This Row],[RL_A]],"0"), "-", TEXT(Table3[[#This Row],[OTL_A]]+Table3[[#This Row],[SOL_A]], "0"))</f>
        <v>1-1-1</v>
      </c>
      <c r="BN17" s="42">
        <f>((2*(Table3[[#This Row],[W_H]]))+Table3[[#This Row],[OTL_H]]+Table3[[#This Row],[SOL_H]])/(2*Table3[[#This Row],[GP_H]])</f>
        <v>0.625</v>
      </c>
      <c r="BO17" s="42">
        <f>((2*(Table3[[#This Row],[W_A]]))+Table3[[#This Row],[OTL_A]]+Table3[[#This Row],[SOL_A]])/(2*Table3[[#This Row],[GP_A]])</f>
        <v>0.5</v>
      </c>
      <c r="BP17" s="16">
        <f>(Table3[[#This Row],[W]]*$CX$3)+(Table3[[#This Row],[L]]*$CX$4)+(Table3[[#This Row],[GF]]*$CX$5)+(Table3[[#This Row],[GA]]*$CX$6)</f>
        <v>7.8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7" s="16">
        <f>(Table3[[#This Row],[W]]*0.7) + ((Table3[[#This Row],[GF]] - Table3[[#This Row],[GA]])*0.25)+(Table3[[#This Row],[GF]]*0.1)+(Table3[[#This Row],[GA]]*0.05)+(Table3[[#This Row],[L]]*0.3)</f>
        <v>7.4</v>
      </c>
      <c r="BS17" s="16">
        <f>Table3[[#This Row],[TeamCost83]]/Table3[[#This Row],[GP]]</f>
        <v>1.0571428571428572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>BT17+BU17</f>
        <v>0</v>
      </c>
      <c r="BW17">
        <f>F17-BT17</f>
        <v>3</v>
      </c>
      <c r="BX17">
        <f>H17-BU17</f>
        <v>4</v>
      </c>
      <c r="BY17">
        <f>BW17+BX17</f>
        <v>7</v>
      </c>
      <c r="BZ17">
        <f>Table3[[#This Row],[TimesPredictedWinner]]/Table3[[#This Row],[GP]]</f>
        <v>0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1.8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3.5</v>
      </c>
      <c r="CL17">
        <f>Table3[[#This Row],[Column5]]/Table3[[#This Row],[GP]]</f>
        <v>0.5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33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3</v>
      </c>
      <c r="E18" s="10">
        <f>Table3[[#This Row],[Watched]]/Table3[[#This Row],[GP]]</f>
        <v>0.5</v>
      </c>
      <c r="F18">
        <f>COUNTIFS(DataRegularSeason20242025!$N$3:$N$1315,1,DataRegularSeason20242025!$D$3:$D$1315,$A18)</f>
        <v>3</v>
      </c>
      <c r="G18">
        <f>41-Table3[[#This Row],[GP_A]]</f>
        <v>38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>F18+H18</f>
        <v>6</v>
      </c>
      <c r="K18">
        <f>82-Table3[[#This Row],[GP]]</f>
        <v>76</v>
      </c>
      <c r="L18">
        <f>COUNTIFS(DataRegularSeason20242025!$D$3:$D$1315,$A18, DataRegularSeason20242025!$L$3:$L$1315, $A18,DataRegularSeason20242025!$N$3:$N$1315,1)</f>
        <v>2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>F18-L18</f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2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3</v>
      </c>
      <c r="AD18">
        <f>Table3[[#This Row],[L_A]]+Table3[[#This Row],[L_H]]</f>
        <v>3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1-0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1</v>
      </c>
      <c r="AN18">
        <f>Table3[[#This Row],[Total_ExtraTimes]]/MAX(1,Table3[[#This Row],[GP]])</f>
        <v>0.16666666666666666</v>
      </c>
      <c r="AO18">
        <f>(2*(Table3[[#This Row],[W_A]]+Table3[[#This Row],[W_H]]))+Table3[[#This Row],[OTL_A]]+Table3[[#This Row],[SOL_A]]+Table3[[#This Row],[OTL_H]]+Table3[[#This Row],[SOL_H]]</f>
        <v>6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8" s="10">
        <f>Table3[[#This Row],[PTS]]/(2*Table3[[#This Row],[GP]])</f>
        <v>0.5</v>
      </c>
      <c r="AR18" s="10">
        <f>Table3[[#This Row],[PTS2]]/(3*Table3[[#This Row],[GP]])</f>
        <v>0.44444444444444442</v>
      </c>
      <c r="AS18">
        <f>(2*Table3[[#This Row],[GR]])+Table3[[#This Row],[PTS]]</f>
        <v>158</v>
      </c>
      <c r="AT18">
        <f>(3*Table3[[#This Row],[GR]])+Table3[[#This Row],[PTS2]]</f>
        <v>236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109.33333333333333</v>
      </c>
      <c r="AW18" s="15" t="str">
        <f>_xlfn.CONCAT(TEXT(Table3[[#This Row],[W]], "0"), "-", TEXT(Table3[[#This Row],[RL]],"0"), "-", TEXT(Table3[[#This Row],[OTL]]+Table3[[#This Row],[SOL]], "0"))</f>
        <v>3-3-0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11</v>
      </c>
      <c r="AZ18">
        <f>SUMIF(DataRegularSeason20242025!$D$3:$D$1315,$A18, DataRegularSeason20242025!$K$3:$K$1315)</f>
        <v>11</v>
      </c>
      <c r="BA18">
        <f>AY18-AZ18</f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9</v>
      </c>
      <c r="BD18">
        <f>SUMIF(DataRegularSeason20242025!$E$3:$E$1315,$A18,DataRegularSeason20242025!$J$3:$J$1315)</f>
        <v>12</v>
      </c>
      <c r="BE18">
        <f>BC18-BD18</f>
        <v>-3</v>
      </c>
      <c r="BF18">
        <f>AY18+BC18</f>
        <v>20</v>
      </c>
      <c r="BG18">
        <f>AZ18+BD18</f>
        <v>23</v>
      </c>
      <c r="BH18">
        <f>BF18-BG18</f>
        <v>-3</v>
      </c>
      <c r="BI18" s="12">
        <f>Table3[[#This Row],[GF]]/Table3[[#This Row],[GP]]</f>
        <v>3.3333333333333335</v>
      </c>
      <c r="BJ18" s="12">
        <f>Table3[[#This Row],[GA]]/Table3[[#This Row],[GP]]</f>
        <v>3.8333333333333335</v>
      </c>
      <c r="BK18" s="12">
        <f>(Table3[[#This Row],[GF]]-Table3[[#This Row],[GA]])/Table3[[#This Row],[GP]]</f>
        <v>-0.5</v>
      </c>
      <c r="BL18" s="42" t="str">
        <f>_xlfn.CONCAT(TEXT(Table3[[#This Row],[W_H]], "0"), "-", TEXT(Table3[[#This Row],[RL_H]],"0"), "-", TEXT(Table3[[#This Row],[OTL_H]]+Table3[[#This Row],[SOL_H]], "0"))</f>
        <v>1-2-0</v>
      </c>
      <c r="BM18" s="42" t="str">
        <f>_xlfn.CONCAT(TEXT(Table3[[#This Row],[W_A]], "0"), "-", TEXT(Table3[[#This Row],[RL_A]],"0"), "-", TEXT(Table3[[#This Row],[OTL_A]]+Table3[[#This Row],[SOL_A]], "0"))</f>
        <v>2-1-0</v>
      </c>
      <c r="BN18" s="42">
        <f>((2*(Table3[[#This Row],[W_H]]))+Table3[[#This Row],[OTL_H]]+Table3[[#This Row],[SOL_H]])/(2*Table3[[#This Row],[GP_H]])</f>
        <v>0.33333333333333331</v>
      </c>
      <c r="BO18" s="42">
        <f>((2*(Table3[[#This Row],[W_A]]))+Table3[[#This Row],[OTL_A]]+Table3[[#This Row],[SOL_A]])/(2*Table3[[#This Row],[GP_A]])</f>
        <v>0.66666666666666663</v>
      </c>
      <c r="BP18" s="16">
        <f>(Table3[[#This Row],[W]]*$CX$3)+(Table3[[#This Row],[L]]*$CX$4)+(Table3[[#This Row],[GF]]*$CX$5)+(Table3[[#This Row],[GA]]*$CX$6)</f>
        <v>7.7000000000000011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85.600000000000009</v>
      </c>
      <c r="BR18" s="16">
        <f>(Table3[[#This Row],[W]]*0.7) + ((Table3[[#This Row],[GF]] - Table3[[#This Row],[GA]])*0.25)+(Table3[[#This Row],[GF]]*0.1)+(Table3[[#This Row],[GA]]*0.05)+(Table3[[#This Row],[L]]*0.3)</f>
        <v>5.4</v>
      </c>
      <c r="BS18" s="16">
        <f>Table3[[#This Row],[TeamCost83]]/Table3[[#This Row],[GP]]</f>
        <v>0.9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3</v>
      </c>
      <c r="BV18">
        <f>BT18+BU18</f>
        <v>5</v>
      </c>
      <c r="BW18">
        <f>F18-BT18</f>
        <v>1</v>
      </c>
      <c r="BX18">
        <f>H18-BU18</f>
        <v>0</v>
      </c>
      <c r="BY18">
        <f>BW18+BX18</f>
        <v>1</v>
      </c>
      <c r="BZ18">
        <f>Table3[[#This Row],[TimesPredictedWinner]]/Table3[[#This Row],[GP]]</f>
        <v>0.83333333333333337</v>
      </c>
      <c r="CB18">
        <v>1999</v>
      </c>
      <c r="CD18" s="1">
        <v>45745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0.8</v>
      </c>
      <c r="CJ18">
        <f>SUMIFS(Table2[GamePredictionScore], Table2[HomeTeam], Table3[[#This Row],[Teams]])</f>
        <v>1</v>
      </c>
      <c r="CK18">
        <f>Table3[[#This Row],[Column4]]+Table3[[#This Row],[Column3]]</f>
        <v>1.8</v>
      </c>
      <c r="CL18">
        <f>Table3[[#This Row],[Column5]]/Table3[[#This Row],[GP]]</f>
        <v>0.3</v>
      </c>
      <c r="CR18">
        <f>LARGE($AO$2:$AO$33,1)</f>
        <v>12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7</v>
      </c>
      <c r="E19" s="10">
        <f>Table3[[#This Row],[Watched]]/Table3[[#This Row],[GP]]</f>
        <v>1</v>
      </c>
      <c r="F19">
        <f>COUNTIFS(DataRegularSeason20242025!$N$3:$N$1315,1,DataRegularSeason20242025!$D$3:$D$1315,$A19)</f>
        <v>1</v>
      </c>
      <c r="G19">
        <f>41-Table3[[#This Row],[GP_A]]</f>
        <v>40</v>
      </c>
      <c r="H19">
        <f>COUNTIFS(DataRegularSeason20242025!$E$3:$E$1315,$A19,DataRegularSeason20242025!$N$3:$N$1315,1)</f>
        <v>6</v>
      </c>
      <c r="I19">
        <f>41-Table3[[#This Row],[GP_H]]</f>
        <v>35</v>
      </c>
      <c r="J19">
        <f>F19+H19</f>
        <v>7</v>
      </c>
      <c r="K19">
        <f>82-Table3[[#This Row],[GP]]</f>
        <v>75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3</v>
      </c>
      <c r="U19">
        <f>COUNTIFS(DataRegularSeason20242025!$E$3:$E$1315,$A19, DataRegularSeason20242025!$L$3:$L$1315, $A19,DataRegularSeason20242025!$N$3:$N$1315,1,DataRegularSeason20242025!$M$3:$M$1315,"REG")</f>
        <v>2</v>
      </c>
      <c r="V19">
        <f>COUNTIFS(DataRegularSeason20242025!$E$3:$E$1315,$A19, DataRegularSeason20242025!$L$3:$L$1315, $A19,DataRegularSeason20242025!$N$3:$N$1315,1,DataRegularSeason20242025!$M$3:$M$1315,"OT")</f>
        <v>1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0.42857142857142855</v>
      </c>
      <c r="AC19">
        <f>Table3[[#This Row],[W_A]]+Table3[[#This Row],[W_H]]</f>
        <v>3</v>
      </c>
      <c r="AD19">
        <f>Table3[[#This Row],[L_A]]+Table3[[#This Row],[L_H]]</f>
        <v>4</v>
      </c>
      <c r="AE19">
        <f>Table3[[#This Row],[RW_A]]+Table3[[#This Row],[RW_H]]</f>
        <v>2</v>
      </c>
      <c r="AF19">
        <f>Table3[[#This Row],[RL_A]]+Table3[[#This Row],[RL_H]]</f>
        <v>3</v>
      </c>
      <c r="AG19">
        <f>Table3[[#This Row],[OTW_A]]+Table3[[#This Row],[OTW_H]]</f>
        <v>1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1-1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0.2857142857142857</v>
      </c>
      <c r="AO19">
        <f>(2*(Table3[[#This Row],[W_A]]+Table3[[#This Row],[W_H]]))+Table3[[#This Row],[OTL_A]]+Table3[[#This Row],[SOL_A]]+Table3[[#This Row],[OTL_H]]+Table3[[#This Row],[SOL_H]]</f>
        <v>7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9" s="10">
        <f>Table3[[#This Row],[PTS]]/(2*Table3[[#This Row],[GP]])</f>
        <v>0.5</v>
      </c>
      <c r="AR19" s="10">
        <f>Table3[[#This Row],[PTS2]]/(3*Table3[[#This Row],[GP]])</f>
        <v>0.42857142857142855</v>
      </c>
      <c r="AS19">
        <f>(2*Table3[[#This Row],[GR]])+Table3[[#This Row],[PTS]]</f>
        <v>157</v>
      </c>
      <c r="AT19">
        <f>(3*Table3[[#This Row],[GR]])+Table3[[#This Row],[PTS2]]</f>
        <v>234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105.42857142857142</v>
      </c>
      <c r="AW19" s="15" t="str">
        <f>_xlfn.CONCAT(TEXT(Table3[[#This Row],[W]], "0"), "-", TEXT(Table3[[#This Row],[RL]],"0"), "-", TEXT(Table3[[#This Row],[OTL]]+Table3[[#This Row],[SOL]], "0"))</f>
        <v>3-3-1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3</v>
      </c>
      <c r="AZ19">
        <f>SUMIF(DataRegularSeason20242025!$D$3:$D$1315,$A19, DataRegularSeason20242025!$K$3:$K$1315)</f>
        <v>6</v>
      </c>
      <c r="BA19">
        <f>AY19-AZ19</f>
        <v>-3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21</v>
      </c>
      <c r="BD19">
        <f>SUMIF(DataRegularSeason20242025!$E$3:$E$1315,$A19,DataRegularSeason20242025!$J$3:$J$1315)</f>
        <v>19</v>
      </c>
      <c r="BE19">
        <f>BC19-BD19</f>
        <v>2</v>
      </c>
      <c r="BF19">
        <f>AY19+BC19</f>
        <v>24</v>
      </c>
      <c r="BG19">
        <f>AZ19+BD19</f>
        <v>25</v>
      </c>
      <c r="BH19">
        <f>BF19-BG19</f>
        <v>-1</v>
      </c>
      <c r="BI19" s="12">
        <f>Table3[[#This Row],[GF]]/Table3[[#This Row],[GP]]</f>
        <v>3.4285714285714284</v>
      </c>
      <c r="BJ19" s="12">
        <f>Table3[[#This Row],[GA]]/Table3[[#This Row],[GP]]</f>
        <v>3.5714285714285716</v>
      </c>
      <c r="BK19" s="12">
        <f>(Table3[[#This Row],[GF]]-Table3[[#This Row],[GA]])/Table3[[#This Row],[GP]]</f>
        <v>-0.14285714285714285</v>
      </c>
      <c r="BL19" s="42" t="str">
        <f>_xlfn.CONCAT(TEXT(Table3[[#This Row],[W_H]], "0"), "-", TEXT(Table3[[#This Row],[RL_H]],"0"), "-", TEXT(Table3[[#This Row],[OTL_H]]+Table3[[#This Row],[SOL_H]], "0"))</f>
        <v>3-2-1</v>
      </c>
      <c r="BM19" s="42" t="str">
        <f>_xlfn.CONCAT(TEXT(Table3[[#This Row],[W_A]], "0"), "-", TEXT(Table3[[#This Row],[RL_A]],"0"), "-", TEXT(Table3[[#This Row],[OTL_A]]+Table3[[#This Row],[SOL_A]], "0"))</f>
        <v>0-1-0</v>
      </c>
      <c r="BN19" s="42">
        <f>((2*(Table3[[#This Row],[W_H]]))+Table3[[#This Row],[OTL_H]]+Table3[[#This Row],[SOL_H]])/(2*Table3[[#This Row],[GP_H]])</f>
        <v>0.58333333333333337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8.8000000000000007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84.942857142857136</v>
      </c>
      <c r="BR19" s="16">
        <f>(Table3[[#This Row],[W]]*0.7) + ((Table3[[#This Row],[GF]] - Table3[[#This Row],[GA]])*0.25)+(Table3[[#This Row],[GF]]*0.1)+(Table3[[#This Row],[GA]]*0.05)+(Table3[[#This Row],[L]]*0.3)</f>
        <v>6.7</v>
      </c>
      <c r="BS19" s="16">
        <f>Table3[[#This Row],[TeamCost83]]/Table3[[#This Row],[GP]]</f>
        <v>0.95714285714285718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3</v>
      </c>
      <c r="BV19">
        <f>BT19+BU19</f>
        <v>4</v>
      </c>
      <c r="BW19">
        <f>F19-BT19</f>
        <v>0</v>
      </c>
      <c r="BX19">
        <f>H19-BU19</f>
        <v>3</v>
      </c>
      <c r="BY19">
        <f>BW19+BX19</f>
        <v>3</v>
      </c>
      <c r="BZ19">
        <f>Table3[[#This Row],[TimesPredictedWinner]]/Table3[[#This Row],[GP]]</f>
        <v>0.5714285714285714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0.47142857142857147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13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7</v>
      </c>
      <c r="E20" s="10">
        <f>Table3[[#This Row],[Watched]]/Table3[[#This Row],[GP]]</f>
        <v>0.875</v>
      </c>
      <c r="F20">
        <f>COUNTIFS(DataRegularSeason20242025!$N$3:$N$1315,1,DataRegularSeason20242025!$D$3:$D$1315,$A20)</f>
        <v>5</v>
      </c>
      <c r="G20">
        <f>41-Table3[[#This Row],[GP_A]]</f>
        <v>36</v>
      </c>
      <c r="H20">
        <f>COUNTIFS(DataRegularSeason20242025!$E$3:$E$1315,$A20,DataRegularSeason20242025!$N$3:$N$1315,1)</f>
        <v>3</v>
      </c>
      <c r="I20">
        <f>41-Table3[[#This Row],[GP_H]]</f>
        <v>38</v>
      </c>
      <c r="J20">
        <f>F20+H20</f>
        <v>8</v>
      </c>
      <c r="K20">
        <f>82-Table3[[#This Row],[GP]]</f>
        <v>74</v>
      </c>
      <c r="L20">
        <f>COUNTIFS(DataRegularSeason20242025!$D$3:$D$1315,$A20, DataRegularSeason20242025!$L$3:$L$1315, $A20,DataRegularSeason20242025!$N$3:$N$1315,1)</f>
        <v>1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4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3</v>
      </c>
      <c r="U20">
        <f>COUNTIFS(DataRegularSeason20242025!$E$3:$E$1315,$A20, DataRegularSeason20242025!$L$3:$L$1315, $A20,DataRegularSeason20242025!$N$3:$N$1315,1,DataRegularSeason20242025!$M$3:$M$1315,"REG")</f>
        <v>3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0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0.5</v>
      </c>
      <c r="AC20">
        <f>Table3[[#This Row],[W_A]]+Table3[[#This Row],[W_H]]</f>
        <v>4</v>
      </c>
      <c r="AD20">
        <f>Table3[[#This Row],[L_A]]+Table3[[#This Row],[L_H]]</f>
        <v>4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8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0" s="10">
        <f>Table3[[#This Row],[PTS]]/(2*Table3[[#This Row],[GP]])</f>
        <v>0.5</v>
      </c>
      <c r="AR20" s="10">
        <f>Table3[[#This Row],[PTS2]]/(3*Table3[[#This Row],[GP]])</f>
        <v>0.5</v>
      </c>
      <c r="AS20">
        <f>(2*Table3[[#This Row],[GR]])+Table3[[#This Row],[PTS]]</f>
        <v>156</v>
      </c>
      <c r="AT20">
        <f>(3*Table3[[#This Row],[GR]])+Table3[[#This Row],[PTS2]]</f>
        <v>234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123</v>
      </c>
      <c r="AW20" s="15" t="str">
        <f>_xlfn.CONCAT(TEXT(Table3[[#This Row],[W]], "0"), "-", TEXT(Table3[[#This Row],[RL]],"0"), "-", TEXT(Table3[[#This Row],[OTL]]+Table3[[#This Row],[SOL]], "0"))</f>
        <v>4-4-0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8</v>
      </c>
      <c r="AZ20">
        <f>SUMIF(DataRegularSeason20242025!$D$3:$D$1315,$A20, DataRegularSeason20242025!$K$3:$K$1315)</f>
        <v>18</v>
      </c>
      <c r="BA20">
        <f>AY20-AZ20</f>
        <v>-10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11</v>
      </c>
      <c r="BD20">
        <f>SUMIF(DataRegularSeason20242025!$E$3:$E$1315,$A20,DataRegularSeason20242025!$J$3:$J$1315)</f>
        <v>5</v>
      </c>
      <c r="BE20">
        <f>BC20-BD20</f>
        <v>6</v>
      </c>
      <c r="BF20">
        <f>AY20+BC20</f>
        <v>19</v>
      </c>
      <c r="BG20">
        <f>AZ20+BD20</f>
        <v>23</v>
      </c>
      <c r="BH20">
        <f>BF20-BG20</f>
        <v>-4</v>
      </c>
      <c r="BI20" s="12">
        <f>Table3[[#This Row],[GF]]/Table3[[#This Row],[GP]]</f>
        <v>2.375</v>
      </c>
      <c r="BJ20" s="12">
        <f>Table3[[#This Row],[GA]]/Table3[[#This Row],[GP]]</f>
        <v>2.875</v>
      </c>
      <c r="BK20" s="12">
        <f>(Table3[[#This Row],[GF]]-Table3[[#This Row],[GA]])/Table3[[#This Row],[GP]]</f>
        <v>-0.5</v>
      </c>
      <c r="BL20" s="42" t="str">
        <f>_xlfn.CONCAT(TEXT(Table3[[#This Row],[W_H]], "0"), "-", TEXT(Table3[[#This Row],[RL_H]],"0"), "-", TEXT(Table3[[#This Row],[OTL_H]]+Table3[[#This Row],[SOL_H]], "0"))</f>
        <v>3-0-0</v>
      </c>
      <c r="BM20" s="42" t="str">
        <f>_xlfn.CONCAT(TEXT(Table3[[#This Row],[W_A]], "0"), "-", TEXT(Table3[[#This Row],[RL_A]],"0"), "-", TEXT(Table3[[#This Row],[OTL_A]]+Table3[[#This Row],[SOL_A]], "0"))</f>
        <v>1-4-0</v>
      </c>
      <c r="BN20" s="42">
        <f>((2*(Table3[[#This Row],[W_H]]))+Table3[[#This Row],[OTL_H]]+Table3[[#This Row],[SOL_H]])/(2*Table3[[#This Row],[GP_H]])</f>
        <v>1</v>
      </c>
      <c r="BO20" s="42">
        <f>((2*(Table3[[#This Row],[W_A]]))+Table3[[#This Row],[OTL_A]]+Table3[[#This Row],[SOL_A]])/(2*Table3[[#This Row],[GP_A]])</f>
        <v>0.2</v>
      </c>
      <c r="BP20" s="16">
        <f>(Table3[[#This Row],[W]]*$CX$3)+(Table3[[#This Row],[L]]*$CX$4)+(Table3[[#This Row],[GF]]*$CX$5)+(Table3[[#This Row],[GA]]*$CX$6)</f>
        <v>8.3500000000000014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65.237500000000011</v>
      </c>
      <c r="BR20" s="16">
        <f>(Table3[[#This Row],[W]]*0.7) + ((Table3[[#This Row],[GF]] - Table3[[#This Row],[GA]])*0.25)+(Table3[[#This Row],[GF]]*0.1)+(Table3[[#This Row],[GA]]*0.05)+(Table3[[#This Row],[L]]*0.3)</f>
        <v>6.0500000000000007</v>
      </c>
      <c r="BS20" s="16">
        <f>Table3[[#This Row],[TeamCost83]]/Table3[[#This Row],[GP]]</f>
        <v>0.75625000000000009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2</v>
      </c>
      <c r="BV20">
        <f>BT20+BU20</f>
        <v>3</v>
      </c>
      <c r="BW20">
        <f>F20-BT20</f>
        <v>4</v>
      </c>
      <c r="BX20">
        <f>H20-BU20</f>
        <v>1</v>
      </c>
      <c r="BY20">
        <f>BW20+BX20</f>
        <v>5</v>
      </c>
      <c r="BZ20">
        <f>Table3[[#This Row],[TimesPredictedWinner]]/Table3[[#This Row],[GP]]</f>
        <v>0.375</v>
      </c>
      <c r="CB20">
        <v>2025</v>
      </c>
      <c r="CD20" s="1">
        <v>45752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2.7</v>
      </c>
      <c r="CJ20">
        <f>SUMIFS(Table2[GamePredictionScore], Table2[HomeTeam], Table3[[#This Row],[Teams]])</f>
        <v>1.7000000000000002</v>
      </c>
      <c r="CK20">
        <f>Table3[[#This Row],[Column4]]+Table3[[#This Row],[Column3]]</f>
        <v>4.4000000000000004</v>
      </c>
      <c r="CL20">
        <f>Table3[[#This Row],[Column5]]/Table3[[#This Row],[GP]]</f>
        <v>0.55000000000000004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22</v>
      </c>
      <c r="B21" t="s">
        <v>90</v>
      </c>
      <c r="C21" t="s">
        <v>93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7</v>
      </c>
      <c r="E21" s="10">
        <f>Table3[[#This Row],[Watched]]/Table3[[#This Row],[GP]]</f>
        <v>1</v>
      </c>
      <c r="F21">
        <f>COUNTIFS(DataRegularSeason20242025!$N$3:$N$1315,1,DataRegularSeason20242025!$D$3:$D$1315,$A21)</f>
        <v>5</v>
      </c>
      <c r="G21">
        <f>41-Table3[[#This Row],[GP_A]]</f>
        <v>36</v>
      </c>
      <c r="H21">
        <f>COUNTIFS(DataRegularSeason20242025!$E$3:$E$1315,$A21,DataRegularSeason20242025!$N$3:$N$1315,1)</f>
        <v>2</v>
      </c>
      <c r="I21">
        <f>41-Table3[[#This Row],[GP_H]]</f>
        <v>39</v>
      </c>
      <c r="J21">
        <f>F21+H21</f>
        <v>7</v>
      </c>
      <c r="K21">
        <f>82-Table3[[#This Row],[GP]]</f>
        <v>75</v>
      </c>
      <c r="L21">
        <f>COUNTIFS(DataRegularSeason20242025!$D$3:$D$1315,$A21, DataRegularSeason20242025!$L$3:$L$1315, $A21,DataRegularSeason20242025!$N$3:$N$1315,1)</f>
        <v>2</v>
      </c>
      <c r="M21">
        <f>COUNTIFS(DataRegularSeason20242025!$D$3:$D$1315,$A21, DataRegularSeason20242025!$L$3:$L$1315, $A21,DataRegularSeason20242025!$N$3:$N$1315,1,DataRegularSeason20242025!$M$3:$M$1315,"REG")</f>
        <v>1</v>
      </c>
      <c r="N21">
        <f>COUNTIFS(DataRegularSeason20242025!$D$3:$D$1315,$A21, DataRegularSeason20242025!$L$3:$L$1315, $A21,DataRegularSeason20242025!$N$3:$N$1315,1,DataRegularSeason20242025!$M$3:$M$1315,"OT")</f>
        <v>1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3</v>
      </c>
      <c r="Q21">
        <f>COUNTIFS(DataRegularSeason20242025!$D$3:$D$1315,$A21, DataRegularSeason20242025!$S$3:$S$1315, $A21,DataRegularSeason20242025!$M$3:$M$1315,"REG")</f>
        <v>3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1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1</v>
      </c>
      <c r="AB21">
        <f>Table3[[#This Row],[W]]/MAX(1,Table3[[#This Row],[W]]+Table3[[#This Row],[L]])</f>
        <v>0.42857142857142855</v>
      </c>
      <c r="AC21">
        <f>Table3[[#This Row],[W_A]]+Table3[[#This Row],[W_H]]</f>
        <v>3</v>
      </c>
      <c r="AD21">
        <f>Table3[[#This Row],[L_A]]+Table3[[#This Row],[L_H]]</f>
        <v>4</v>
      </c>
      <c r="AE21">
        <f>Table3[[#This Row],[RW_A]]+Table3[[#This Row],[RW_H]]</f>
        <v>2</v>
      </c>
      <c r="AF21">
        <f>Table3[[#This Row],[RL_A]]+Table3[[#This Row],[RL_H]]</f>
        <v>3</v>
      </c>
      <c r="AG21">
        <f>Table3[[#This Row],[OTW_A]]+Table3[[#This Row],[OTW_H]]</f>
        <v>1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1</v>
      </c>
      <c r="AK21" s="15" t="str">
        <f>_xlfn.CONCAT(TEXT(Table3[[#This Row],[OTW]]+Table3[[#This Row],[SOW]], "0"), "-", TEXT(Table3[[#This Row],[OTL]]+Table3[[#This Row],[SOL]],"0"))</f>
        <v>1-1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0.5</v>
      </c>
      <c r="AN21">
        <f>Table3[[#This Row],[Total_ExtraTimes]]/MAX(1,Table3[[#This Row],[GP]])</f>
        <v>0.2857142857142857</v>
      </c>
      <c r="AO21">
        <f>(2*(Table3[[#This Row],[W_A]]+Table3[[#This Row],[W_H]]))+Table3[[#This Row],[OTL_A]]+Table3[[#This Row],[SOL_A]]+Table3[[#This Row],[OTL_H]]+Table3[[#This Row],[SOL_H]]</f>
        <v>7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1" s="10">
        <f>Table3[[#This Row],[PTS]]/(2*Table3[[#This Row],[GP]])</f>
        <v>0.5</v>
      </c>
      <c r="AR21" s="10">
        <f>Table3[[#This Row],[PTS2]]/(3*Table3[[#This Row],[GP]])</f>
        <v>0.42857142857142855</v>
      </c>
      <c r="AS21">
        <f>(2*Table3[[#This Row],[GR]])+Table3[[#This Row],[PTS]]</f>
        <v>157</v>
      </c>
      <c r="AT21">
        <f>(3*Table3[[#This Row],[GR]])+Table3[[#This Row],[PTS2]]</f>
        <v>234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105.42857142857142</v>
      </c>
      <c r="AW21" s="15" t="str">
        <f>_xlfn.CONCAT(TEXT(Table3[[#This Row],[W]], "0"), "-", TEXT(Table3[[#This Row],[RL]],"0"), "-", TEXT(Table3[[#This Row],[OTL]]+Table3[[#This Row],[SOL]], "0"))</f>
        <v>3-3-1</v>
      </c>
      <c r="AX21">
        <f>COUNTIFS(DataRegularSeason20242025!$D$3:$D$1315,Table3[[#This Row],[Teams]],DataRegularSeason20242025!$K$3:$K$1315,0)</f>
        <v>1</v>
      </c>
      <c r="AY21">
        <f>SUMIF(DataRegularSeason20242025!$D$3:$D$1315,$A21, DataRegularSeason20242025!$J$3:$J$1315)</f>
        <v>12</v>
      </c>
      <c r="AZ21">
        <f>SUMIF(DataRegularSeason20242025!$D$3:$D$1315,$A21, DataRegularSeason20242025!$K$3:$K$1315)</f>
        <v>15</v>
      </c>
      <c r="BA21">
        <f>AY21-AZ21</f>
        <v>-3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6</v>
      </c>
      <c r="BD21">
        <f>SUMIF(DataRegularSeason20242025!$E$3:$E$1315,$A21,DataRegularSeason20242025!$J$3:$J$1315)</f>
        <v>5</v>
      </c>
      <c r="BE21">
        <f>BC21-BD21</f>
        <v>1</v>
      </c>
      <c r="BF21">
        <f>AY21+BC21</f>
        <v>18</v>
      </c>
      <c r="BG21">
        <f>AZ21+BD21</f>
        <v>20</v>
      </c>
      <c r="BH21">
        <f>BF21-BG21</f>
        <v>-2</v>
      </c>
      <c r="BI21" s="12">
        <f>Table3[[#This Row],[GF]]/Table3[[#This Row],[GP]]</f>
        <v>2.5714285714285716</v>
      </c>
      <c r="BJ21" s="12">
        <f>Table3[[#This Row],[GA]]/Table3[[#This Row],[GP]]</f>
        <v>2.8571428571428572</v>
      </c>
      <c r="BK21" s="12">
        <f>(Table3[[#This Row],[GF]]-Table3[[#This Row],[GA]])/Table3[[#This Row],[GP]]</f>
        <v>-0.2857142857142857</v>
      </c>
      <c r="BL21" s="42" t="str">
        <f>_xlfn.CONCAT(TEXT(Table3[[#This Row],[W_H]], "0"), "-", TEXT(Table3[[#This Row],[RL_H]],"0"), "-", TEXT(Table3[[#This Row],[OTL_H]]+Table3[[#This Row],[SOL_H]], "0"))</f>
        <v>1-0-1</v>
      </c>
      <c r="BM21" s="42" t="str">
        <f>_xlfn.CONCAT(TEXT(Table3[[#This Row],[W_A]], "0"), "-", TEXT(Table3[[#This Row],[RL_A]],"0"), "-", TEXT(Table3[[#This Row],[OTL_A]]+Table3[[#This Row],[SOL_A]], "0"))</f>
        <v>2-3-0</v>
      </c>
      <c r="BN21" s="42">
        <f>((2*(Table3[[#This Row],[W_H]]))+Table3[[#This Row],[OTL_H]]+Table3[[#This Row],[SOL_H]])/(2*Table3[[#This Row],[GP_H]])</f>
        <v>0.75</v>
      </c>
      <c r="BO21" s="42">
        <f>((2*(Table3[[#This Row],[W_A]]))+Table3[[#This Row],[OTL_A]]+Table3[[#This Row],[SOL_A]])/(2*Table3[[#This Row],[GP_A]])</f>
        <v>0.4</v>
      </c>
      <c r="BP21" s="16">
        <f>(Table3[[#This Row],[W]]*$CX$3)+(Table3[[#This Row],[L]]*$CX$4)+(Table3[[#This Row],[GF]]*$CX$5)+(Table3[[#This Row],[GA]]*$CX$6)</f>
        <v>7.4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67.142857142857139</v>
      </c>
      <c r="BR21" s="16">
        <f>(Table3[[#This Row],[W]]*0.7) + ((Table3[[#This Row],[GF]] - Table3[[#This Row],[GA]])*0.25)+(Table3[[#This Row],[GF]]*0.1)+(Table3[[#This Row],[GA]]*0.05)+(Table3[[#This Row],[L]]*0.3)</f>
        <v>5.6</v>
      </c>
      <c r="BS21" s="16">
        <f>Table3[[#This Row],[TeamCost83]]/Table3[[#This Row],[GP]]</f>
        <v>0.79999999999999993</v>
      </c>
      <c r="BT21">
        <f>COUNTIFS(Table2[AwayTeam],$A21,Table2[PredictedWinner], $A21, Table2[GameIsOver], 1)</f>
        <v>4</v>
      </c>
      <c r="BU21">
        <f>COUNTIFS(Table2[HomeTeam],$A21,Table2[PredictedWinner], $A21, Table2[GameIsOver], 1)</f>
        <v>1</v>
      </c>
      <c r="BV21">
        <f>BT21+BU21</f>
        <v>5</v>
      </c>
      <c r="BW21">
        <f>F21-BT21</f>
        <v>1</v>
      </c>
      <c r="BX21">
        <f>H21-BU21</f>
        <v>1</v>
      </c>
      <c r="BY21">
        <f>BW21+BX21</f>
        <v>2</v>
      </c>
      <c r="BZ21">
        <f>Table3[[#This Row],[TimesPredictedWinner]]/Table3[[#This Row],[GP]]</f>
        <v>0.7142857142857143</v>
      </c>
      <c r="CB21">
        <v>1990</v>
      </c>
      <c r="CD21" s="1">
        <v>45758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2.6</v>
      </c>
      <c r="CJ21">
        <f>SUMIFS(Table2[GamePredictionScore], Table2[HomeTeam], Table3[[#This Row],[Teams]])</f>
        <v>0.2</v>
      </c>
      <c r="CK21">
        <f>Table3[[#This Row],[Column4]]+Table3[[#This Row],[Column3]]</f>
        <v>2.8000000000000003</v>
      </c>
      <c r="CL21">
        <f>Table3[[#This Row],[Column5]]/Table3[[#This Row],[GP]]</f>
        <v>0.4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32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2</v>
      </c>
      <c r="E22" s="10">
        <f>Table3[[#This Row],[Watched]]/Table3[[#This Row],[GP]]</f>
        <v>0.33333333333333331</v>
      </c>
      <c r="F22">
        <f>COUNTIFS(DataRegularSeason20242025!$N$3:$N$1315,1,DataRegularSeason20242025!$D$3:$D$1315,$A22)</f>
        <v>2</v>
      </c>
      <c r="G22">
        <f>41-Table3[[#This Row],[GP_A]]</f>
        <v>39</v>
      </c>
      <c r="H22">
        <f>COUNTIFS(DataRegularSeason20242025!$E$3:$E$1315,$A22,DataRegularSeason20242025!$N$3:$N$1315,1)</f>
        <v>4</v>
      </c>
      <c r="I22">
        <f>41-Table3[[#This Row],[GP_H]]</f>
        <v>37</v>
      </c>
      <c r="J22">
        <f>F22+H22</f>
        <v>6</v>
      </c>
      <c r="K22">
        <f>82-Table3[[#This Row],[GP]]</f>
        <v>76</v>
      </c>
      <c r="L22">
        <f>COUNTIFS(DataRegularSeason20242025!$D$3:$D$1315,$A22, DataRegularSeason20242025!$L$3:$L$1315, $A22,DataRegularSeason20242025!$N$3:$N$1315,1)</f>
        <v>1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1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2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2</v>
      </c>
      <c r="Y22">
        <f>COUNTIFS(DataRegularSeason20242025!$E$3:$E$1315,$A22, DataRegularSeason20242025!$S$3:$S$1315, $A22,DataRegularSeason20242025!$M$3:$M$1315,"REG")</f>
        <v>2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0.5</v>
      </c>
      <c r="AC22">
        <f>Table3[[#This Row],[W_A]]+Table3[[#This Row],[W_H]]</f>
        <v>3</v>
      </c>
      <c r="AD22">
        <f>Table3[[#This Row],[L_A]]+Table3[[#This Row],[L_H]]</f>
        <v>3</v>
      </c>
      <c r="AE22">
        <f>Table3[[#This Row],[RW_A]]+Table3[[#This Row],[RW_H]]</f>
        <v>3</v>
      </c>
      <c r="AF22">
        <f>Table3[[#This Row],[RL_A]]+Table3[[#This Row],[RL_H]]</f>
        <v>3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6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2" s="10">
        <f>Table3[[#This Row],[PTS]]/(2*Table3[[#This Row],[GP]])</f>
        <v>0.5</v>
      </c>
      <c r="AR22" s="10">
        <f>Table3[[#This Row],[PTS2]]/(3*Table3[[#This Row],[GP]])</f>
        <v>0.5</v>
      </c>
      <c r="AS22">
        <f>(2*Table3[[#This Row],[GR]])+Table3[[#This Row],[PTS]]</f>
        <v>158</v>
      </c>
      <c r="AT22">
        <f>(3*Table3[[#This Row],[GR]])+Table3[[#This Row],[PTS2]]</f>
        <v>237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123</v>
      </c>
      <c r="AW22" s="15" t="str">
        <f>_xlfn.CONCAT(TEXT(Table3[[#This Row],[W]], "0"), "-", TEXT(Table3[[#This Row],[RL]],"0"), "-", TEXT(Table3[[#This Row],[OTL]]+Table3[[#This Row],[SOL]], "0"))</f>
        <v>3-3-0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8</v>
      </c>
      <c r="AZ22">
        <f>SUMIF(DataRegularSeason20242025!$D$3:$D$1315,$A22, DataRegularSeason20242025!$K$3:$K$1315)</f>
        <v>8</v>
      </c>
      <c r="BA22">
        <f>AY22-AZ22</f>
        <v>0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12</v>
      </c>
      <c r="BD22">
        <f>SUMIF(DataRegularSeason20242025!$E$3:$E$1315,$A22,DataRegularSeason20242025!$J$3:$J$1315)</f>
        <v>14</v>
      </c>
      <c r="BE22">
        <f>BC22-BD22</f>
        <v>-2</v>
      </c>
      <c r="BF22">
        <f>AY22+BC22</f>
        <v>20</v>
      </c>
      <c r="BG22">
        <f>AZ22+BD22</f>
        <v>22</v>
      </c>
      <c r="BH22">
        <f>BF22-BG22</f>
        <v>-2</v>
      </c>
      <c r="BI22" s="12">
        <f>Table3[[#This Row],[GF]]/Table3[[#This Row],[GP]]</f>
        <v>3.3333333333333335</v>
      </c>
      <c r="BJ22" s="12">
        <f>Table3[[#This Row],[GA]]/Table3[[#This Row],[GP]]</f>
        <v>3.6666666666666665</v>
      </c>
      <c r="BK22" s="12">
        <f>(Table3[[#This Row],[GF]]-Table3[[#This Row],[GA]])/Table3[[#This Row],[GP]]</f>
        <v>-0.33333333333333331</v>
      </c>
      <c r="BL22" s="42" t="str">
        <f>_xlfn.CONCAT(TEXT(Table3[[#This Row],[W_H]], "0"), "-", TEXT(Table3[[#This Row],[RL_H]],"0"), "-", TEXT(Table3[[#This Row],[OTL_H]]+Table3[[#This Row],[SOL_H]], "0"))</f>
        <v>2-2-0</v>
      </c>
      <c r="BM22" s="42" t="str">
        <f>_xlfn.CONCAT(TEXT(Table3[[#This Row],[W_A]], "0"), "-", TEXT(Table3[[#This Row],[RL_A]],"0"), "-", TEXT(Table3[[#This Row],[OTL_A]]+Table3[[#This Row],[SOL_A]], "0"))</f>
        <v>1-1-0</v>
      </c>
      <c r="BN22" s="42">
        <f>((2*(Table3[[#This Row],[W_H]]))+Table3[[#This Row],[OTL_H]]+Table3[[#This Row],[SOL_H]])/(2*Table3[[#This Row],[GP_H]])</f>
        <v>0.5</v>
      </c>
      <c r="BO22" s="42">
        <f>((2*(Table3[[#This Row],[W_A]]))+Table3[[#This Row],[OTL_A]]+Table3[[#This Row],[SOL_A]])/(2*Table3[[#This Row],[GP_A]])</f>
        <v>0.5</v>
      </c>
      <c r="BP22" s="16">
        <f>(Table3[[#This Row],[W]]*$CX$3)+(Table3[[#This Row],[L]]*$CX$4)+(Table3[[#This Row],[GF]]*$CX$5)+(Table3[[#This Row],[GA]]*$CX$6)</f>
        <v>7.6000000000000005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84.13333333333334</v>
      </c>
      <c r="BR22" s="16">
        <f>(Table3[[#This Row],[W]]*0.7) + ((Table3[[#This Row],[GF]] - Table3[[#This Row],[GA]])*0.25)+(Table3[[#This Row],[GF]]*0.1)+(Table3[[#This Row],[GA]]*0.05)+(Table3[[#This Row],[L]]*0.3)</f>
        <v>5.6</v>
      </c>
      <c r="BS22" s="16">
        <f>Table3[[#This Row],[TeamCost83]]/Table3[[#This Row],[GP]]</f>
        <v>0.93333333333333324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>BT22+BU22</f>
        <v>0</v>
      </c>
      <c r="BW22">
        <f>F22-BT22</f>
        <v>2</v>
      </c>
      <c r="BX22">
        <f>H22-BU22</f>
        <v>4</v>
      </c>
      <c r="BY22">
        <f>BW22+BX22</f>
        <v>6</v>
      </c>
      <c r="BZ22">
        <f>Table3[[#This Row],[TimesPredictedWinner]]/Table3[[#This Row],[GP]]</f>
        <v>0</v>
      </c>
      <c r="CB22">
        <v>1983</v>
      </c>
      <c r="CC22" s="1">
        <v>45759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0.9</v>
      </c>
      <c r="CJ22">
        <f>SUMIFS(Table2[GamePredictionScore], Table2[HomeTeam], Table3[[#This Row],[Teams]])</f>
        <v>2</v>
      </c>
      <c r="CK22">
        <f>Table3[[#This Row],[Column4]]+Table3[[#This Row],[Column3]]</f>
        <v>2.9</v>
      </c>
      <c r="CL22">
        <f>Table3[[#This Row],[Column5]]/Table3[[#This Row],[GP]]</f>
        <v>0.48333333333333334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35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</v>
      </c>
      <c r="E23" s="10">
        <f>Table3[[#This Row],[Watched]]/Table3[[#This Row],[GP]]</f>
        <v>0.16666666666666666</v>
      </c>
      <c r="F23">
        <f>COUNTIFS(DataRegularSeason20242025!$N$3:$N$1315,1,DataRegularSeason20242025!$D$3:$D$1315,$A23)</f>
        <v>3</v>
      </c>
      <c r="G23">
        <f>41-Table3[[#This Row],[GP_A]]</f>
        <v>38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>F23+H23</f>
        <v>6</v>
      </c>
      <c r="K23">
        <f>82-Table3[[#This Row],[GP]]</f>
        <v>76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1</v>
      </c>
      <c r="Q23">
        <f>COUNTIFS(DataRegularSeason20242025!$D$3:$D$1315,$A23, DataRegularSeason20242025!$S$3:$S$1315, $A23,DataRegularSeason20242025!$M$3:$M$1315,"REG")</f>
        <v>1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1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2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0.5</v>
      </c>
      <c r="AC23">
        <f>Table3[[#This Row],[W_A]]+Table3[[#This Row],[W_H]]</f>
        <v>3</v>
      </c>
      <c r="AD23">
        <f>Table3[[#This Row],[L_A]]+Table3[[#This Row],[L_H]]</f>
        <v>3</v>
      </c>
      <c r="AE23">
        <f>Table3[[#This Row],[RW_A]]+Table3[[#This Row],[RW_H]]</f>
        <v>3</v>
      </c>
      <c r="AF23">
        <f>Table3[[#This Row],[RL_A]]+Table3[[#This Row],[RL_H]]</f>
        <v>3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3" s="10">
        <f>Table3[[#This Row],[PTS]]/(2*Table3[[#This Row],[GP]])</f>
        <v>0.5</v>
      </c>
      <c r="AR23" s="10">
        <f>Table3[[#This Row],[PTS2]]/(3*Table3[[#This Row],[GP]])</f>
        <v>0.5</v>
      </c>
      <c r="AS23">
        <f>(2*Table3[[#This Row],[GR]])+Table3[[#This Row],[PTS]]</f>
        <v>158</v>
      </c>
      <c r="AT23">
        <f>(3*Table3[[#This Row],[GR]])+Table3[[#This Row],[PTS2]]</f>
        <v>237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123</v>
      </c>
      <c r="AW23" s="15" t="str">
        <f>_xlfn.CONCAT(TEXT(Table3[[#This Row],[W]], "0"), "-", TEXT(Table3[[#This Row],[RL]],"0"), "-", TEXT(Table3[[#This Row],[OTL]]+Table3[[#This Row],[SOL]], "0"))</f>
        <v>3-3-0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13</v>
      </c>
      <c r="AZ23">
        <f>SUMIF(DataRegularSeason20242025!$D$3:$D$1315,$A23, DataRegularSeason20242025!$K$3:$K$1315)</f>
        <v>6</v>
      </c>
      <c r="BA23">
        <f>AY23-AZ23</f>
        <v>7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6</v>
      </c>
      <c r="BD23">
        <f>SUMIF(DataRegularSeason20242025!$E$3:$E$1315,$A23,DataRegularSeason20242025!$J$3:$J$1315)</f>
        <v>9</v>
      </c>
      <c r="BE23">
        <f>BC23-BD23</f>
        <v>-3</v>
      </c>
      <c r="BF23">
        <f>AY23+BC23</f>
        <v>19</v>
      </c>
      <c r="BG23">
        <f>AZ23+BD23</f>
        <v>15</v>
      </c>
      <c r="BH23">
        <f>BF23-BG23</f>
        <v>4</v>
      </c>
      <c r="BI23" s="12">
        <f>Table3[[#This Row],[GF]]/Table3[[#This Row],[GP]]</f>
        <v>3.1666666666666665</v>
      </c>
      <c r="BJ23" s="12">
        <f>Table3[[#This Row],[GA]]/Table3[[#This Row],[GP]]</f>
        <v>2.5</v>
      </c>
      <c r="BK23" s="12">
        <f>(Table3[[#This Row],[GF]]-Table3[[#This Row],[GA]])/Table3[[#This Row],[GP]]</f>
        <v>0.66666666666666663</v>
      </c>
      <c r="BL23" s="42" t="str">
        <f>_xlfn.CONCAT(TEXT(Table3[[#This Row],[W_H]], "0"), "-", TEXT(Table3[[#This Row],[RL_H]],"0"), "-", TEXT(Table3[[#This Row],[OTL_H]]+Table3[[#This Row],[SOL_H]], "0"))</f>
        <v>1-2-0</v>
      </c>
      <c r="BM23" s="42" t="str">
        <f>_xlfn.CONCAT(TEXT(Table3[[#This Row],[W_A]], "0"), "-", TEXT(Table3[[#This Row],[RL_A]],"0"), "-", TEXT(Table3[[#This Row],[OTL_A]]+Table3[[#This Row],[SOL_A]], "0"))</f>
        <v>2-1-0</v>
      </c>
      <c r="BN23" s="42">
        <f>((2*(Table3[[#This Row],[W_H]]))+Table3[[#This Row],[OTL_H]]+Table3[[#This Row],[SOL_H]])/(2*Table3[[#This Row],[GP_H]])</f>
        <v>0.33333333333333331</v>
      </c>
      <c r="BO23" s="42">
        <f>((2*(Table3[[#This Row],[W_A]]))+Table3[[#This Row],[OTL_A]]+Table3[[#This Row],[SOL_A]])/(2*Table3[[#This Row],[GP_A]])</f>
        <v>0.66666666666666663</v>
      </c>
      <c r="BP23" s="16">
        <f>(Table3[[#This Row],[W]]*$CX$3)+(Table3[[#This Row],[L]]*$CX$4)+(Table3[[#This Row],[GF]]*$CX$5)+(Table3[[#This Row],[GA]]*$CX$6)</f>
        <v>6.75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71.666666666666657</v>
      </c>
      <c r="BR23" s="16">
        <f>(Table3[[#This Row],[W]]*0.7) + ((Table3[[#This Row],[GF]] - Table3[[#This Row],[GA]])*0.25)+(Table3[[#This Row],[GF]]*0.1)+(Table3[[#This Row],[GA]]*0.05)+(Table3[[#This Row],[L]]*0.3)</f>
        <v>6.65</v>
      </c>
      <c r="BS23" s="16">
        <f>Table3[[#This Row],[TeamCost83]]/Table3[[#This Row],[GP]]</f>
        <v>1.1083333333333334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1</v>
      </c>
      <c r="BV23">
        <f>BT23+BU23</f>
        <v>1</v>
      </c>
      <c r="BW23">
        <f>F23-BT23</f>
        <v>3</v>
      </c>
      <c r="BX23">
        <f>H23-BU23</f>
        <v>2</v>
      </c>
      <c r="BY23">
        <f>BW23+BX23</f>
        <v>5</v>
      </c>
      <c r="BZ23">
        <f>Table3[[#This Row],[TimesPredictedWinner]]/Table3[[#This Row],[GP]]</f>
        <v>0.16666666666666666</v>
      </c>
      <c r="CC23" s="1">
        <v>45763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0.8</v>
      </c>
      <c r="CJ23">
        <f>SUMIFS(Table2[GamePredictionScore], Table2[HomeTeam], Table3[[#This Row],[Teams]])</f>
        <v>0.8</v>
      </c>
      <c r="CK23">
        <f>Table3[[#This Row],[Column4]]+Table3[[#This Row],[Column3]]</f>
        <v>1.6</v>
      </c>
      <c r="CL23">
        <f>Table3[[#This Row],[Column5]]/Table3[[#This Row],[GP]]</f>
        <v>0.26666666666666666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36</v>
      </c>
      <c r="B24" t="s">
        <v>90</v>
      </c>
      <c r="C24" t="s">
        <v>88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4</v>
      </c>
      <c r="E24" s="10">
        <f>Table3[[#This Row],[Watched]]/Table3[[#This Row],[GP]]</f>
        <v>0.5</v>
      </c>
      <c r="F24">
        <f>COUNTIFS(DataRegularSeason20242025!$N$3:$N$1315,1,DataRegularSeason20242025!$D$3:$D$1315,$A24)</f>
        <v>6</v>
      </c>
      <c r="G24">
        <f>41-Table3[[#This Row],[GP_A]]</f>
        <v>35</v>
      </c>
      <c r="H24">
        <f>COUNTIFS(DataRegularSeason20242025!$E$3:$E$1315,$A24,DataRegularSeason20242025!$N$3:$N$1315,1)</f>
        <v>2</v>
      </c>
      <c r="I24">
        <f>41-Table3[[#This Row],[GP_H]]</f>
        <v>39</v>
      </c>
      <c r="J24">
        <f>F24+H24</f>
        <v>8</v>
      </c>
      <c r="K24">
        <f>82-Table3[[#This Row],[GP]]</f>
        <v>74</v>
      </c>
      <c r="L24">
        <f>COUNTIFS(DataRegularSeason20242025!$D$3:$D$1315,$A24, DataRegularSeason20242025!$L$3:$L$1315, $A24,DataRegularSeason20242025!$N$3:$N$1315,1)</f>
        <v>2</v>
      </c>
      <c r="M24">
        <f>COUNTIFS(DataRegularSeason20242025!$D$3:$D$1315,$A24, DataRegularSeason20242025!$L$3:$L$1315, $A24,DataRegularSeason20242025!$N$3:$N$1315,1,DataRegularSeason20242025!$M$3:$M$1315,"REG")</f>
        <v>2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4</v>
      </c>
      <c r="Q24">
        <f>COUNTIFS(DataRegularSeason20242025!$D$3:$D$1315,$A24, DataRegularSeason20242025!$S$3:$S$1315, $A24,DataRegularSeason20242025!$M$3:$M$1315,"REG")</f>
        <v>3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1</v>
      </c>
      <c r="X24">
        <f>H24-T24</f>
        <v>1</v>
      </c>
      <c r="Y24">
        <f>COUNTIFS(DataRegularSeason20242025!$E$3:$E$1315,$A24, DataRegularSeason20242025!$S$3:$S$1315, $A24,DataRegularSeason20242025!$M$3:$M$1315,"REG")</f>
        <v>1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0.375</v>
      </c>
      <c r="AC24">
        <f>Table3[[#This Row],[W_A]]+Table3[[#This Row],[W_H]]</f>
        <v>3</v>
      </c>
      <c r="AD24">
        <f>Table3[[#This Row],[L_A]]+Table3[[#This Row],[L_H]]</f>
        <v>5</v>
      </c>
      <c r="AE24">
        <f>Table3[[#This Row],[RW_A]]+Table3[[#This Row],[RW_H]]</f>
        <v>2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1</v>
      </c>
      <c r="AI24">
        <f>Table3[[#This Row],[SOW_A]]+Table3[[#This Row],[SOW_H]]</f>
        <v>1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1-1</v>
      </c>
      <c r="AL24">
        <f>SUM(Table3[[#This Row],[OTW]],Table3[[#This Row],[OTL]],Table3[[#This Row],[SOW]],Table3[[#This Row],[SOL]])</f>
        <v>2</v>
      </c>
      <c r="AM24">
        <f>(Table3[[#This Row],[OTW]]+Table3[[#This Row],[SOW]])/IF(Table3[[#This Row],[Total_ExtraTimes]]=0,1,Table3[[#This Row],[Total_ExtraTimes]])</f>
        <v>0.5</v>
      </c>
      <c r="AN24">
        <f>Table3[[#This Row],[Total_ExtraTimes]]/MAX(1,Table3[[#This Row],[GP]])</f>
        <v>0.25</v>
      </c>
      <c r="AO24">
        <f>(2*(Table3[[#This Row],[W_A]]+Table3[[#This Row],[W_H]]))+Table3[[#This Row],[OTL_A]]+Table3[[#This Row],[SOL_A]]+Table3[[#This Row],[OTL_H]]+Table3[[#This Row],[SOL_H]]</f>
        <v>7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4" s="10">
        <f>Table3[[#This Row],[PTS]]/(2*Table3[[#This Row],[GP]])</f>
        <v>0.4375</v>
      </c>
      <c r="AR24" s="10">
        <f>Table3[[#This Row],[PTS2]]/(3*Table3[[#This Row],[GP]])</f>
        <v>0.375</v>
      </c>
      <c r="AS24">
        <f>(2*Table3[[#This Row],[GR]])+Table3[[#This Row],[PTS]]</f>
        <v>155</v>
      </c>
      <c r="AT24">
        <f>(3*Table3[[#This Row],[GR]])+Table3[[#This Row],[PTS2]]</f>
        <v>231</v>
      </c>
      <c r="AU24">
        <f>Table3[[#This Row],[PTS]]+(2 * Table3[[#This Row],[GR]] * Table3[[#This Row],[PTS%]])</f>
        <v>71.75</v>
      </c>
      <c r="AV24">
        <f>Table3[[#This Row],[PTS2]]+(3 * Table3[[#This Row],[GR]] * Table3[[#This Row],[PTS%2]])</f>
        <v>92.25</v>
      </c>
      <c r="AW24" s="15" t="str">
        <f>_xlfn.CONCAT(TEXT(Table3[[#This Row],[W]], "0"), "-", TEXT(Table3[[#This Row],[RL]],"0"), "-", TEXT(Table3[[#This Row],[OTL]]+Table3[[#This Row],[SOL]], "0"))</f>
        <v>3-4-1</v>
      </c>
      <c r="AX24">
        <f>COUNTIFS(DataRegularSeason20242025!$D$3:$D$1315,Table3[[#This Row],[Teams]],DataRegularSeason20242025!$K$3:$K$1315,0)</f>
        <v>1</v>
      </c>
      <c r="AY24">
        <f>SUMIF(DataRegularSeason20242025!$D$3:$D$1315,$A24, DataRegularSeason20242025!$J$3:$J$1315)</f>
        <v>13</v>
      </c>
      <c r="AZ24">
        <f>SUMIF(DataRegularSeason20242025!$D$3:$D$1315,$A24, DataRegularSeason20242025!$K$3:$K$1315)</f>
        <v>17</v>
      </c>
      <c r="BA24">
        <f>AY24-AZ24</f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7</v>
      </c>
      <c r="BD24">
        <f>SUMIF(DataRegularSeason20242025!$E$3:$E$1315,$A24,DataRegularSeason20242025!$J$3:$J$1315)</f>
        <v>10</v>
      </c>
      <c r="BE24">
        <f>BC24-BD24</f>
        <v>-3</v>
      </c>
      <c r="BF24">
        <f>AY24+BC24</f>
        <v>20</v>
      </c>
      <c r="BG24">
        <f>AZ24+BD24</f>
        <v>27</v>
      </c>
      <c r="BH24">
        <f>BF24-BG24</f>
        <v>-7</v>
      </c>
      <c r="BI24" s="12">
        <f>Table3[[#This Row],[GF]]/Table3[[#This Row],[GP]]</f>
        <v>2.5</v>
      </c>
      <c r="BJ24" s="12">
        <f>Table3[[#This Row],[GA]]/Table3[[#This Row],[GP]]</f>
        <v>3.375</v>
      </c>
      <c r="BK24" s="12">
        <f>(Table3[[#This Row],[GF]]-Table3[[#This Row],[GA]])/Table3[[#This Row],[GP]]</f>
        <v>-0.875</v>
      </c>
      <c r="BL24" s="42" t="str">
        <f>_xlfn.CONCAT(TEXT(Table3[[#This Row],[W_H]], "0"), "-", TEXT(Table3[[#This Row],[RL_H]],"0"), "-", TEXT(Table3[[#This Row],[OTL_H]]+Table3[[#This Row],[SOL_H]], "0"))</f>
        <v>1-1-0</v>
      </c>
      <c r="BM24" s="42" t="str">
        <f>_xlfn.CONCAT(TEXT(Table3[[#This Row],[W_A]], "0"), "-", TEXT(Table3[[#This Row],[RL_A]],"0"), "-", TEXT(Table3[[#This Row],[OTL_A]]+Table3[[#This Row],[SOL_A]], "0"))</f>
        <v>2-3-1</v>
      </c>
      <c r="BN24" s="42">
        <f>((2*(Table3[[#This Row],[W_H]]))+Table3[[#This Row],[OTL_H]]+Table3[[#This Row],[SOL_H]])/(2*Table3[[#This Row],[GP_H]])</f>
        <v>0.5</v>
      </c>
      <c r="BO24" s="42">
        <f>((2*(Table3[[#This Row],[W_A]]))+Table3[[#This Row],[OTL_A]]+Table3[[#This Row],[SOL_A]])/(2*Table3[[#This Row],[GP_A]])</f>
        <v>0.41666666666666669</v>
      </c>
      <c r="BP24" s="16">
        <f>(Table3[[#This Row],[W]]*$CX$3)+(Table3[[#This Row],[L]]*$CX$4)+(Table3[[#This Row],[GF]]*$CX$5)+(Table3[[#This Row],[GA]]*$CX$6)</f>
        <v>8.6999999999999993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71.096874999999997</v>
      </c>
      <c r="BR24" s="16">
        <f>(Table3[[#This Row],[W]]*0.7) + ((Table3[[#This Row],[GF]] - Table3[[#This Row],[GA]])*0.25)+(Table3[[#This Row],[GF]]*0.1)+(Table3[[#This Row],[GA]]*0.05)+(Table3[[#This Row],[L]]*0.3)</f>
        <v>5.1999999999999993</v>
      </c>
      <c r="BS24" s="16">
        <f>Table3[[#This Row],[TeamCost83]]/Table3[[#This Row],[GP]]</f>
        <v>0.64999999999999991</v>
      </c>
      <c r="BT24">
        <f>COUNTIFS(Table2[AwayTeam],$A24,Table2[PredictedWinner], $A24, Table2[GameIsOver], 1)</f>
        <v>3</v>
      </c>
      <c r="BU24">
        <f>COUNTIFS(Table2[HomeTeam],$A24,Table2[PredictedWinner], $A24, Table2[GameIsOver], 1)</f>
        <v>2</v>
      </c>
      <c r="BV24">
        <f>BT24+BU24</f>
        <v>5</v>
      </c>
      <c r="BW24">
        <f>F24-BT24</f>
        <v>3</v>
      </c>
      <c r="BX24">
        <f>H24-BU24</f>
        <v>0</v>
      </c>
      <c r="BY24">
        <f>BW24+BX24</f>
        <v>3</v>
      </c>
      <c r="BZ24">
        <f>Table3[[#This Row],[TimesPredictedWinner]]/Table3[[#This Row],[GP]]</f>
        <v>0.625</v>
      </c>
      <c r="CD24" s="1">
        <v>45762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4.5000000000000009</v>
      </c>
      <c r="CJ24">
        <f>SUMIFS(Table2[GamePredictionScore], Table2[HomeTeam], Table3[[#This Row],[Teams]])</f>
        <v>0.9</v>
      </c>
      <c r="CK24">
        <f>Table3[[#This Row],[Column4]]+Table3[[#This Row],[Column3]]</f>
        <v>5.4000000000000012</v>
      </c>
      <c r="CL24">
        <f>Table3[[#This Row],[Column5]]/Table3[[#This Row],[GP]]</f>
        <v>0.67500000000000016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19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6</v>
      </c>
      <c r="E25" s="10">
        <f>Table3[[#This Row],[Watched]]/Table3[[#This Row],[GP]]</f>
        <v>0.75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4</v>
      </c>
      <c r="I25">
        <f>41-Table3[[#This Row],[GP_H]]</f>
        <v>37</v>
      </c>
      <c r="J25">
        <f>F25+H25</f>
        <v>8</v>
      </c>
      <c r="K25">
        <f>82-Table3[[#This Row],[GP]]</f>
        <v>74</v>
      </c>
      <c r="L25">
        <f>COUNTIFS(DataRegularSeason20242025!$D$3:$D$1315,$A25, DataRegularSeason20242025!$L$3:$L$1315, $A25,DataRegularSeason20242025!$N$3:$N$1315,1)</f>
        <v>3</v>
      </c>
      <c r="M25">
        <f>COUNTIFS(DataRegularSeason20242025!$D$3:$D$1315,$A25, DataRegularSeason20242025!$L$3:$L$1315, $A25,DataRegularSeason20242025!$N$3:$N$1315,1,DataRegularSeason20242025!$M$3:$M$1315,"REG")</f>
        <v>3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1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4</v>
      </c>
      <c r="Y25">
        <f>COUNTIFS(DataRegularSeason20242025!$E$3:$E$1315,$A25, DataRegularSeason20242025!$S$3:$S$1315, $A25,DataRegularSeason20242025!$M$3:$M$1315,"REG")</f>
        <v>4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0.375</v>
      </c>
      <c r="AC25">
        <f>Table3[[#This Row],[W_A]]+Table3[[#This Row],[W_H]]</f>
        <v>3</v>
      </c>
      <c r="AD25">
        <f>Table3[[#This Row],[L_A]]+Table3[[#This Row],[L_H]]</f>
        <v>5</v>
      </c>
      <c r="AE25">
        <f>Table3[[#This Row],[RW_A]]+Table3[[#This Row],[RW_H]]</f>
        <v>3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0.125</v>
      </c>
      <c r="AO25">
        <f>(2*(Table3[[#This Row],[W_A]]+Table3[[#This Row],[W_H]]))+Table3[[#This Row],[OTL_A]]+Table3[[#This Row],[SOL_A]]+Table3[[#This Row],[OTL_H]]+Table3[[#This Row],[SOL_H]]</f>
        <v>7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5" s="10">
        <f>Table3[[#This Row],[PTS]]/(2*Table3[[#This Row],[GP]])</f>
        <v>0.4375</v>
      </c>
      <c r="AR25" s="10">
        <f>Table3[[#This Row],[PTS2]]/(3*Table3[[#This Row],[GP]])</f>
        <v>0.41666666666666669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71.75</v>
      </c>
      <c r="AV25">
        <f>Table3[[#This Row],[PTS2]]+(3 * Table3[[#This Row],[GR]] * Table3[[#This Row],[PTS%2]])</f>
        <v>102.5</v>
      </c>
      <c r="AW25" s="15" t="str">
        <f>_xlfn.CONCAT(TEXT(Table3[[#This Row],[W]], "0"), "-", TEXT(Table3[[#This Row],[RL]],"0"), "-", TEXT(Table3[[#This Row],[OTL]]+Table3[[#This Row],[SOL]], "0"))</f>
        <v>3-4-1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15</v>
      </c>
      <c r="AZ25">
        <f>SUMIF(DataRegularSeason20242025!$D$3:$D$1315,$A25, DataRegularSeason20242025!$K$3:$K$1315)</f>
        <v>6</v>
      </c>
      <c r="BA25">
        <f>AY25-AZ25</f>
        <v>9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</v>
      </c>
      <c r="BD25">
        <f>SUMIF(DataRegularSeason20242025!$E$3:$E$1315,$A25,DataRegularSeason20242025!$J$3:$J$1315)</f>
        <v>9</v>
      </c>
      <c r="BE25">
        <f>BC25-BD25</f>
        <v>-8</v>
      </c>
      <c r="BF25">
        <f>AY25+BC25</f>
        <v>16</v>
      </c>
      <c r="BG25">
        <f>AZ25+BD25</f>
        <v>15</v>
      </c>
      <c r="BH25">
        <f>BF25-BG25</f>
        <v>1</v>
      </c>
      <c r="BI25" s="12">
        <f>Table3[[#This Row],[GF]]/Table3[[#This Row],[GP]]</f>
        <v>2</v>
      </c>
      <c r="BJ25" s="12">
        <f>Table3[[#This Row],[GA]]/Table3[[#This Row],[GP]]</f>
        <v>1.875</v>
      </c>
      <c r="BK25" s="12">
        <f>(Table3[[#This Row],[GF]]-Table3[[#This Row],[GA]])/Table3[[#This Row],[GP]]</f>
        <v>0.125</v>
      </c>
      <c r="BL25" s="42" t="str">
        <f>_xlfn.CONCAT(TEXT(Table3[[#This Row],[W_H]], "0"), "-", TEXT(Table3[[#This Row],[RL_H]],"0"), "-", TEXT(Table3[[#This Row],[OTL_H]]+Table3[[#This Row],[SOL_H]], "0"))</f>
        <v>0-4-0</v>
      </c>
      <c r="BM25" s="42" t="str">
        <f>_xlfn.CONCAT(TEXT(Table3[[#This Row],[W_A]], "0"), "-", TEXT(Table3[[#This Row],[RL_A]],"0"), "-", TEXT(Table3[[#This Row],[OTL_A]]+Table3[[#This Row],[SOL_A]], "0"))</f>
        <v>3-0-1</v>
      </c>
      <c r="BN25" s="42">
        <f>((2*(Table3[[#This Row],[W_H]]))+Table3[[#This Row],[OTL_H]]+Table3[[#This Row],[SOL_H]])/(2*Table3[[#This Row],[GP_H]])</f>
        <v>0</v>
      </c>
      <c r="BO25" s="42">
        <f>((2*(Table3[[#This Row],[W_A]]))+Table3[[#This Row],[OTL_A]]+Table3[[#This Row],[SOL_A]])/(2*Table3[[#This Row],[GP_A]])</f>
        <v>0.875</v>
      </c>
      <c r="BP25" s="16">
        <f>(Table3[[#This Row],[W]]*$CX$3)+(Table3[[#This Row],[L]]*$CX$4)+(Table3[[#This Row],[GF]]*$CX$5)+(Table3[[#This Row],[GA]]*$CX$6)</f>
        <v>6.9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50.846874999999997</v>
      </c>
      <c r="BR25" s="16">
        <f>(Table3[[#This Row],[W]]*0.7) + ((Table3[[#This Row],[GF]] - Table3[[#This Row],[GA]])*0.25)+(Table3[[#This Row],[GF]]*0.1)+(Table3[[#This Row],[GA]]*0.05)+(Table3[[#This Row],[L]]*0.3)</f>
        <v>6.1999999999999993</v>
      </c>
      <c r="BS25" s="16">
        <f>Table3[[#This Row],[TeamCost83]]/Table3[[#This Row],[GP]]</f>
        <v>0.77499999999999991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1</v>
      </c>
      <c r="BV25">
        <f>BT25+BU25</f>
        <v>2</v>
      </c>
      <c r="BW25">
        <f>F25-BT25</f>
        <v>3</v>
      </c>
      <c r="BX25">
        <f>H25-BU25</f>
        <v>3</v>
      </c>
      <c r="BY25">
        <f>BW25+BX25</f>
        <v>6</v>
      </c>
      <c r="BZ25">
        <f>Table3[[#This Row],[TimesPredictedWinner]]/Table3[[#This Row],[GP]]</f>
        <v>0.25</v>
      </c>
      <c r="CB25">
        <v>1994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2.5</v>
      </c>
      <c r="CK25">
        <f>Table3[[#This Row],[Column4]]+Table3[[#This Row],[Column3]]</f>
        <v>2.5</v>
      </c>
      <c r="CL25">
        <f>Table3[[#This Row],[Column5]]/Table3[[#This Row],[GP]]</f>
        <v>0.3125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34</v>
      </c>
      <c r="B26" t="s">
        <v>90</v>
      </c>
      <c r="C26" t="s">
        <v>88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5</v>
      </c>
      <c r="E26" s="10">
        <f>Table3[[#This Row],[Watched]]/Table3[[#This Row],[GP]]</f>
        <v>0.7142857142857143</v>
      </c>
      <c r="F26">
        <f>COUNTIFS(DataRegularSeason20242025!$N$3:$N$1315,1,DataRegularSeason20242025!$D$3:$D$1315,$A26)</f>
        <v>4</v>
      </c>
      <c r="G26">
        <f>41-Table3[[#This Row],[GP_A]]</f>
        <v>37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>F26+H26</f>
        <v>7</v>
      </c>
      <c r="K26">
        <f>82-Table3[[#This Row],[GP]]</f>
        <v>75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3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1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1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0.2857142857142857</v>
      </c>
      <c r="AC26">
        <f>Table3[[#This Row],[W_A]]+Table3[[#This Row],[W_H]]</f>
        <v>2</v>
      </c>
      <c r="AD26">
        <f>Table3[[#This Row],[L_A]]+Table3[[#This Row],[L_H]]</f>
        <v>5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2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0-2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0.2857142857142857</v>
      </c>
      <c r="AO26">
        <f>(2*(Table3[[#This Row],[W_A]]+Table3[[#This Row],[W_H]]))+Table3[[#This Row],[OTL_A]]+Table3[[#This Row],[SOL_A]]+Table3[[#This Row],[OTL_H]]+Table3[[#This Row],[SOL_H]]</f>
        <v>6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6" s="10">
        <f>Table3[[#This Row],[PTS]]/(2*Table3[[#This Row],[GP]])</f>
        <v>0.42857142857142855</v>
      </c>
      <c r="AR26" s="10">
        <f>Table3[[#This Row],[PTS2]]/(3*Table3[[#This Row],[GP]])</f>
        <v>0.38095238095238093</v>
      </c>
      <c r="AS26">
        <f>(2*Table3[[#This Row],[GR]])+Table3[[#This Row],[PTS]]</f>
        <v>156</v>
      </c>
      <c r="AT26">
        <f>(3*Table3[[#This Row],[GR]])+Table3[[#This Row],[PTS2]]</f>
        <v>233</v>
      </c>
      <c r="AU26">
        <f>Table3[[#This Row],[PTS]]+(2 * Table3[[#This Row],[GR]] * Table3[[#This Row],[PTS%]])</f>
        <v>70.285714285714278</v>
      </c>
      <c r="AV26">
        <f>Table3[[#This Row],[PTS2]]+(3 * Table3[[#This Row],[GR]] * Table3[[#This Row],[PTS%2]])</f>
        <v>93.714285714285708</v>
      </c>
      <c r="AW26" s="15" t="str">
        <f>_xlfn.CONCAT(TEXT(Table3[[#This Row],[W]], "0"), "-", TEXT(Table3[[#This Row],[RL]],"0"), "-", TEXT(Table3[[#This Row],[OTL]]+Table3[[#This Row],[SOL]], "0"))</f>
        <v>2-3-2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11</v>
      </c>
      <c r="AZ26">
        <f>SUMIF(DataRegularSeason20242025!$D$3:$D$1315,$A26, DataRegularSeason20242025!$K$3:$K$1315)</f>
        <v>15</v>
      </c>
      <c r="BA26">
        <f>AY26-AZ26</f>
        <v>-4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6</v>
      </c>
      <c r="BD26">
        <f>SUMIF(DataRegularSeason20242025!$E$3:$E$1315,$A26,DataRegularSeason20242025!$J$3:$J$1315)</f>
        <v>9</v>
      </c>
      <c r="BE26">
        <f>BC26-BD26</f>
        <v>-3</v>
      </c>
      <c r="BF26">
        <f>AY26+BC26</f>
        <v>17</v>
      </c>
      <c r="BG26">
        <f>AZ26+BD26</f>
        <v>24</v>
      </c>
      <c r="BH26">
        <f>BF26-BG26</f>
        <v>-7</v>
      </c>
      <c r="BI26" s="12">
        <f>Table3[[#This Row],[GF]]/Table3[[#This Row],[GP]]</f>
        <v>2.4285714285714284</v>
      </c>
      <c r="BJ26" s="12">
        <f>Table3[[#This Row],[GA]]/Table3[[#This Row],[GP]]</f>
        <v>3.4285714285714284</v>
      </c>
      <c r="BK26" s="12">
        <f>(Table3[[#This Row],[GF]]-Table3[[#This Row],[GA]])/Table3[[#This Row],[GP]]</f>
        <v>-1</v>
      </c>
      <c r="BL26" s="42" t="str">
        <f>_xlfn.CONCAT(TEXT(Table3[[#This Row],[W_H]], "0"), "-", TEXT(Table3[[#This Row],[RL_H]],"0"), "-", TEXT(Table3[[#This Row],[OTL_H]]+Table3[[#This Row],[SOL_H]], "0"))</f>
        <v>1-1-1</v>
      </c>
      <c r="BM26" s="42" t="str">
        <f>_xlfn.CONCAT(TEXT(Table3[[#This Row],[W_A]], "0"), "-", TEXT(Table3[[#This Row],[RL_A]],"0"), "-", TEXT(Table3[[#This Row],[OTL_A]]+Table3[[#This Row],[SOL_A]], "0"))</f>
        <v>1-2-1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0.375</v>
      </c>
      <c r="BP26" s="16">
        <f>(Table3[[#This Row],[W]]*$CX$3)+(Table3[[#This Row],[L]]*$CX$4)+(Table3[[#This Row],[GF]]*$CX$5)+(Table3[[#This Row],[GA]]*$CX$6)</f>
        <v>7.45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69.954081632653057</v>
      </c>
      <c r="BR26" s="16">
        <f>(Table3[[#This Row],[W]]*0.7) + ((Table3[[#This Row],[GF]] - Table3[[#This Row],[GA]])*0.25)+(Table3[[#This Row],[GF]]*0.1)+(Table3[[#This Row],[GA]]*0.05)+(Table3[[#This Row],[L]]*0.3)</f>
        <v>4.0500000000000007</v>
      </c>
      <c r="BS26" s="16">
        <f>Table3[[#This Row],[TeamCost83]]/Table3[[#This Row],[GP]]</f>
        <v>0.57857142857142863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2</v>
      </c>
      <c r="BV26">
        <f>BT26+BU26</f>
        <v>2</v>
      </c>
      <c r="BW26">
        <f>F26-BT26</f>
        <v>4</v>
      </c>
      <c r="BX26">
        <f>H26-BU26</f>
        <v>1</v>
      </c>
      <c r="BY26">
        <f>BW26+BX26</f>
        <v>5</v>
      </c>
      <c r="BZ26">
        <f>Table3[[#This Row],[TimesPredictedWinner]]/Table3[[#This Row],[GP]]</f>
        <v>0.2857142857142857</v>
      </c>
      <c r="CC26" s="1">
        <v>45743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2.6</v>
      </c>
      <c r="CJ26">
        <f>SUMIFS(Table2[GamePredictionScore], Table2[HomeTeam], Table3[[#This Row],[Teams]])</f>
        <v>1.6</v>
      </c>
      <c r="CK26">
        <f>Table3[[#This Row],[Column4]]+Table3[[#This Row],[Column3]]</f>
        <v>4.2</v>
      </c>
      <c r="CL26">
        <f>Table3[[#This Row],[Column5]]/Table3[[#This Row],[GP]]</f>
        <v>0.6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27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3</v>
      </c>
      <c r="E27" s="10">
        <f>Table3[[#This Row],[Watched]]/Table3[[#This Row],[GP]]</f>
        <v>0.42857142857142855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>F27+H27</f>
        <v>7</v>
      </c>
      <c r="K27">
        <f>82-Table3[[#This Row],[GP]]</f>
        <v>75</v>
      </c>
      <c r="L27">
        <f>COUNTIFS(DataRegularSeason20242025!$D$3:$D$1315,$A27, DataRegularSeason20242025!$L$3:$L$1315, $A27,DataRegularSeason20242025!$N$3:$N$1315,1)</f>
        <v>2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1</v>
      </c>
      <c r="O27">
        <f>COUNTIFS(DataRegularSeason20242025!$D$3:$D$1315,$A27, DataRegularSeason20242025!$L$3:$L$1315, $A27,DataRegularSeason20242025!$N$3:$N$1315,1,DataRegularSeason20242025!$M$3:$M$1315,"SO")</f>
        <v>1</v>
      </c>
      <c r="P27">
        <f>F27-L27</f>
        <v>2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1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3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0.2857142857142857</v>
      </c>
      <c r="AC27">
        <f>Table3[[#This Row],[W_A]]+Table3[[#This Row],[W_H]]</f>
        <v>2</v>
      </c>
      <c r="AD27">
        <f>Table3[[#This Row],[L_A]]+Table3[[#This Row],[L_H]]</f>
        <v>5</v>
      </c>
      <c r="AE27">
        <f>Table3[[#This Row],[RW_A]]+Table3[[#This Row],[RW_H]]</f>
        <v>0</v>
      </c>
      <c r="AF27">
        <f>Table3[[#This Row],[RL_A]]+Table3[[#This Row],[RL_H]]</f>
        <v>3</v>
      </c>
      <c r="AG27">
        <f>Table3[[#This Row],[OTW_A]]+Table3[[#This Row],[OTW_H]]</f>
        <v>1</v>
      </c>
      <c r="AH27">
        <f>Table3[[#This Row],[OTL_A]]+Table3[[#This Row],[OTL_H]]</f>
        <v>1</v>
      </c>
      <c r="AI27">
        <f>Table3[[#This Row],[SOW_A]]+Table3[[#This Row],[SOW_H]]</f>
        <v>1</v>
      </c>
      <c r="AJ27">
        <f>Table3[[#This Row],[SOL_A]]+Table3[[#This Row],[SOL_H]]</f>
        <v>1</v>
      </c>
      <c r="AK27" s="15" t="str">
        <f>_xlfn.CONCAT(TEXT(Table3[[#This Row],[OTW]]+Table3[[#This Row],[SOW]], "0"), "-", TEXT(Table3[[#This Row],[OTL]]+Table3[[#This Row],[SOL]],"0"))</f>
        <v>2-2</v>
      </c>
      <c r="AL27">
        <f>SUM(Table3[[#This Row],[OTW]],Table3[[#This Row],[OTL]],Table3[[#This Row],[SOW]],Table3[[#This Row],[SOL]])</f>
        <v>4</v>
      </c>
      <c r="AM27">
        <f>(Table3[[#This Row],[OTW]]+Table3[[#This Row],[SOW]])/IF(Table3[[#This Row],[Total_ExtraTimes]]=0,1,Table3[[#This Row],[Total_ExtraTimes]])</f>
        <v>0.5</v>
      </c>
      <c r="AN27">
        <f>Table3[[#This Row],[Total_ExtraTimes]]/MAX(1,Table3[[#This Row],[GP]])</f>
        <v>0.5714285714285714</v>
      </c>
      <c r="AO27">
        <f>(2*(Table3[[#This Row],[W_A]]+Table3[[#This Row],[W_H]]))+Table3[[#This Row],[OTL_A]]+Table3[[#This Row],[SOL_A]]+Table3[[#This Row],[OTL_H]]+Table3[[#This Row],[SOL_H]]</f>
        <v>6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0.42857142857142855</v>
      </c>
      <c r="AR27" s="10">
        <f>Table3[[#This Row],[PTS2]]/(3*Table3[[#This Row],[GP]])</f>
        <v>0.2857142857142857</v>
      </c>
      <c r="AS27">
        <f>(2*Table3[[#This Row],[GR]])+Table3[[#This Row],[PTS]]</f>
        <v>156</v>
      </c>
      <c r="AT27">
        <f>(3*Table3[[#This Row],[GR]])+Table3[[#This Row],[PTS2]]</f>
        <v>231</v>
      </c>
      <c r="AU27">
        <f>Table3[[#This Row],[PTS]]+(2 * Table3[[#This Row],[GR]] * Table3[[#This Row],[PTS%]])</f>
        <v>70.285714285714278</v>
      </c>
      <c r="AV27">
        <f>Table3[[#This Row],[PTS2]]+(3 * Table3[[#This Row],[GR]] * Table3[[#This Row],[PTS%2]])</f>
        <v>70.285714285714278</v>
      </c>
      <c r="AW27" s="15" t="str">
        <f>_xlfn.CONCAT(TEXT(Table3[[#This Row],[W]], "0"), "-", TEXT(Table3[[#This Row],[RL]],"0"), "-", TEXT(Table3[[#This Row],[OTL]]+Table3[[#This Row],[SOL]], "0"))</f>
        <v>2-3-2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13</v>
      </c>
      <c r="AZ27">
        <f>SUMIF(DataRegularSeason20242025!$D$3:$D$1315,$A27, DataRegularSeason20242025!$K$3:$K$1315)</f>
        <v>13</v>
      </c>
      <c r="BA27">
        <f>AY27-AZ27</f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12</v>
      </c>
      <c r="BE27">
        <f>BC27-BD27</f>
        <v>-6</v>
      </c>
      <c r="BF27">
        <f>AY27+BC27</f>
        <v>19</v>
      </c>
      <c r="BG27">
        <f>AZ27+BD27</f>
        <v>25</v>
      </c>
      <c r="BH27">
        <f>BF27-BG27</f>
        <v>-6</v>
      </c>
      <c r="BI27" s="12">
        <f>Table3[[#This Row],[GF]]/Table3[[#This Row],[GP]]</f>
        <v>2.7142857142857144</v>
      </c>
      <c r="BJ27" s="12">
        <f>Table3[[#This Row],[GA]]/Table3[[#This Row],[GP]]</f>
        <v>3.5714285714285716</v>
      </c>
      <c r="BK27" s="12">
        <f>(Table3[[#This Row],[GF]]-Table3[[#This Row],[GA]])/Table3[[#This Row],[GP]]</f>
        <v>-0.8571428571428571</v>
      </c>
      <c r="BL27" s="42" t="str">
        <f>_xlfn.CONCAT(TEXT(Table3[[#This Row],[W_H]], "0"), "-", TEXT(Table3[[#This Row],[RL_H]],"0"), "-", TEXT(Table3[[#This Row],[OTL_H]]+Table3[[#This Row],[SOL_H]], "0"))</f>
        <v>0-2-1</v>
      </c>
      <c r="BM27" s="42" t="str">
        <f>_xlfn.CONCAT(TEXT(Table3[[#This Row],[W_A]], "0"), "-", TEXT(Table3[[#This Row],[RL_A]],"0"), "-", TEXT(Table3[[#This Row],[OTL_A]]+Table3[[#This Row],[SOL_A]], "0"))</f>
        <v>2-1-1</v>
      </c>
      <c r="BN27" s="42">
        <f>((2*(Table3[[#This Row],[W_H]]))+Table3[[#This Row],[OTL_H]]+Table3[[#This Row],[SOL_H]])/(2*Table3[[#This Row],[GP_H]])</f>
        <v>0.16666666666666666</v>
      </c>
      <c r="BO27" s="42">
        <f>((2*(Table3[[#This Row],[W_A]]))+Table3[[#This Row],[OTL_A]]+Table3[[#This Row],[SOL_A]])/(2*Table3[[#This Row],[GP_A]])</f>
        <v>0.625</v>
      </c>
      <c r="BP27" s="16">
        <f>(Table3[[#This Row],[W]]*$CX$3)+(Table3[[#This Row],[L]]*$CX$4)+(Table3[[#This Row],[GF]]*$CX$5)+(Table3[[#This Row],[GA]]*$CX$6)</f>
        <v>7.85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75.039795918367346</v>
      </c>
      <c r="BR27" s="16">
        <f>(Table3[[#This Row],[W]]*0.7) + ((Table3[[#This Row],[GF]] - Table3[[#This Row],[GA]])*0.25)+(Table3[[#This Row],[GF]]*0.1)+(Table3[[#This Row],[GA]]*0.05)+(Table3[[#This Row],[L]]*0.3)</f>
        <v>4.55</v>
      </c>
      <c r="BS27" s="16">
        <f>Table3[[#This Row],[TeamCost83]]/Table3[[#This Row],[GP]]</f>
        <v>0.65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>BT27+BU27</f>
        <v>2</v>
      </c>
      <c r="BW27">
        <f>F27-BT27</f>
        <v>3</v>
      </c>
      <c r="BX27">
        <f>H27-BU27</f>
        <v>2</v>
      </c>
      <c r="BY27">
        <f>BW27+BX27</f>
        <v>5</v>
      </c>
      <c r="BZ27">
        <f>Table3[[#This Row],[TimesPredictedWinner]]/Table3[[#This Row],[GP]]</f>
        <v>0.2857142857142857</v>
      </c>
      <c r="CB27">
        <v>2014</v>
      </c>
      <c r="CD27" s="1">
        <v>45752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2.5</v>
      </c>
      <c r="CJ27">
        <f>SUMIFS(Table2[GamePredictionScore], Table2[HomeTeam], Table3[[#This Row],[Teams]])</f>
        <v>1.6</v>
      </c>
      <c r="CK27">
        <f>Table3[[#This Row],[Column4]]+Table3[[#This Row],[Column3]]</f>
        <v>4.0999999999999996</v>
      </c>
      <c r="CL27">
        <f>Table3[[#This Row],[Column5]]/Table3[[#This Row],[GP]]</f>
        <v>0.58571428571428563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28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5</v>
      </c>
      <c r="E28" s="10">
        <f>Table3[[#This Row],[Watched]]/Table3[[#This Row],[GP]]</f>
        <v>0.7142857142857143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5</v>
      </c>
      <c r="I28">
        <f>41-Table3[[#This Row],[GP_H]]</f>
        <v>36</v>
      </c>
      <c r="J28">
        <f>F28+H28</f>
        <v>7</v>
      </c>
      <c r="K28">
        <f>82-Table3[[#This Row],[GP]]</f>
        <v>75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2</v>
      </c>
      <c r="Q28">
        <f>COUNTIFS(DataRegularSeason20242025!$D$3:$D$1315,$A28, DataRegularSeason20242025!$S$3:$S$1315, $A28,DataRegularSeason20242025!$M$3:$M$1315,"REG")</f>
        <v>2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3</v>
      </c>
      <c r="U28">
        <f>COUNTIFS(DataRegularSeason20242025!$E$3:$E$1315,$A28, DataRegularSeason20242025!$L$3:$L$1315, $A28,DataRegularSeason20242025!$N$3:$N$1315,1,DataRegularSeason20242025!$M$3:$M$1315,"REG")</f>
        <v>3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0.42857142857142855</v>
      </c>
      <c r="AC28">
        <f>Table3[[#This Row],[W_A]]+Table3[[#This Row],[W_H]]</f>
        <v>3</v>
      </c>
      <c r="AD28">
        <f>Table3[[#This Row],[L_A]]+Table3[[#This Row],[L_H]]</f>
        <v>4</v>
      </c>
      <c r="AE28">
        <f>Table3[[#This Row],[RW_A]]+Table3[[#This Row],[RW_H]]</f>
        <v>3</v>
      </c>
      <c r="AF28">
        <f>Table3[[#This Row],[RL_A]]+Table3[[#This Row],[RL_H]]</f>
        <v>4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6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8" s="10">
        <f>Table3[[#This Row],[PTS]]/(2*Table3[[#This Row],[GP]])</f>
        <v>0.42857142857142855</v>
      </c>
      <c r="AR28" s="10">
        <f>Table3[[#This Row],[PTS2]]/(3*Table3[[#This Row],[GP]])</f>
        <v>0.42857142857142855</v>
      </c>
      <c r="AS28">
        <f>(2*Table3[[#This Row],[GR]])+Table3[[#This Row],[PTS]]</f>
        <v>156</v>
      </c>
      <c r="AT28">
        <f>(3*Table3[[#This Row],[GR]])+Table3[[#This Row],[PTS2]]</f>
        <v>234</v>
      </c>
      <c r="AU28">
        <f>Table3[[#This Row],[PTS]]+(2 * Table3[[#This Row],[GR]] * Table3[[#This Row],[PTS%]])</f>
        <v>70.285714285714278</v>
      </c>
      <c r="AV28">
        <f>Table3[[#This Row],[PTS2]]+(3 * Table3[[#This Row],[GR]] * Table3[[#This Row],[PTS%2]])</f>
        <v>105.42857142857142</v>
      </c>
      <c r="AW28" s="15" t="str">
        <f>_xlfn.CONCAT(TEXT(Table3[[#This Row],[W]], "0"), "-", TEXT(Table3[[#This Row],[RL]],"0"), "-", TEXT(Table3[[#This Row],[OTL]]+Table3[[#This Row],[SOL]], "0"))</f>
        <v>3-4-0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3</v>
      </c>
      <c r="AZ28">
        <f>SUMIF(DataRegularSeason20242025!$D$3:$D$1315,$A28, DataRegularSeason20242025!$K$3:$K$1315)</f>
        <v>7</v>
      </c>
      <c r="BA28">
        <f>AY28-AZ28</f>
        <v>-4</v>
      </c>
      <c r="BB28">
        <f>COUNTIFS(DataRegularSeason20242025!$E$3:$E$1315,Table3[[#This Row],[Teams]],DataRegularSeason20242025!$J$3:$J$1315,0)</f>
        <v>1</v>
      </c>
      <c r="BC28">
        <f>SUMIF(DataRegularSeason20242025!$E$3:$E$1315,$A28,DataRegularSeason20242025!$K$3:$K$1315)</f>
        <v>16</v>
      </c>
      <c r="BD28">
        <f>SUMIF(DataRegularSeason20242025!$E$3:$E$1315,$A28,DataRegularSeason20242025!$J$3:$J$1315)</f>
        <v>13</v>
      </c>
      <c r="BE28">
        <f>BC28-BD28</f>
        <v>3</v>
      </c>
      <c r="BF28">
        <f>AY28+BC28</f>
        <v>19</v>
      </c>
      <c r="BG28">
        <f>AZ28+BD28</f>
        <v>20</v>
      </c>
      <c r="BH28">
        <f>BF28-BG28</f>
        <v>-1</v>
      </c>
      <c r="BI28" s="12">
        <f>Table3[[#This Row],[GF]]/Table3[[#This Row],[GP]]</f>
        <v>2.7142857142857144</v>
      </c>
      <c r="BJ28" s="12">
        <f>Table3[[#This Row],[GA]]/Table3[[#This Row],[GP]]</f>
        <v>2.8571428571428572</v>
      </c>
      <c r="BK28" s="12">
        <f>(Table3[[#This Row],[GF]]-Table3[[#This Row],[GA]])/Table3[[#This Row],[GP]]</f>
        <v>-0.14285714285714285</v>
      </c>
      <c r="BL28" s="42" t="str">
        <f>_xlfn.CONCAT(TEXT(Table3[[#This Row],[W_H]], "0"), "-", TEXT(Table3[[#This Row],[RL_H]],"0"), "-", TEXT(Table3[[#This Row],[OTL_H]]+Table3[[#This Row],[SOL_H]], "0"))</f>
        <v>3-2-0</v>
      </c>
      <c r="BM28" s="42" t="str">
        <f>_xlfn.CONCAT(TEXT(Table3[[#This Row],[W_A]], "0"), "-", TEXT(Table3[[#This Row],[RL_A]],"0"), "-", TEXT(Table3[[#This Row],[OTL_A]]+Table3[[#This Row],[SOL_A]], "0"))</f>
        <v>0-2-0</v>
      </c>
      <c r="BN28" s="42">
        <f>((2*(Table3[[#This Row],[W_H]]))+Table3[[#This Row],[OTL_H]]+Table3[[#This Row],[SOL_H]])/(2*Table3[[#This Row],[GP_H]])</f>
        <v>0.6</v>
      </c>
      <c r="BO28" s="42">
        <f>((2*(Table3[[#This Row],[W_A]]))+Table3[[#This Row],[OTL_A]]+Table3[[#This Row],[SOL_A]])/(2*Table3[[#This Row],[GP_A]])</f>
        <v>0</v>
      </c>
      <c r="BP28" s="16">
        <f>(Table3[[#This Row],[W]]*$CX$3)+(Table3[[#This Row],[L]]*$CX$4)+(Table3[[#This Row],[GF]]*$CX$5)+(Table3[[#This Row],[GA]]*$CX$6)</f>
        <v>7.5500000000000007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68.882653061224488</v>
      </c>
      <c r="BR28" s="16">
        <f>(Table3[[#This Row],[W]]*0.7) + ((Table3[[#This Row],[GF]] - Table3[[#This Row],[GA]])*0.25)+(Table3[[#This Row],[GF]]*0.1)+(Table3[[#This Row],[GA]]*0.05)+(Table3[[#This Row],[L]]*0.3)</f>
        <v>5.95</v>
      </c>
      <c r="BS28" s="16">
        <f>Table3[[#This Row],[TeamCost83]]/Table3[[#This Row],[GP]]</f>
        <v>0.85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3</v>
      </c>
      <c r="BV28">
        <f>BT28+BU28</f>
        <v>3</v>
      </c>
      <c r="BW28">
        <f>F28-BT28</f>
        <v>2</v>
      </c>
      <c r="BX28">
        <f>H28-BU28</f>
        <v>2</v>
      </c>
      <c r="BY28">
        <f>BW28+BX28</f>
        <v>4</v>
      </c>
      <c r="BZ28">
        <f>Table3[[#This Row],[TimesPredictedWinner]]/Table3[[#This Row],[GP]]</f>
        <v>0.42857142857142855</v>
      </c>
      <c r="CC28" s="1">
        <v>45755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1.6</v>
      </c>
      <c r="CJ28">
        <f>SUMIFS(Table2[GamePredictionScore], Table2[HomeTeam], Table3[[#This Row],[Teams]])</f>
        <v>2.5</v>
      </c>
      <c r="CK28">
        <f>Table3[[#This Row],[Column4]]+Table3[[#This Row],[Column3]]</f>
        <v>4.0999999999999996</v>
      </c>
      <c r="CL28">
        <f>Table3[[#This Row],[Column5]]/Table3[[#This Row],[GP]]</f>
        <v>0.58571428571428563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15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0.75</v>
      </c>
      <c r="F29">
        <f>COUNTIFS(DataRegularSeason20242025!$N$3:$N$1315,1,DataRegularSeason20242025!$D$3:$D$1315,$A29)</f>
        <v>4</v>
      </c>
      <c r="G29">
        <f>41-Table3[[#This Row],[GP_A]]</f>
        <v>37</v>
      </c>
      <c r="H29">
        <f>COUNTIFS(DataRegularSeason20242025!$E$3:$E$1315,$A29,DataRegularSeason20242025!$N$3:$N$1315,1)</f>
        <v>4</v>
      </c>
      <c r="I29">
        <f>41-Table3[[#This Row],[GP_H]]</f>
        <v>37</v>
      </c>
      <c r="J29">
        <f>F29+H29</f>
        <v>8</v>
      </c>
      <c r="K29">
        <f>82-Table3[[#This Row],[GP]]</f>
        <v>74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3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2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1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2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0.375</v>
      </c>
      <c r="AC29">
        <f>Table3[[#This Row],[W_A]]+Table3[[#This Row],[W_H]]</f>
        <v>3</v>
      </c>
      <c r="AD29">
        <f>Table3[[#This Row],[L_A]]+Table3[[#This Row],[L_H]]</f>
        <v>5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1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1-0</v>
      </c>
      <c r="AL29">
        <f>SUM(Table3[[#This Row],[OTW]],Table3[[#This Row],[OTL]],Table3[[#This Row],[SOW]],Table3[[#This Row],[SOL]])</f>
        <v>1</v>
      </c>
      <c r="AM29">
        <f>(Table3[[#This Row],[OTW]]+Table3[[#This Row],[SOW]])/IF(Table3[[#This Row],[Total_ExtraTimes]]=0,1,Table3[[#This Row],[Total_ExtraTimes]])</f>
        <v>1</v>
      </c>
      <c r="AN29">
        <f>Table3[[#This Row],[Total_ExtraTimes]]/MAX(1,Table3[[#This Row],[GP]])</f>
        <v>0.125</v>
      </c>
      <c r="AO29">
        <f>(2*(Table3[[#This Row],[W_A]]+Table3[[#This Row],[W_H]]))+Table3[[#This Row],[OTL_A]]+Table3[[#This Row],[SOL_A]]+Table3[[#This Row],[OTL_H]]+Table3[[#This Row],[SOL_H]]</f>
        <v>6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9" s="10">
        <f>Table3[[#This Row],[PTS]]/(2*Table3[[#This Row],[GP]])</f>
        <v>0.375</v>
      </c>
      <c r="AR29" s="10">
        <f>Table3[[#This Row],[PTS2]]/(3*Table3[[#This Row],[GP]])</f>
        <v>0.33333333333333331</v>
      </c>
      <c r="AS29">
        <f>(2*Table3[[#This Row],[GR]])+Table3[[#This Row],[PTS]]</f>
        <v>154</v>
      </c>
      <c r="AT29">
        <f>(3*Table3[[#This Row],[GR]])+Table3[[#This Row],[PTS2]]</f>
        <v>230</v>
      </c>
      <c r="AU29">
        <f>Table3[[#This Row],[PTS]]+(2 * Table3[[#This Row],[GR]] * Table3[[#This Row],[PTS%]])</f>
        <v>61.5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11</v>
      </c>
      <c r="AZ29">
        <f>SUMIF(DataRegularSeason20242025!$D$3:$D$1315,$A29, DataRegularSeason20242025!$K$3:$K$1315)</f>
        <v>14</v>
      </c>
      <c r="BA29">
        <f>AY29-AZ29</f>
        <v>-3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13</v>
      </c>
      <c r="BD29">
        <f>SUMIF(DataRegularSeason20242025!$E$3:$E$1315,$A29,DataRegularSeason20242025!$J$3:$J$1315)</f>
        <v>12</v>
      </c>
      <c r="BE29">
        <f>BC29-BD29</f>
        <v>1</v>
      </c>
      <c r="BF29">
        <f>AY29+BC29</f>
        <v>24</v>
      </c>
      <c r="BG29">
        <f>AZ29+BD29</f>
        <v>26</v>
      </c>
      <c r="BH29">
        <f>BF29-BG29</f>
        <v>-2</v>
      </c>
      <c r="BI29" s="12">
        <f>Table3[[#This Row],[GF]]/Table3[[#This Row],[GP]]</f>
        <v>3</v>
      </c>
      <c r="BJ29" s="12">
        <f>Table3[[#This Row],[GA]]/Table3[[#This Row],[GP]]</f>
        <v>3.25</v>
      </c>
      <c r="BK29" s="12">
        <f>(Table3[[#This Row],[GF]]-Table3[[#This Row],[GA]])/Table3[[#This Row],[GP]]</f>
        <v>-0.25</v>
      </c>
      <c r="BL29" s="42" t="str">
        <f>_xlfn.CONCAT(TEXT(Table3[[#This Row],[W_H]], "0"), "-", TEXT(Table3[[#This Row],[RL_H]],"0"), "-", TEXT(Table3[[#This Row],[OTL_H]]+Table3[[#This Row],[SOL_H]], "0"))</f>
        <v>2-2-0</v>
      </c>
      <c r="BM29" s="42" t="str">
        <f>_xlfn.CONCAT(TEXT(Table3[[#This Row],[W_A]], "0"), "-", TEXT(Table3[[#This Row],[RL_A]],"0"), "-", TEXT(Table3[[#This Row],[OTL_A]]+Table3[[#This Row],[SOL_A]], "0"))</f>
        <v>1-3-0</v>
      </c>
      <c r="BN29" s="42">
        <f>((2*(Table3[[#This Row],[W_H]]))+Table3[[#This Row],[OTL_H]]+Table3[[#This Row],[SOL_H]])/(2*Table3[[#This Row],[GP_H]])</f>
        <v>0.5</v>
      </c>
      <c r="BO29" s="42">
        <f>((2*(Table3[[#This Row],[W_A]]))+Table3[[#This Row],[OTL_A]]+Table3[[#This Row],[SOL_A]])/(2*Table3[[#This Row],[GP_A]])</f>
        <v>0.25</v>
      </c>
      <c r="BP29" s="16">
        <f>(Table3[[#This Row],[W]]*$CX$3)+(Table3[[#This Row],[L]]*$CX$4)+(Table3[[#This Row],[GF]]*$CX$5)+(Table3[[#This Row],[GA]]*$CX$6)</f>
        <v>9.1999999999999993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76.593749999999986</v>
      </c>
      <c r="BR29" s="16">
        <f>(Table3[[#This Row],[W]]*0.7) + ((Table3[[#This Row],[GF]] - Table3[[#This Row],[GA]])*0.25)+(Table3[[#This Row],[GF]]*0.1)+(Table3[[#This Row],[GA]]*0.05)+(Table3[[#This Row],[L]]*0.3)</f>
        <v>6.8</v>
      </c>
      <c r="BS29" s="16">
        <f>Table3[[#This Row],[TeamCost83]]/Table3[[#This Row],[GP]]</f>
        <v>0.85</v>
      </c>
      <c r="BT29">
        <f>COUNTIFS(Table2[AwayTeam],$A29,Table2[PredictedWinner], $A29, Table2[GameIsOver], 1)</f>
        <v>0</v>
      </c>
      <c r="BU29">
        <f>COUNTIFS(Table2[HomeTeam],$A29,Table2[PredictedWinner], $A29, Table2[GameIsOver], 1)</f>
        <v>3</v>
      </c>
      <c r="BV29">
        <f>BT29+BU29</f>
        <v>3</v>
      </c>
      <c r="BW29">
        <f>F29-BT29</f>
        <v>4</v>
      </c>
      <c r="BX29">
        <f>H29-BU29</f>
        <v>1</v>
      </c>
      <c r="BY29">
        <f>BW29+BX29</f>
        <v>5</v>
      </c>
      <c r="BZ29">
        <f>Table3[[#This Row],[TimesPredictedWinner]]/Table3[[#This Row],[GP]]</f>
        <v>0.375</v>
      </c>
      <c r="CB29">
        <v>2011</v>
      </c>
      <c r="CC29" s="1">
        <v>45752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2.5</v>
      </c>
      <c r="CJ29">
        <f>SUMIFS(Table2[GamePredictionScore], Table2[HomeTeam], Table3[[#This Row],[Teams]])</f>
        <v>2.7</v>
      </c>
      <c r="CK29">
        <f>Table3[[#This Row],[Column4]]+Table3[[#This Row],[Column3]]</f>
        <v>5.2</v>
      </c>
      <c r="CL29">
        <f>Table3[[#This Row],[Column5]]/Table3[[#This Row],[GP]]</f>
        <v>0.65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6</v>
      </c>
      <c r="E30" s="10">
        <f>Table3[[#This Row],[Watched]]/Table3[[#This Row],[GP]]</f>
        <v>0.8571428571428571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4</v>
      </c>
      <c r="I30">
        <f>41-Table3[[#This Row],[GP_H]]</f>
        <v>37</v>
      </c>
      <c r="J30">
        <f>F30+H30</f>
        <v>7</v>
      </c>
      <c r="K30">
        <f>82-Table3[[#This Row],[GP]]</f>
        <v>75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1</v>
      </c>
      <c r="X30">
        <f>H30-T30</f>
        <v>3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0.2857142857142857</v>
      </c>
      <c r="AC30">
        <f>Table3[[#This Row],[W_A]]+Table3[[#This Row],[W_H]]</f>
        <v>2</v>
      </c>
      <c r="AD30">
        <f>Table3[[#This Row],[L_A]]+Table3[[#This Row],[L_H]]</f>
        <v>5</v>
      </c>
      <c r="AE30">
        <f>Table3[[#This Row],[RW_A]]+Table3[[#This Row],[RW_H]]</f>
        <v>1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1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1-1</v>
      </c>
      <c r="AL30">
        <f>SUM(Table3[[#This Row],[OTW]],Table3[[#This Row],[OTL]],Table3[[#This Row],[SOW]],Table3[[#This Row],[SOL]])</f>
        <v>2</v>
      </c>
      <c r="AM30">
        <f>(Table3[[#This Row],[OTW]]+Table3[[#This Row],[SOW]])/IF(Table3[[#This Row],[Total_ExtraTimes]]=0,1,Table3[[#This Row],[Total_ExtraTimes]])</f>
        <v>0.5</v>
      </c>
      <c r="AN30">
        <f>Table3[[#This Row],[Total_ExtraTimes]]/MAX(1,Table3[[#This Row],[GP]])</f>
        <v>0.2857142857142857</v>
      </c>
      <c r="AO30">
        <f>(2*(Table3[[#This Row],[W_A]]+Table3[[#This Row],[W_H]]))+Table3[[#This Row],[OTL_A]]+Table3[[#This Row],[SOL_A]]+Table3[[#This Row],[OTL_H]]+Table3[[#This Row],[SOL_H]]</f>
        <v>5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0" s="10">
        <f>Table3[[#This Row],[PTS]]/(2*Table3[[#This Row],[GP]])</f>
        <v>0.35714285714285715</v>
      </c>
      <c r="AR30" s="10">
        <f>Table3[[#This Row],[PTS2]]/(3*Table3[[#This Row],[GP]])</f>
        <v>0.2857142857142857</v>
      </c>
      <c r="AS30">
        <f>(2*Table3[[#This Row],[GR]])+Table3[[#This Row],[PTS]]</f>
        <v>155</v>
      </c>
      <c r="AT30">
        <f>(3*Table3[[#This Row],[GR]])+Table3[[#This Row],[PTS2]]</f>
        <v>231</v>
      </c>
      <c r="AU30">
        <f>Table3[[#This Row],[PTS]]+(2 * Table3[[#This Row],[GR]] * Table3[[#This Row],[PTS%]])</f>
        <v>58.571428571428569</v>
      </c>
      <c r="AV30">
        <f>Table3[[#This Row],[PTS2]]+(3 * Table3[[#This Row],[GR]] * Table3[[#This Row],[PTS%2]])</f>
        <v>70.285714285714278</v>
      </c>
      <c r="AW30" s="15" t="str">
        <f>_xlfn.CONCAT(TEXT(Table3[[#This Row],[W]], "0"), "-", TEXT(Table3[[#This Row],[RL]],"0"), "-", TEXT(Table3[[#This Row],[OTL]]+Table3[[#This Row],[SOL]], "0"))</f>
        <v>2-4-1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>AY30-AZ30</f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11</v>
      </c>
      <c r="BD30">
        <f>SUMIF(DataRegularSeason20242025!$E$3:$E$1315,$A30,DataRegularSeason20242025!$J$3:$J$1315)</f>
        <v>15</v>
      </c>
      <c r="BE30">
        <f>BC30-BD30</f>
        <v>-4</v>
      </c>
      <c r="BF30">
        <f>AY30+BC30</f>
        <v>22</v>
      </c>
      <c r="BG30">
        <f>AZ30+BD30</f>
        <v>33</v>
      </c>
      <c r="BH30">
        <f>BF30-BG30</f>
        <v>-11</v>
      </c>
      <c r="BI30" s="12">
        <f>Table3[[#This Row],[GF]]/Table3[[#This Row],[GP]]</f>
        <v>3.1428571428571428</v>
      </c>
      <c r="BJ30" s="12">
        <f>Table3[[#This Row],[GA]]/Table3[[#This Row],[GP]]</f>
        <v>4.7142857142857144</v>
      </c>
      <c r="BK30" s="12">
        <f>(Table3[[#This Row],[GF]]-Table3[[#This Row],[GA]])/Table3[[#This Row],[GP]]</f>
        <v>-1.5714285714285714</v>
      </c>
      <c r="BL30" s="42" t="str">
        <f>_xlfn.CONCAT(TEXT(Table3[[#This Row],[W_H]], "0"), "-", TEXT(Table3[[#This Row],[RL_H]],"0"), "-", TEXT(Table3[[#This Row],[OTL_H]]+Table3[[#This Row],[SOL_H]], "0"))</f>
        <v>1-2-1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0.375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9.1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90.765306122448976</v>
      </c>
      <c r="BR30" s="16">
        <f>(Table3[[#This Row],[W]]*0.7) + ((Table3[[#This Row],[GF]] - Table3[[#This Row],[GA]])*0.25)+(Table3[[#This Row],[GF]]*0.1)+(Table3[[#This Row],[GA]]*0.05)+(Table3[[#This Row],[L]]*0.3)</f>
        <v>4</v>
      </c>
      <c r="BS30" s="16">
        <f>Table3[[#This Row],[TeamCost83]]/Table3[[#This Row],[GP]]</f>
        <v>0.5714285714285714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2</v>
      </c>
      <c r="BV30">
        <f>BT30+BU30</f>
        <v>3</v>
      </c>
      <c r="BW30">
        <f>F30-BT30</f>
        <v>2</v>
      </c>
      <c r="BX30">
        <f>H30-BU30</f>
        <v>2</v>
      </c>
      <c r="BY30">
        <f>BW30+BX30</f>
        <v>4</v>
      </c>
      <c r="BZ30">
        <f>Table3[[#This Row],[TimesPredictedWinner]]/Table3[[#This Row],[GP]]</f>
        <v>0.42857142857142855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0.8</v>
      </c>
      <c r="CK30">
        <f>Table3[[#This Row],[Column4]]+Table3[[#This Row],[Column3]]</f>
        <v>1.7000000000000002</v>
      </c>
      <c r="CL30">
        <f>Table3[[#This Row],[Column5]]/Table3[[#This Row],[GP]]</f>
        <v>0.24285714285714288</v>
      </c>
      <c r="CU30" s="57"/>
      <c r="CV30" s="178" t="s">
        <v>23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40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5</v>
      </c>
      <c r="E31" s="10">
        <f>Table3[[#This Row],[Watched]]/Table3[[#This Row],[GP]]</f>
        <v>0.83333333333333337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2</v>
      </c>
      <c r="I31">
        <f>41-Table3[[#This Row],[GP_H]]</f>
        <v>39</v>
      </c>
      <c r="J31">
        <f>F31+H31</f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1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3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2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1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2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0-2</v>
      </c>
      <c r="AL31">
        <f>SUM(Table3[[#This Row],[OTW]],Table3[[#This Row],[OTL]],Table3[[#This Row],[SOW]],Table3[[#This Row],[SOL]])</f>
        <v>2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0.33333333333333331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1" s="10">
        <f>Table3[[#This Row],[PTS]]/(2*Table3[[#This Row],[GP]])</f>
        <v>0.33333333333333331</v>
      </c>
      <c r="AR31" s="10">
        <f>Table3[[#This Row],[PTS2]]/(3*Table3[[#This Row],[GP]])</f>
        <v>0.27777777777777779</v>
      </c>
      <c r="AS31">
        <f>(2*Table3[[#This Row],[GR]])+Table3[[#This Row],[PTS]]</f>
        <v>156</v>
      </c>
      <c r="AT31">
        <f>(3*Table3[[#This Row],[GR]])+Table3[[#This Row],[PTS2]]</f>
        <v>233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68.333333333333343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9</v>
      </c>
      <c r="AZ31">
        <f>SUMIF(DataRegularSeason20242025!$D$3:$D$1315,$A31, DataRegularSeason20242025!$K$3:$K$1315)</f>
        <v>11</v>
      </c>
      <c r="BA31">
        <f>AY31-AZ31</f>
        <v>-2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7</v>
      </c>
      <c r="BD31">
        <f>SUMIF(DataRegularSeason20242025!$E$3:$E$1315,$A31,DataRegularSeason20242025!$J$3:$J$1315)</f>
        <v>10</v>
      </c>
      <c r="BE31">
        <f>BC31-BD31</f>
        <v>-3</v>
      </c>
      <c r="BF31">
        <f>AY31+BC31</f>
        <v>16</v>
      </c>
      <c r="BG31">
        <f>AZ31+BD31</f>
        <v>21</v>
      </c>
      <c r="BH31">
        <f>BF31-BG31</f>
        <v>-5</v>
      </c>
      <c r="BI31" s="12">
        <f>Table3[[#This Row],[GF]]/Table3[[#This Row],[GP]]</f>
        <v>2.6666666666666665</v>
      </c>
      <c r="BJ31" s="12">
        <f>Table3[[#This Row],[GA]]/Table3[[#This Row],[GP]]</f>
        <v>3.5</v>
      </c>
      <c r="BK31" s="12">
        <f>(Table3[[#This Row],[GF]]-Table3[[#This Row],[GA]])/Table3[[#This Row],[GP]]</f>
        <v>-0.83333333333333337</v>
      </c>
      <c r="BL31" s="42" t="str">
        <f>_xlfn.CONCAT(TEXT(Table3[[#This Row],[W_H]], "0"), "-", TEXT(Table3[[#This Row],[RL_H]],"0"), "-", TEXT(Table3[[#This Row],[OTL_H]]+Table3[[#This Row],[SOL_H]], "0"))</f>
        <v>0-2-0</v>
      </c>
      <c r="BM31" s="42" t="str">
        <f>_xlfn.CONCAT(TEXT(Table3[[#This Row],[W_A]], "0"), "-", TEXT(Table3[[#This Row],[RL_A]],"0"), "-", TEXT(Table3[[#This Row],[OTL_A]]+Table3[[#This Row],[SOL_A]], "0"))</f>
        <v>1-1-2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31" s="16">
        <f>(Table3[[#This Row],[W]]*0.7) + ((Table3[[#This Row],[GF]] - Table3[[#This Row],[GA]])*0.25)+(Table3[[#This Row],[GF]]*0.1)+(Table3[[#This Row],[GA]]*0.05)+(Table3[[#This Row],[L]]*0.3)</f>
        <v>3.6</v>
      </c>
      <c r="BS31" s="16">
        <f>Table3[[#This Row],[TeamCost83]]/Table3[[#This Row],[GP]]</f>
        <v>0.6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>BT31+BU31</f>
        <v>4</v>
      </c>
      <c r="BW31">
        <f>F31-BT31</f>
        <v>2</v>
      </c>
      <c r="BX31">
        <f>H31-BU31</f>
        <v>0</v>
      </c>
      <c r="BY31">
        <f>BW31+BX31</f>
        <v>2</v>
      </c>
      <c r="BZ31">
        <f>Table3[[#This Row],[TimesPredictedWinner]]/Table3[[#This Row],[GP]]</f>
        <v>0.66666666666666663</v>
      </c>
      <c r="CB31">
        <v>2021</v>
      </c>
      <c r="CD31" s="1">
        <v>45751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2.5</v>
      </c>
      <c r="CJ31">
        <f>SUMIFS(Table2[GamePredictionScore], Table2[HomeTeam], Table3[[#This Row],[Teams]])</f>
        <v>0.1</v>
      </c>
      <c r="CK31">
        <f>Table3[[#This Row],[Column4]]+Table3[[#This Row],[Column3]]</f>
        <v>2.6</v>
      </c>
      <c r="CL31">
        <f>Table3[[#This Row],[Column5]]/Table3[[#This Row],[GP]]</f>
        <v>0.43333333333333335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23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8</v>
      </c>
      <c r="E32" s="10">
        <f>Table3[[#This Row],[Watched]]/Table3[[#This Row],[GP]]</f>
        <v>1</v>
      </c>
      <c r="F32">
        <f>COUNTIFS(DataRegularSeason20242025!$N$3:$N$1315,1,DataRegularSeason20242025!$D$3:$D$1315,$A32)</f>
        <v>4</v>
      </c>
      <c r="G32">
        <f>41-Table3[[#This Row],[GP_A]]</f>
        <v>37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>F32+H32</f>
        <v>8</v>
      </c>
      <c r="K32">
        <f>82-Table3[[#This Row],[GP]]</f>
        <v>74</v>
      </c>
      <c r="L32">
        <f>COUNTIFS(DataRegularSeason20242025!$D$3:$D$1315,$A32, DataRegularSeason20242025!$L$3:$L$1315, $A32,DataRegularSeason20242025!$N$3:$N$1315,1)</f>
        <v>1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1</v>
      </c>
      <c r="P32">
        <f>F32-L32</f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4</v>
      </c>
      <c r="Y32">
        <f>COUNTIFS(DataRegularSeason20242025!$E$3:$E$1315,$A32, DataRegularSeason20242025!$S$3:$S$1315, $A32,DataRegularSeason20242025!$M$3:$M$1315,"REG")</f>
        <v>3</v>
      </c>
      <c r="Z32">
        <f>COUNTIFS(DataRegularSeason20242025!$E$3:$E$1315,$A32, DataRegularSeason20242025!$S$3:$S$1315, $A32,DataRegularSeason20242025!$M$3:$M$1315,"OT")</f>
        <v>1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0.125</v>
      </c>
      <c r="AC32">
        <f>Table3[[#This Row],[W_A]]+Table3[[#This Row],[W_H]]</f>
        <v>1</v>
      </c>
      <c r="AD32">
        <f>Table3[[#This Row],[L_A]]+Table3[[#This Row],[L_H]]</f>
        <v>7</v>
      </c>
      <c r="AE32">
        <f>Table3[[#This Row],[RW_A]]+Table3[[#This Row],[RW_H]]</f>
        <v>0</v>
      </c>
      <c r="AF32">
        <f>Table3[[#This Row],[RL_A]]+Table3[[#This Row],[RL_H]]</f>
        <v>6</v>
      </c>
      <c r="AG32">
        <f>Table3[[#This Row],[OTW_A]]+Table3[[#This Row],[OTW_H]]</f>
        <v>0</v>
      </c>
      <c r="AH32">
        <f>Table3[[#This Row],[OTL_A]]+Table3[[#This Row],[OTL_H]]</f>
        <v>1</v>
      </c>
      <c r="AI32">
        <f>Table3[[#This Row],[SOW_A]]+Table3[[#This Row],[SOW_H]]</f>
        <v>1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1-1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0.25</v>
      </c>
      <c r="AO32">
        <f>(2*(Table3[[#This Row],[W_A]]+Table3[[#This Row],[W_H]]))+Table3[[#This Row],[OTL_A]]+Table3[[#This Row],[SOL_A]]+Table3[[#This Row],[OTL_H]]+Table3[[#This Row],[SOL_H]]</f>
        <v>3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2" s="10">
        <f>Table3[[#This Row],[PTS]]/(2*Table3[[#This Row],[GP]])</f>
        <v>0.1875</v>
      </c>
      <c r="AR32" s="10">
        <f>Table3[[#This Row],[PTS2]]/(3*Table3[[#This Row],[GP]])</f>
        <v>0.125</v>
      </c>
      <c r="AS32">
        <f>(2*Table3[[#This Row],[GR]])+Table3[[#This Row],[PTS]]</f>
        <v>151</v>
      </c>
      <c r="AT32">
        <f>(3*Table3[[#This Row],[GR]])+Table3[[#This Row],[PTS2]]</f>
        <v>225</v>
      </c>
      <c r="AU32">
        <f>Table3[[#This Row],[PTS]]+(2 * Table3[[#This Row],[GR]] * Table3[[#This Row],[PTS%]])</f>
        <v>30.75</v>
      </c>
      <c r="AV32">
        <f>Table3[[#This Row],[PTS2]]+(3 * Table3[[#This Row],[GR]] * Table3[[#This Row],[PTS%2]])</f>
        <v>30.75</v>
      </c>
      <c r="AW32" s="15" t="str">
        <f>_xlfn.CONCAT(TEXT(Table3[[#This Row],[W]], "0"), "-", TEXT(Table3[[#This Row],[RL]],"0"), "-", TEXT(Table3[[#This Row],[OTL]]+Table3[[#This Row],[SOL]], "0"))</f>
        <v>1-6-1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7</v>
      </c>
      <c r="AZ32">
        <f>SUMIF(DataRegularSeason20242025!$D$3:$D$1315,$A32, DataRegularSeason20242025!$K$3:$K$1315)</f>
        <v>17</v>
      </c>
      <c r="BA32">
        <f>AY32-AZ32</f>
        <v>-10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6</v>
      </c>
      <c r="BD32">
        <f>SUMIF(DataRegularSeason20242025!$E$3:$E$1315,$A32,DataRegularSeason20242025!$J$3:$J$1315)</f>
        <v>12</v>
      </c>
      <c r="BE32">
        <f>BC32-BD32</f>
        <v>-6</v>
      </c>
      <c r="BF32">
        <f>AY32+BC32</f>
        <v>13</v>
      </c>
      <c r="BG32">
        <f>AZ32+BD32</f>
        <v>29</v>
      </c>
      <c r="BH32">
        <f>BF32-BG32</f>
        <v>-16</v>
      </c>
      <c r="BI32" s="12">
        <f>Table3[[#This Row],[GF]]/Table3[[#This Row],[GP]]</f>
        <v>1.625</v>
      </c>
      <c r="BJ32" s="12">
        <f>Table3[[#This Row],[GA]]/Table3[[#This Row],[GP]]</f>
        <v>3.625</v>
      </c>
      <c r="BK32" s="12">
        <f>(Table3[[#This Row],[GF]]-Table3[[#This Row],[GA]])/Table3[[#This Row],[GP]]</f>
        <v>-2</v>
      </c>
      <c r="BL32" s="42" t="str">
        <f>_xlfn.CONCAT(TEXT(Table3[[#This Row],[W_H]], "0"), "-", TEXT(Table3[[#This Row],[RL_H]],"0"), "-", TEXT(Table3[[#This Row],[OTL_H]]+Table3[[#This Row],[SOL_H]], "0"))</f>
        <v>0-3-1</v>
      </c>
      <c r="BM32" s="42" t="str">
        <f>_xlfn.CONCAT(TEXT(Table3[[#This Row],[W_A]], "0"), "-", TEXT(Table3[[#This Row],[RL_A]],"0"), "-", TEXT(Table3[[#This Row],[OTL_A]]+Table3[[#This Row],[SOL_A]], "0"))</f>
        <v>1-3-0</v>
      </c>
      <c r="BN32" s="42">
        <f>((2*(Table3[[#This Row],[W_H]]))+Table3[[#This Row],[OTL_H]]+Table3[[#This Row],[SOL_H]])/(2*Table3[[#This Row],[GP_H]])</f>
        <v>0.125</v>
      </c>
      <c r="BO32" s="42">
        <f>((2*(Table3[[#This Row],[W_A]]))+Table3[[#This Row],[OTL_A]]+Table3[[#This Row],[SOL_A]])/(2*Table3[[#This Row],[GP_A]])</f>
        <v>0.25</v>
      </c>
      <c r="BP32" s="16">
        <f>(Table3[[#This Row],[W]]*$CX$3)+(Table3[[#This Row],[L]]*$CX$4)+(Table3[[#This Row],[GF]]*$CX$5)+(Table3[[#This Row],[GA]]*$CX$6)</f>
        <v>7.45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60.621875000000003</v>
      </c>
      <c r="BR32" s="16">
        <f>(Table3[[#This Row],[W]]*0.7) + ((Table3[[#This Row],[GF]] - Table3[[#This Row],[GA]])*0.25)+(Table3[[#This Row],[GF]]*0.1)+(Table3[[#This Row],[GA]]*0.05)+(Table3[[#This Row],[L]]*0.3)</f>
        <v>1.5500000000000005</v>
      </c>
      <c r="BS32" s="16">
        <f>Table3[[#This Row],[TeamCost83]]/Table3[[#This Row],[GP]]</f>
        <v>0.19375000000000006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4</v>
      </c>
      <c r="BV32">
        <f>BT32+BU32</f>
        <v>5</v>
      </c>
      <c r="BW32">
        <f>F32-BT32</f>
        <v>3</v>
      </c>
      <c r="BX32">
        <f>H32-BU32</f>
        <v>0</v>
      </c>
      <c r="BY32">
        <f>BW32+BX32</f>
        <v>3</v>
      </c>
      <c r="BZ32">
        <f>Table3[[#This Row],[TimesPredictedWinner]]/Table3[[#This Row],[GP]]</f>
        <v>0.625</v>
      </c>
      <c r="CB32">
        <v>1989</v>
      </c>
      <c r="CC32" s="1">
        <v>45762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1.8</v>
      </c>
      <c r="CJ32">
        <f>SUMIFS(Table2[GamePredictionScore], Table2[HomeTeam], Table3[[#This Row],[Teams]])</f>
        <v>0.2</v>
      </c>
      <c r="CK32">
        <f>Table3[[#This Row],[Column4]]+Table3[[#This Row],[Column3]]</f>
        <v>2</v>
      </c>
      <c r="CL32">
        <f>Table3[[#This Row],[Column5]]/Table3[[#This Row],[GP]]</f>
        <v>0.25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37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3</v>
      </c>
      <c r="E33" s="10">
        <f>Table3[[#This Row],[Watched]]/Table3[[#This Row],[GP]]</f>
        <v>0.5</v>
      </c>
      <c r="F33">
        <f>COUNTIFS(DataRegularSeason20242025!$N$3:$N$1315,1,DataRegularSeason20242025!$D$3:$D$1315,$A33)</f>
        <v>2</v>
      </c>
      <c r="G33">
        <f>41-Table3[[#This Row],[GP_A]]</f>
        <v>39</v>
      </c>
      <c r="H33">
        <f>COUNTIFS(DataRegularSeason20242025!$E$3:$E$1315,$A33,DataRegularSeason20242025!$N$3:$N$1315,1)</f>
        <v>4</v>
      </c>
      <c r="I33">
        <f>41-Table3[[#This Row],[GP_H]]</f>
        <v>37</v>
      </c>
      <c r="J33">
        <f>F33+H33</f>
        <v>6</v>
      </c>
      <c r="K33">
        <f>82-Table3[[#This Row],[GP]]</f>
        <v>76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>F33-L33</f>
        <v>2</v>
      </c>
      <c r="Q33">
        <f>COUNTIFS(DataRegularSeason20242025!$D$3:$D$1315,$A33, DataRegularSeason20242025!$S$3:$S$1315, $A33,DataRegularSeason20242025!$M$3:$M$1315,"REG")</f>
        <v>2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4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2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6</v>
      </c>
      <c r="AE33">
        <f>Table3[[#This Row],[RW_A]]+Table3[[#This Row],[RW_H]]</f>
        <v>0</v>
      </c>
      <c r="AF33">
        <f>Table3[[#This Row],[RL_A]]+Table3[[#This Row],[RL_H]]</f>
        <v>4</v>
      </c>
      <c r="AG33">
        <f>Table3[[#This Row],[OTW_A]]+Table3[[#This Row],[OTW_H]]</f>
        <v>0</v>
      </c>
      <c r="AH33">
        <f>Table3[[#This Row],[OTL_A]]+Table3[[#This Row],[OTL_H]]</f>
        <v>2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0-2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0.33333333333333331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0.16666666666666666</v>
      </c>
      <c r="AR33" s="10">
        <f>Table3[[#This Row],[PTS2]]/(3*Table3[[#This Row],[GP]])</f>
        <v>0.1111111111111111</v>
      </c>
      <c r="AS33">
        <f>(2*Table3[[#This Row],[GR]])+Table3[[#This Row],[PTS]]</f>
        <v>154</v>
      </c>
      <c r="AT33">
        <f>(3*Table3[[#This Row],[GR]])+Table3[[#This Row],[PTS2]]</f>
        <v>230</v>
      </c>
      <c r="AU33">
        <f>Table3[[#This Row],[PTS]]+(2 * Table3[[#This Row],[GR]] * Table3[[#This Row],[PTS%]])</f>
        <v>27.333333333333332</v>
      </c>
      <c r="AV33">
        <f>Table3[[#This Row],[PTS2]]+(3 * Table3[[#This Row],[GR]] * Table3[[#This Row],[PTS%2]])</f>
        <v>27.333333333333332</v>
      </c>
      <c r="AW33" s="15" t="str">
        <f>_xlfn.CONCAT(TEXT(Table3[[#This Row],[W]], "0"), "-", TEXT(Table3[[#This Row],[RL]],"0"), "-", TEXT(Table3[[#This Row],[OTL]]+Table3[[#This Row],[SOL]], "0"))</f>
        <v>0-4-2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6</v>
      </c>
      <c r="AZ33">
        <f>SUMIF(DataRegularSeason20242025!$D$3:$D$1315,$A33, DataRegularSeason20242025!$K$3:$K$1315)</f>
        <v>10</v>
      </c>
      <c r="BA33">
        <f>AY33-AZ33</f>
        <v>-4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10</v>
      </c>
      <c r="BD33">
        <f>SUMIF(DataRegularSeason20242025!$E$3:$E$1315,$A33,DataRegularSeason20242025!$J$3:$J$1315)</f>
        <v>19</v>
      </c>
      <c r="BE33">
        <f>BC33-BD33</f>
        <v>-9</v>
      </c>
      <c r="BF33">
        <f>AY33+BC33</f>
        <v>16</v>
      </c>
      <c r="BG33">
        <f>AZ33+BD33</f>
        <v>29</v>
      </c>
      <c r="BH33">
        <f>BF33-BG33</f>
        <v>-13</v>
      </c>
      <c r="BI33" s="12">
        <f>Table3[[#This Row],[GF]]/Table3[[#This Row],[GP]]</f>
        <v>2.6666666666666665</v>
      </c>
      <c r="BJ33" s="12">
        <f>Table3[[#This Row],[GA]]/Table3[[#This Row],[GP]]</f>
        <v>4.833333333333333</v>
      </c>
      <c r="BK33" s="12">
        <f>(Table3[[#This Row],[GF]]-Table3[[#This Row],[GA]])/Table3[[#This Row],[GP]]</f>
        <v>-2.1666666666666665</v>
      </c>
      <c r="BL33" s="42" t="str">
        <f>_xlfn.CONCAT(TEXT(Table3[[#This Row],[W_H]], "0"), "-", TEXT(Table3[[#This Row],[RL_H]],"0"), "-", TEXT(Table3[[#This Row],[OTL_H]]+Table3[[#This Row],[SOL_H]], "0"))</f>
        <v>0-2-2</v>
      </c>
      <c r="BM33" s="42" t="str">
        <f>_xlfn.CONCAT(TEXT(Table3[[#This Row],[W_A]], "0"), "-", TEXT(Table3[[#This Row],[RL_A]],"0"), "-", TEXT(Table3[[#This Row],[OTL_A]]+Table3[[#This Row],[SOL_A]], "0"))</f>
        <v>0-2-0</v>
      </c>
      <c r="BN33" s="42">
        <f>((2*(Table3[[#This Row],[W_H]]))+Table3[[#This Row],[OTL_H]]+Table3[[#This Row],[SOL_H]])/(2*Table3[[#This Row],[GP_H]])</f>
        <v>0.25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7.1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84.088888888888903</v>
      </c>
      <c r="BR33" s="16">
        <f>(Table3[[#This Row],[W]]*0.7) + ((Table3[[#This Row],[GF]] - Table3[[#This Row],[GA]])*0.25)+(Table3[[#This Row],[GF]]*0.1)+(Table3[[#This Row],[GA]]*0.05)+(Table3[[#This Row],[L]]*0.3)</f>
        <v>1.6</v>
      </c>
      <c r="BS33" s="16">
        <f>Table3[[#This Row],[TeamCost83]]/Table3[[#This Row],[GP]]</f>
        <v>0.26666666666666666</v>
      </c>
      <c r="BT33">
        <f>COUNTIFS(Table2[AwayTeam],$A33,Table2[PredictedWinner], $A33, Table2[GameIsOver], 1)</f>
        <v>2</v>
      </c>
      <c r="BU33">
        <f>COUNTIFS(Table2[HomeTeam],$A33,Table2[PredictedWinner], $A33, Table2[GameIsOver], 1)</f>
        <v>1</v>
      </c>
      <c r="BV33">
        <f>BT33+BU33</f>
        <v>3</v>
      </c>
      <c r="BW33">
        <f>F33-BT33</f>
        <v>0</v>
      </c>
      <c r="BX33">
        <f>H33-BU33</f>
        <v>3</v>
      </c>
      <c r="BY33">
        <f>BW33+BX33</f>
        <v>3</v>
      </c>
      <c r="BZ33">
        <f>Table3[[#This Row],[TimesPredictedWinner]]/Table3[[#This Row],[GP]]</f>
        <v>0.5</v>
      </c>
      <c r="CC33" s="1">
        <v>45732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0.2</v>
      </c>
      <c r="CJ33">
        <f>SUMIFS(Table2[GamePredictionScore], Table2[HomeTeam], Table3[[#This Row],[Teams]])</f>
        <v>2.7</v>
      </c>
      <c r="CK33">
        <f>Table3[[#This Row],[Column4]]+Table3[[#This Row],[Column3]]</f>
        <v>2.9000000000000004</v>
      </c>
      <c r="CL33">
        <f>Table3[[#This Row],[Column5]]/Table3[[#This Row],[GP]]</f>
        <v>0.48333333333333339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-2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3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3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6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162</v>
      </c>
      <c r="E35">
        <f t="shared" ref="E35:CA35" si="13">SUM(E$2:E$33)</f>
        <v>23.303571428571431</v>
      </c>
      <c r="F35">
        <f t="shared" si="13"/>
        <v>110</v>
      </c>
      <c r="G35">
        <f t="shared" si="13"/>
        <v>1202</v>
      </c>
      <c r="H35">
        <f t="shared" si="13"/>
        <v>110</v>
      </c>
      <c r="I35">
        <f t="shared" si="13"/>
        <v>1202</v>
      </c>
      <c r="J35">
        <f t="shared" si="13"/>
        <v>220</v>
      </c>
      <c r="K35">
        <f t="shared" si="13"/>
        <v>2404</v>
      </c>
      <c r="L35">
        <f t="shared" si="13"/>
        <v>53</v>
      </c>
      <c r="M35">
        <f t="shared" si="13"/>
        <v>41</v>
      </c>
      <c r="N35">
        <f t="shared" si="13"/>
        <v>8</v>
      </c>
      <c r="O35">
        <f t="shared" si="13"/>
        <v>4</v>
      </c>
      <c r="P35">
        <f t="shared" si="13"/>
        <v>57</v>
      </c>
      <c r="Q35">
        <f t="shared" si="13"/>
        <v>44</v>
      </c>
      <c r="R35">
        <f t="shared" si="13"/>
        <v>11</v>
      </c>
      <c r="S35">
        <f t="shared" si="13"/>
        <v>2</v>
      </c>
      <c r="T35">
        <f t="shared" si="13"/>
        <v>57</v>
      </c>
      <c r="U35">
        <f t="shared" si="13"/>
        <v>44</v>
      </c>
      <c r="V35">
        <f t="shared" si="13"/>
        <v>11</v>
      </c>
      <c r="W35">
        <f t="shared" si="13"/>
        <v>2</v>
      </c>
      <c r="X35">
        <f t="shared" si="13"/>
        <v>53</v>
      </c>
      <c r="Y35">
        <f t="shared" si="13"/>
        <v>41</v>
      </c>
      <c r="Z35">
        <f t="shared" si="13"/>
        <v>8</v>
      </c>
      <c r="AA35">
        <f t="shared" si="13"/>
        <v>4</v>
      </c>
      <c r="AC35">
        <f t="shared" si="13"/>
        <v>110</v>
      </c>
      <c r="AD35">
        <f t="shared" si="13"/>
        <v>110</v>
      </c>
      <c r="AE35">
        <f t="shared" si="13"/>
        <v>85</v>
      </c>
      <c r="AF35">
        <f t="shared" si="13"/>
        <v>85</v>
      </c>
      <c r="AG35">
        <f t="shared" si="13"/>
        <v>19</v>
      </c>
      <c r="AH35">
        <f t="shared" si="13"/>
        <v>19</v>
      </c>
      <c r="AI35">
        <f t="shared" si="13"/>
        <v>6</v>
      </c>
      <c r="AJ35">
        <f t="shared" si="13"/>
        <v>6</v>
      </c>
      <c r="AO35">
        <f t="shared" si="13"/>
        <v>245</v>
      </c>
      <c r="AP35">
        <f t="shared" si="13"/>
        <v>330</v>
      </c>
      <c r="AQ35">
        <f t="shared" si="13"/>
        <v>17.889880952380953</v>
      </c>
      <c r="AR35">
        <f t="shared" si="13"/>
        <v>16.081349206349213</v>
      </c>
      <c r="AS35">
        <f t="shared" si="13"/>
        <v>5053</v>
      </c>
      <c r="AT35">
        <f t="shared" si="13"/>
        <v>7542</v>
      </c>
      <c r="AU35">
        <f t="shared" si="13"/>
        <v>2933.9404761904761</v>
      </c>
      <c r="AV35">
        <f t="shared" si="13"/>
        <v>3956.0119047619055</v>
      </c>
      <c r="AX35">
        <f t="shared" si="13"/>
        <v>6</v>
      </c>
      <c r="AY35">
        <f t="shared" si="13"/>
        <v>327</v>
      </c>
      <c r="AZ35">
        <f t="shared" si="13"/>
        <v>333</v>
      </c>
      <c r="BA35">
        <f t="shared" si="13"/>
        <v>-6</v>
      </c>
      <c r="BB35">
        <f t="shared" si="13"/>
        <v>1</v>
      </c>
      <c r="BC35">
        <f t="shared" si="13"/>
        <v>333</v>
      </c>
      <c r="BD35">
        <f t="shared" si="13"/>
        <v>327</v>
      </c>
      <c r="BE35">
        <f t="shared" si="13"/>
        <v>6</v>
      </c>
      <c r="BF35">
        <f t="shared" si="13"/>
        <v>660</v>
      </c>
      <c r="BG35">
        <f t="shared" si="13"/>
        <v>660</v>
      </c>
      <c r="BH35">
        <f t="shared" si="13"/>
        <v>0</v>
      </c>
      <c r="BI35">
        <f t="shared" si="13"/>
        <v>96.708333333333329</v>
      </c>
      <c r="BJ35">
        <f t="shared" si="13"/>
        <v>96.386904761904759</v>
      </c>
      <c r="BK35">
        <f t="shared" si="13"/>
        <v>0.32142857142857162</v>
      </c>
      <c r="BL35">
        <f t="shared" si="13"/>
        <v>0</v>
      </c>
      <c r="BM35">
        <f t="shared" si="13"/>
        <v>0</v>
      </c>
      <c r="BN35">
        <f t="shared" si="13"/>
        <v>18.458333333333339</v>
      </c>
      <c r="BO35">
        <f t="shared" si="13"/>
        <v>16.974999999999998</v>
      </c>
      <c r="BP35">
        <f t="shared" si="13"/>
        <v>252.99999999999997</v>
      </c>
      <c r="BQ35">
        <f t="shared" si="13"/>
        <v>2391.8051516439905</v>
      </c>
      <c r="BR35">
        <f t="shared" si="13"/>
        <v>209</v>
      </c>
      <c r="BS35">
        <f t="shared" si="13"/>
        <v>30.589583333333337</v>
      </c>
      <c r="BT35">
        <f t="shared" si="13"/>
        <v>46</v>
      </c>
      <c r="BU35">
        <f t="shared" si="13"/>
        <v>64</v>
      </c>
      <c r="BV35">
        <f t="shared" si="13"/>
        <v>110</v>
      </c>
      <c r="BW35">
        <f t="shared" si="13"/>
        <v>64</v>
      </c>
      <c r="BX35">
        <f t="shared" si="13"/>
        <v>46</v>
      </c>
      <c r="BY35">
        <f t="shared" si="13"/>
        <v>110</v>
      </c>
      <c r="BZ35">
        <f t="shared" si="13"/>
        <v>15.904761904761905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8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5.0625</v>
      </c>
      <c r="E36">
        <f t="shared" ref="E36:CA36" si="14">AVERAGE(E$2:E$33)</f>
        <v>0.72823660714285721</v>
      </c>
      <c r="F36">
        <f t="shared" si="14"/>
        <v>3.4375</v>
      </c>
      <c r="G36">
        <f t="shared" si="14"/>
        <v>37.5625</v>
      </c>
      <c r="H36">
        <f t="shared" si="14"/>
        <v>3.4375</v>
      </c>
      <c r="I36">
        <f t="shared" si="14"/>
        <v>37.5625</v>
      </c>
      <c r="J36">
        <f t="shared" si="14"/>
        <v>6.875</v>
      </c>
      <c r="K36">
        <f t="shared" si="14"/>
        <v>75.125</v>
      </c>
      <c r="L36">
        <f t="shared" si="14"/>
        <v>1.65625</v>
      </c>
      <c r="M36">
        <f t="shared" si="14"/>
        <v>1.28125</v>
      </c>
      <c r="N36">
        <f t="shared" si="14"/>
        <v>0.25</v>
      </c>
      <c r="O36">
        <f t="shared" si="14"/>
        <v>0.125</v>
      </c>
      <c r="P36">
        <f t="shared" si="14"/>
        <v>1.78125</v>
      </c>
      <c r="Q36">
        <f t="shared" si="14"/>
        <v>1.375</v>
      </c>
      <c r="R36">
        <f t="shared" si="14"/>
        <v>0.34375</v>
      </c>
      <c r="S36">
        <f t="shared" si="14"/>
        <v>6.25E-2</v>
      </c>
      <c r="T36">
        <f t="shared" si="14"/>
        <v>1.78125</v>
      </c>
      <c r="U36">
        <f t="shared" si="14"/>
        <v>1.375</v>
      </c>
      <c r="V36">
        <f t="shared" si="14"/>
        <v>0.34375</v>
      </c>
      <c r="W36">
        <f t="shared" si="14"/>
        <v>6.25E-2</v>
      </c>
      <c r="X36">
        <f t="shared" si="14"/>
        <v>1.65625</v>
      </c>
      <c r="Y36">
        <f t="shared" si="14"/>
        <v>1.28125</v>
      </c>
      <c r="Z36">
        <f t="shared" si="14"/>
        <v>0.25</v>
      </c>
      <c r="AA36">
        <f t="shared" si="14"/>
        <v>0.125</v>
      </c>
      <c r="AC36">
        <f t="shared" si="14"/>
        <v>3.4375</v>
      </c>
      <c r="AD36">
        <f t="shared" si="14"/>
        <v>3.4375</v>
      </c>
      <c r="AE36">
        <f t="shared" si="14"/>
        <v>2.65625</v>
      </c>
      <c r="AF36">
        <f t="shared" si="14"/>
        <v>2.65625</v>
      </c>
      <c r="AG36">
        <f t="shared" si="14"/>
        <v>0.59375</v>
      </c>
      <c r="AH36">
        <f t="shared" si="14"/>
        <v>0.59375</v>
      </c>
      <c r="AI36">
        <f t="shared" si="14"/>
        <v>0.1875</v>
      </c>
      <c r="AJ36">
        <f t="shared" si="14"/>
        <v>0.1875</v>
      </c>
      <c r="AO36">
        <f t="shared" si="14"/>
        <v>7.65625</v>
      </c>
      <c r="AP36">
        <f t="shared" si="14"/>
        <v>10.3125</v>
      </c>
      <c r="AQ36">
        <f t="shared" si="14"/>
        <v>0.55905877976190477</v>
      </c>
      <c r="AR36">
        <f t="shared" si="14"/>
        <v>0.5025421626984129</v>
      </c>
      <c r="AS36">
        <f t="shared" si="14"/>
        <v>157.90625</v>
      </c>
      <c r="AT36">
        <f t="shared" si="14"/>
        <v>235.6875</v>
      </c>
      <c r="AU36">
        <f t="shared" si="14"/>
        <v>91.68563988095238</v>
      </c>
      <c r="AV36">
        <f t="shared" si="14"/>
        <v>123.62537202380955</v>
      </c>
      <c r="AX36">
        <f t="shared" si="14"/>
        <v>0.1875</v>
      </c>
      <c r="AY36">
        <f t="shared" si="14"/>
        <v>10.21875</v>
      </c>
      <c r="AZ36">
        <f t="shared" si="14"/>
        <v>10.40625</v>
      </c>
      <c r="BA36">
        <f t="shared" si="14"/>
        <v>-0.1875</v>
      </c>
      <c r="BB36">
        <f t="shared" si="14"/>
        <v>3.125E-2</v>
      </c>
      <c r="BC36">
        <f t="shared" si="14"/>
        <v>10.40625</v>
      </c>
      <c r="BD36">
        <f t="shared" si="14"/>
        <v>10.21875</v>
      </c>
      <c r="BE36">
        <f t="shared" si="14"/>
        <v>0.1875</v>
      </c>
      <c r="BF36">
        <f t="shared" si="14"/>
        <v>20.625</v>
      </c>
      <c r="BG36">
        <f t="shared" si="14"/>
        <v>20.625</v>
      </c>
      <c r="BH36">
        <f t="shared" si="14"/>
        <v>0</v>
      </c>
      <c r="BI36">
        <f t="shared" si="14"/>
        <v>3.0221354166666665</v>
      </c>
      <c r="BJ36">
        <f t="shared" si="14"/>
        <v>3.0120907738095237</v>
      </c>
      <c r="BK36">
        <f t="shared" si="14"/>
        <v>1.0044642857142863E-2</v>
      </c>
      <c r="BL36" t="e">
        <f t="shared" si="14"/>
        <v>#DIV/0!</v>
      </c>
      <c r="BM36" t="e">
        <f t="shared" si="14"/>
        <v>#DIV/0!</v>
      </c>
      <c r="BN36">
        <f t="shared" si="14"/>
        <v>0.57682291666666685</v>
      </c>
      <c r="BO36">
        <f t="shared" si="14"/>
        <v>0.53046874999999993</v>
      </c>
      <c r="BP36">
        <f t="shared" si="14"/>
        <v>7.9062499999999991</v>
      </c>
      <c r="BQ36">
        <f t="shared" si="14"/>
        <v>74.743910988874703</v>
      </c>
      <c r="BR36">
        <f t="shared" si="14"/>
        <v>6.53125</v>
      </c>
      <c r="BS36">
        <f t="shared" si="14"/>
        <v>0.95592447916666679</v>
      </c>
      <c r="BT36">
        <f t="shared" si="14"/>
        <v>1.4375</v>
      </c>
      <c r="BU36">
        <f t="shared" si="14"/>
        <v>2</v>
      </c>
      <c r="BV36">
        <f t="shared" si="14"/>
        <v>3.4375</v>
      </c>
      <c r="BW36">
        <f t="shared" si="14"/>
        <v>2</v>
      </c>
      <c r="BX36">
        <f t="shared" si="14"/>
        <v>1.4375</v>
      </c>
      <c r="BY36">
        <f t="shared" si="14"/>
        <v>3.4375</v>
      </c>
      <c r="BZ36">
        <f t="shared" si="14"/>
        <v>0.49702380952380953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8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1.7488835724541527</v>
      </c>
      <c r="E37">
        <f t="shared" ref="E37:CA37" si="15">_xlfn.STDEV.P(E$2:E$33)</f>
        <v>0.22272073100610601</v>
      </c>
      <c r="F37">
        <f t="shared" si="15"/>
        <v>1.1439378261076953</v>
      </c>
      <c r="G37">
        <f t="shared" si="15"/>
        <v>1.1439378261076953</v>
      </c>
      <c r="H37">
        <f t="shared" si="15"/>
        <v>1.0288798520721456</v>
      </c>
      <c r="I37">
        <f t="shared" si="15"/>
        <v>1.0288798520721456</v>
      </c>
      <c r="J37">
        <f t="shared" si="15"/>
        <v>0.69597054535375269</v>
      </c>
      <c r="K37">
        <f t="shared" si="15"/>
        <v>0.69597054535375269</v>
      </c>
      <c r="L37">
        <f t="shared" si="15"/>
        <v>0.98771753932994422</v>
      </c>
      <c r="M37">
        <f t="shared" si="15"/>
        <v>1.0072975913303874</v>
      </c>
      <c r="N37">
        <f t="shared" si="15"/>
        <v>0.4330127018922193</v>
      </c>
      <c r="O37">
        <f t="shared" si="15"/>
        <v>0.33071891388307384</v>
      </c>
      <c r="P37">
        <f t="shared" si="15"/>
        <v>1.1105847277448038</v>
      </c>
      <c r="Q37">
        <f t="shared" si="15"/>
        <v>1.0231690964840563</v>
      </c>
      <c r="R37">
        <f t="shared" si="15"/>
        <v>0.53673637616617709</v>
      </c>
      <c r="S37">
        <f t="shared" si="15"/>
        <v>0.24206145913796356</v>
      </c>
      <c r="T37">
        <f t="shared" si="15"/>
        <v>1.1655035124357198</v>
      </c>
      <c r="U37">
        <f t="shared" si="15"/>
        <v>1.0231690964840563</v>
      </c>
      <c r="V37">
        <f t="shared" si="15"/>
        <v>0.53673637616617709</v>
      </c>
      <c r="W37">
        <f t="shared" si="15"/>
        <v>0.24206145913796356</v>
      </c>
      <c r="X37">
        <f t="shared" si="15"/>
        <v>1.1621471238616907</v>
      </c>
      <c r="Y37">
        <f t="shared" si="15"/>
        <v>0.97578093724974968</v>
      </c>
      <c r="Z37">
        <f t="shared" si="15"/>
        <v>0.5</v>
      </c>
      <c r="AA37">
        <f t="shared" si="15"/>
        <v>0.33071891388307384</v>
      </c>
      <c r="AC37">
        <f t="shared" si="15"/>
        <v>1.4347800354061246</v>
      </c>
      <c r="AD37">
        <f t="shared" si="15"/>
        <v>1.4986973510352248</v>
      </c>
      <c r="AE37">
        <f t="shared" si="15"/>
        <v>1.4707433282187616</v>
      </c>
      <c r="AF37">
        <f t="shared" si="15"/>
        <v>1.3136155973114814</v>
      </c>
      <c r="AG37">
        <f t="shared" si="15"/>
        <v>0.78499104294252942</v>
      </c>
      <c r="AH37">
        <f t="shared" si="15"/>
        <v>0.65476021374240512</v>
      </c>
      <c r="AI37">
        <f t="shared" si="15"/>
        <v>0.39031237489989989</v>
      </c>
      <c r="AJ37">
        <f t="shared" si="15"/>
        <v>0.39031237489989989</v>
      </c>
      <c r="AO37">
        <f t="shared" si="15"/>
        <v>2.5324071429175841</v>
      </c>
      <c r="AP37">
        <f t="shared" si="15"/>
        <v>3.8196653976493806</v>
      </c>
      <c r="AQ37">
        <f t="shared" si="15"/>
        <v>0.18296781396234288</v>
      </c>
      <c r="AR37">
        <f t="shared" si="15"/>
        <v>0.18614693139861146</v>
      </c>
      <c r="AS37">
        <f t="shared" si="15"/>
        <v>2.696750069528135</v>
      </c>
      <c r="AT37">
        <f t="shared" si="15"/>
        <v>4.1490774577006873</v>
      </c>
      <c r="AU37">
        <f t="shared" si="15"/>
        <v>30.006721489824272</v>
      </c>
      <c r="AV37">
        <f t="shared" si="15"/>
        <v>45.792145124058592</v>
      </c>
      <c r="AX37">
        <f t="shared" si="15"/>
        <v>0.46351240544347894</v>
      </c>
      <c r="AY37">
        <f t="shared" si="15"/>
        <v>3.7310720225559839</v>
      </c>
      <c r="AZ37">
        <f t="shared" si="15"/>
        <v>4.7949151126479812</v>
      </c>
      <c r="BA37">
        <f t="shared" si="15"/>
        <v>4.9145034082804342</v>
      </c>
      <c r="BB37">
        <f t="shared" si="15"/>
        <v>0.17399263633843817</v>
      </c>
      <c r="BC37">
        <f t="shared" si="15"/>
        <v>4.6894787490189138</v>
      </c>
      <c r="BD37">
        <f t="shared" si="15"/>
        <v>3.8789042831062486</v>
      </c>
      <c r="BE37">
        <f t="shared" si="15"/>
        <v>4.6733118609825306</v>
      </c>
      <c r="BF37">
        <f t="shared" si="15"/>
        <v>3.6806079660838642</v>
      </c>
      <c r="BG37">
        <f t="shared" si="15"/>
        <v>4.9228421668788043</v>
      </c>
      <c r="BH37">
        <f t="shared" si="15"/>
        <v>6.8145065852195055</v>
      </c>
      <c r="BI37">
        <f t="shared" si="15"/>
        <v>0.55565610568222779</v>
      </c>
      <c r="BJ37">
        <f t="shared" si="15"/>
        <v>0.70942431173161358</v>
      </c>
      <c r="BK37">
        <f t="shared" si="15"/>
        <v>0.99567632546300611</v>
      </c>
      <c r="BL37" t="e">
        <f t="shared" si="15"/>
        <v>#DIV/0!</v>
      </c>
      <c r="BM37" t="e">
        <f t="shared" si="15"/>
        <v>#DIV/0!</v>
      </c>
      <c r="BN37">
        <f t="shared" si="15"/>
        <v>0.28447025552837996</v>
      </c>
      <c r="BO37">
        <f t="shared" si="15"/>
        <v>0.28422507781117917</v>
      </c>
      <c r="BP37">
        <f t="shared" si="15"/>
        <v>0.83915415002252303</v>
      </c>
      <c r="BQ37">
        <f t="shared" si="15"/>
        <v>8.5589927563332573</v>
      </c>
      <c r="BR37">
        <f t="shared" si="15"/>
        <v>2.3350839786825648</v>
      </c>
      <c r="BS37">
        <f t="shared" si="15"/>
        <v>0.34366245341590335</v>
      </c>
      <c r="BT37">
        <f t="shared" si="15"/>
        <v>1.0588171466310885</v>
      </c>
      <c r="BU37">
        <f t="shared" si="15"/>
        <v>1.25</v>
      </c>
      <c r="BV37">
        <f t="shared" si="15"/>
        <v>1.7842628029525247</v>
      </c>
      <c r="BW37">
        <f t="shared" si="15"/>
        <v>1.2247448713915889</v>
      </c>
      <c r="BX37">
        <f t="shared" si="15"/>
        <v>1.3678792892649556</v>
      </c>
      <c r="BY37">
        <f t="shared" si="15"/>
        <v>1.7127737007555901</v>
      </c>
      <c r="BZ37">
        <f t="shared" si="15"/>
        <v>0.2550596974495159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3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1.2000000000000002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1.2999999999999998</v>
      </c>
      <c r="DA47" s="131">
        <f t="shared" si="18"/>
        <v>0.75</v>
      </c>
      <c r="DB47" s="131">
        <f t="shared" si="18"/>
        <v>0</v>
      </c>
      <c r="DC47" s="131">
        <f t="shared" si="18"/>
        <v>0.95</v>
      </c>
      <c r="DD47" s="131">
        <f t="shared" si="18"/>
        <v>1.05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1.9499999999999997</v>
      </c>
      <c r="DO47" s="131">
        <f t="shared" si="19"/>
        <v>2.25</v>
      </c>
      <c r="DP47" s="131">
        <f t="shared" si="19"/>
        <v>3.4000000000000004</v>
      </c>
      <c r="DQ47" s="131">
        <f t="shared" si="19"/>
        <v>2.8499999999999996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7.2</v>
      </c>
      <c r="DN48" s="127"/>
      <c r="DO48" s="131">
        <f t="shared" si="21"/>
        <v>5.4</v>
      </c>
      <c r="DP48" s="131">
        <f t="shared" si="21"/>
        <v>4</v>
      </c>
      <c r="DQ48" s="131">
        <f t="shared" si="21"/>
        <v>5.5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0.95</v>
      </c>
      <c r="DM49" s="131">
        <f t="shared" si="23"/>
        <v>7.3499999999999988</v>
      </c>
      <c r="DN49" s="131">
        <f t="shared" si="23"/>
        <v>6.8999999999999995</v>
      </c>
      <c r="DO49" s="127"/>
      <c r="DP49" s="131">
        <f t="shared" si="23"/>
        <v>9.1999999999999993</v>
      </c>
      <c r="DQ49" s="131">
        <f t="shared" si="23"/>
        <v>2.5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7.1999999999999993</v>
      </c>
      <c r="DN50" s="131">
        <f t="shared" si="25"/>
        <v>5.2</v>
      </c>
      <c r="DO50" s="131">
        <f t="shared" si="25"/>
        <v>11.2</v>
      </c>
      <c r="DP50" s="127"/>
      <c r="DQ50" s="131">
        <f t="shared" si="25"/>
        <v>5.6000000000000005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4.0500000000000007</v>
      </c>
      <c r="DN51" s="131">
        <f t="shared" si="27"/>
        <v>5.8</v>
      </c>
      <c r="DO51" s="131">
        <f t="shared" si="27"/>
        <v>1.55</v>
      </c>
      <c r="DP51" s="131">
        <f t="shared" si="27"/>
        <v>1.65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5.0999999999999996</v>
      </c>
      <c r="DP52" s="131">
        <f t="shared" si="29"/>
        <v>0</v>
      </c>
      <c r="DQ52" s="131">
        <f t="shared" si="29"/>
        <v>1.9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7.4499999999999993</v>
      </c>
      <c r="DW57" s="88">
        <f>SUM(DL46:DV56)</f>
        <v>127.05000000000001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7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12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6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6</v>
      </c>
      <c r="E4" s="62">
        <f>INDEX(Table3[PTS], MATCH(Table6[[#This Row],[Teams]], Table3[Teams],0))</f>
        <v>6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7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3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6</v>
      </c>
      <c r="E6" s="62">
        <f>INDEX(Table3[PTS], MATCH(Table6[[#This Row],[Teams]], Table3[Teams],0))</f>
        <v>6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3</v>
      </c>
      <c r="E7" s="62">
        <f>INDEX(Table3[PTS], MATCH(Table6[[#This Row],[Teams]], Table3[Teams],0))</f>
        <v>3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7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12</v>
      </c>
      <c r="E9" s="62">
        <f>INDEX(Table3[PTS], MATCH(Table6[[#This Row],[Teams]], Table3[Teams],0))</f>
        <v>12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7</v>
      </c>
      <c r="E12" s="62">
        <f>INDEX(Table3[PTS], MATCH(Table6[[#This Row],[Teams]], Table3[Teams],0))</f>
        <v>7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2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8</v>
      </c>
      <c r="E13" s="62">
        <f>INDEX(Table3[PTS], MATCH(Table6[[#This Row],[Teams]], Table3[Teams],0))</f>
        <v>8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6</v>
      </c>
      <c r="E14" s="62">
        <f>INDEX(Table3[PTS], MATCH(Table6[[#This Row],[Teams]], Table3[Teams],0))</f>
        <v>6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12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7</v>
      </c>
      <c r="E15" s="62">
        <f>INDEX(Table3[PTS], MATCH(Table6[[#This Row],[Teams]], Table3[Teams],0))</f>
        <v>7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12</v>
      </c>
      <c r="E16" s="62">
        <f>INDEX(Table3[PTS], MATCH(Table6[[#This Row],[Teams]], Table3[Teams],0))</f>
        <v>12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7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12</v>
      </c>
      <c r="E17" s="62">
        <f>INDEX(Table3[PTS], MATCH(Table6[[#This Row],[Teams]], Table3[Teams],0))</f>
        <v>12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6</v>
      </c>
      <c r="E19" s="62">
        <f>INDEX(Table3[PTS], MATCH(Table6[[#This Row],[Teams]], Table3[Teams],0))</f>
        <v>6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5</v>
      </c>
      <c r="E21" s="62">
        <f>INDEX(Table3[PTS], MATCH(Table6[[#This Row],[Teams]], Table3[Teams],0))</f>
        <v>5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7</v>
      </c>
      <c r="E22" s="62">
        <f>INDEX(Table3[PTS], MATCH(Table6[[#This Row],[Teams]], Table3[Teams],0))</f>
        <v>7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10</v>
      </c>
      <c r="E23" s="62">
        <f>INDEX(Table3[PTS], MATCH(Table6[[#This Row],[Teams]], Table3[Teams],0))</f>
        <v>10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12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6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6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10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10</v>
      </c>
      <c r="E29" s="62">
        <f>INDEX(Table3[PTS], MATCH(Table6[[#This Row],[Teams]], Table3[Teams],0))</f>
        <v>10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7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12</v>
      </c>
      <c r="E31" s="62">
        <f>INDEX(Table3[PTS], MATCH(Table6[[#This Row],[Teams]], Table3[Teams],0))</f>
        <v>12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10</v>
      </c>
      <c r="E32" s="62">
        <f>INDEX(Table3[PTS], MATCH(Table6[[#This Row],[Teams]], Table3[Teams],0))</f>
        <v>10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10</v>
      </c>
      <c r="E33" s="116">
        <f>INDEX(Table3[PTS], MATCH(Table6[[#This Row],[Teams]], Table3[Teams],0))</f>
        <v>10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8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5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12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6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12</v>
      </c>
    </row>
    <row r="42" spans="1:53" x14ac:dyDescent="0.25">
      <c r="U42" cm="1">
        <f t="array" ref="U42">SMALL(U35:U39 + U25:U29,5)</f>
        <v>18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71">
        <f>BO3+BO4</f>
        <v>6</v>
      </c>
      <c r="BQ3" s="167">
        <f>82-BP3</f>
        <v>76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71">
        <f t="shared" ref="BP5" si="1">BO5+BO6</f>
        <v>8</v>
      </c>
      <c r="BQ5" s="167">
        <f t="shared" ref="BQ5" si="2">82-BP5</f>
        <v>74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4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5</v>
      </c>
      <c r="BP7" s="171">
        <f t="shared" ref="BP7" si="3">BO7+BO8</f>
        <v>7</v>
      </c>
      <c r="BQ7" s="167">
        <f t="shared" ref="BQ7" si="4">82-BP7</f>
        <v>75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4</v>
      </c>
      <c r="BP9" s="171">
        <f t="shared" ref="BP9" si="5">BO9+BO10</f>
        <v>7</v>
      </c>
      <c r="BQ9" s="167">
        <f t="shared" ref="BQ9" si="6">82-BP9</f>
        <v>75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5</v>
      </c>
      <c r="BP11" s="171">
        <f t="shared" ref="BP11" si="7">BO11+BO12</f>
        <v>7</v>
      </c>
      <c r="BQ11" s="167">
        <f t="shared" ref="BQ11" si="8">82-BP11</f>
        <v>75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2</v>
      </c>
      <c r="BP13" s="171">
        <f t="shared" ref="BP13" si="9">BO13+BO14</f>
        <v>6</v>
      </c>
      <c r="BQ13" s="167">
        <f t="shared" ref="BQ13" si="10">82-BP13</f>
        <v>76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5</v>
      </c>
      <c r="BP15" s="171">
        <f t="shared" ref="BP15" si="11">BO15+BO16</f>
        <v>7</v>
      </c>
      <c r="BQ15" s="167">
        <f t="shared" ref="BQ15" si="12">82-BP15</f>
        <v>75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71">
        <f t="shared" ref="BP17" si="13">BO17+BO18</f>
        <v>7</v>
      </c>
      <c r="BQ17" s="167">
        <f t="shared" ref="BQ17" si="14">82-BP17</f>
        <v>75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71">
        <f t="shared" ref="BP19" si="15">BO19+BO20</f>
        <v>7</v>
      </c>
      <c r="BQ19" s="167">
        <f t="shared" ref="BQ19" si="16">82-BP19</f>
        <v>75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4</v>
      </c>
      <c r="BP21" s="171">
        <f t="shared" ref="BP21" si="17">BO21+BO22</f>
        <v>7</v>
      </c>
      <c r="BQ21" s="167">
        <f t="shared" ref="BQ21" si="18">82-BP21</f>
        <v>75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71">
        <f t="shared" ref="BP23" si="19">BO23+BO24</f>
        <v>6</v>
      </c>
      <c r="BQ23" s="167">
        <f t="shared" ref="BQ23" si="20">82-BP23</f>
        <v>76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3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71">
        <f t="shared" ref="BP25" si="21">BO25+BO26</f>
        <v>8</v>
      </c>
      <c r="BQ25" s="167">
        <f t="shared" ref="BQ25" si="22">82-BP25</f>
        <v>74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7</v>
      </c>
      <c r="BQ27" s="167">
        <f t="shared" ref="BQ27" si="24">82-BP27</f>
        <v>75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71">
        <f t="shared" ref="BP29" si="25">BO29+BO30</f>
        <v>6</v>
      </c>
      <c r="BQ29" s="167">
        <f t="shared" ref="BQ29" si="26">82-BP29</f>
        <v>76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4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71">
        <f t="shared" ref="BP31" si="27">BO31+BO32</f>
        <v>7</v>
      </c>
      <c r="BQ31" s="167">
        <f t="shared" ref="BQ31" si="28">82-BP31</f>
        <v>75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71">
        <f t="shared" ref="BP33" si="29">BO33+BO34</f>
        <v>6</v>
      </c>
      <c r="BQ33" s="167">
        <f t="shared" ref="BQ33" si="30">82-BP33</f>
        <v>76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4</v>
      </c>
      <c r="BP35" s="171">
        <f t="shared" ref="BP35" si="31">BO35+BO36</f>
        <v>6</v>
      </c>
      <c r="BQ35" s="167">
        <f t="shared" ref="BQ35" si="32">82-BP35</f>
        <v>76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3</v>
      </c>
      <c r="BP37" s="171">
        <f t="shared" ref="BP37" si="33">BO37+BO38</f>
        <v>6</v>
      </c>
      <c r="BQ37" s="167">
        <f t="shared" ref="BQ37" si="34">82-BP37</f>
        <v>76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71">
        <f t="shared" ref="BP39" si="35">BO39+BO40</f>
        <v>7</v>
      </c>
      <c r="BQ39" s="167">
        <f t="shared" ref="BQ39" si="36">82-BP39</f>
        <v>75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3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71">
        <f t="shared" ref="BP41" si="37">BO41+BO42</f>
        <v>6</v>
      </c>
      <c r="BQ41" s="167">
        <f t="shared" ref="BQ41" si="38">82-BP41</f>
        <v>76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4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71">
        <f t="shared" ref="BP43" si="39">BO43+BO44</f>
        <v>8</v>
      </c>
      <c r="BQ43" s="167">
        <f t="shared" ref="BQ43" si="40">82-BP43</f>
        <v>74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4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71">
        <f t="shared" ref="BP45" si="41">BO45+BO46</f>
        <v>6</v>
      </c>
      <c r="BQ45" s="167">
        <f t="shared" ref="BQ45" si="42">82-BP45</f>
        <v>76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4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71">
        <f t="shared" ref="BP47" si="43">BO47+BO48</f>
        <v>7</v>
      </c>
      <c r="BQ47" s="167">
        <f t="shared" ref="BQ47" si="44">82-BP47</f>
        <v>75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3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71">
        <f t="shared" ref="BP49" si="45">BO49+BO50</f>
        <v>7</v>
      </c>
      <c r="BQ49" s="167">
        <f t="shared" ref="BQ49" si="46">82-BP49</f>
        <v>75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5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71">
        <f t="shared" ref="BP51" si="47">BO51+BO52</f>
        <v>8</v>
      </c>
      <c r="BQ51" s="167">
        <f t="shared" ref="BQ51" si="48">82-BP51</f>
        <v>74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4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2</v>
      </c>
      <c r="BP53" s="171">
        <f t="shared" ref="BP53" si="49">BO53+BO54</f>
        <v>7</v>
      </c>
      <c r="BQ53" s="167">
        <f t="shared" ref="BQ53" si="50">82-BP53</f>
        <v>75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5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2</v>
      </c>
      <c r="BP55" s="171">
        <f t="shared" ref="BP55" si="51">BO55+BO56</f>
        <v>7</v>
      </c>
      <c r="BQ55" s="167">
        <f t="shared" ref="BQ55" si="52">82-BP55</f>
        <v>75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71">
        <f t="shared" ref="BP57" si="53">BO57+BO58</f>
        <v>8</v>
      </c>
      <c r="BQ57" s="167">
        <f t="shared" ref="BQ57" si="54">82-BP57</f>
        <v>74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4</v>
      </c>
      <c r="BP59" s="171">
        <f t="shared" ref="BP59" si="55">BO59+BO60</f>
        <v>8</v>
      </c>
      <c r="BQ59" s="167">
        <f t="shared" ref="BQ59" si="56">82-BP59</f>
        <v>74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71">
        <f t="shared" ref="BP61" si="57">BO61+BO62</f>
        <v>7</v>
      </c>
      <c r="BQ61" s="167">
        <f t="shared" ref="BQ61" si="58">82-BP61</f>
        <v>75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71">
        <f t="shared" ref="BP63" si="59">BO63+BO64</f>
        <v>6</v>
      </c>
      <c r="BQ63" s="167">
        <f t="shared" ref="BQ63" si="60">82-BP63</f>
        <v>76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71">
        <f t="shared" ref="BP65" si="61">BO65+BO66</f>
        <v>7</v>
      </c>
      <c r="BQ65" s="167">
        <f t="shared" ref="BQ65" si="62">82-BP65</f>
        <v>75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6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110</v>
      </c>
      <c r="BQ67" s="27">
        <f>SUM(BQ3:BQ66)/2</f>
        <v>1202</v>
      </c>
    </row>
    <row r="68" spans="1:69" x14ac:dyDescent="0.25">
      <c r="BP68" s="43">
        <f>2*BP67/SUM(BP3:BQ66)</f>
        <v>8.3841463414634151E-2</v>
      </c>
      <c r="BQ68" s="43">
        <f>2*BQ67/SUM(BP3:BQ66)</f>
        <v>0.91615853658536583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0-1-0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1-0-0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>
        <f t="shared" ref="AH38:AH68" si="0">AVERAGE($R38:$AG38)</f>
        <v>0.5</v>
      </c>
      <c r="AI38" s="101">
        <f t="shared" ref="AI38:AI68" si="1">AVERAGE($B38:$Q38)</f>
        <v>0.375</v>
      </c>
      <c r="AJ38" s="103">
        <f t="shared" ref="AJ38:AJ68" si="2">AVERAGE($Z38:$AG38)</f>
        <v>0.5</v>
      </c>
      <c r="AK38" s="103" t="e">
        <f t="shared" ref="AK38:AK68" si="3">AVERAGE($R38:$Y38)</f>
        <v>#DIV/0!</v>
      </c>
      <c r="AL38" s="103">
        <f t="shared" ref="AL38:AL68" si="4">AVERAGE($J38:$Q38)</f>
        <v>0.33333333333333331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</v>
      </c>
      <c r="AI39" s="101">
        <f t="shared" si="1"/>
        <v>0.5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</v>
      </c>
      <c r="AJ40" s="103" t="e">
        <f t="shared" si="2"/>
        <v>#DIV/0!</v>
      </c>
      <c r="AK40" s="103">
        <f t="shared" si="3"/>
        <v>0.5</v>
      </c>
      <c r="AL40" s="103">
        <f t="shared" si="4"/>
        <v>0.5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0.5</v>
      </c>
      <c r="AJ41" s="103">
        <f t="shared" si="2"/>
        <v>0.66666666666666663</v>
      </c>
      <c r="AK41" s="103">
        <f t="shared" si="3"/>
        <v>0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0.33333333333333331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0.33333333333333331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0.6</v>
      </c>
      <c r="AJ43" s="103" t="e">
        <f t="shared" si="2"/>
        <v>#DIV/0!</v>
      </c>
      <c r="AK43" s="103">
        <f t="shared" si="3"/>
        <v>0.5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</v>
      </c>
      <c r="AJ47" s="103" t="e">
        <f t="shared" si="2"/>
        <v>#DIV/0!</v>
      </c>
      <c r="AK47" s="103">
        <f t="shared" si="3"/>
        <v>0.5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0.33333333333333331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0.66666666666666663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0.45</v>
      </c>
      <c r="AJ51" s="103">
        <f t="shared" si="2"/>
        <v>0.5</v>
      </c>
      <c r="AK51" s="103" t="e">
        <f t="shared" si="3"/>
        <v>#DIV/0!</v>
      </c>
      <c r="AL51" s="103">
        <f t="shared" si="4"/>
        <v>0.41666666666666669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1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0.625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0.75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0.75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0.625</v>
      </c>
      <c r="AJ54" s="103">
        <f t="shared" si="2"/>
        <v>0.5</v>
      </c>
      <c r="AK54" s="103">
        <f t="shared" si="3"/>
        <v>0.5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0.625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0.625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0.33333333333333331</v>
      </c>
      <c r="AI62" s="101">
        <f t="shared" si="1"/>
        <v>0.5</v>
      </c>
      <c r="AJ62" s="103">
        <f t="shared" si="2"/>
        <v>0.3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0.45</v>
      </c>
      <c r="AI63" s="101">
        <f t="shared" si="1"/>
        <v>0.5</v>
      </c>
      <c r="AJ63" s="103">
        <f t="shared" si="2"/>
        <v>0.45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0.29166666666666669</v>
      </c>
      <c r="AI64" s="101">
        <f t="shared" si="1"/>
        <v>0.5</v>
      </c>
      <c r="AJ64" s="103">
        <f t="shared" si="2"/>
        <v>0.375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0.75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0.75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0.4375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2025-10-23T16:38:49Z</dcterms:modified>
</cp:coreProperties>
</file>