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68EE3B67-1FA5-445F-8AA7-C9E2691E2F31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B18" i="2" l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3" i="7"/>
  <c r="E3" i="7"/>
  <c r="F3" i="7"/>
  <c r="G3" i="7"/>
  <c r="H3" i="7"/>
  <c r="D9" i="7"/>
  <c r="D11" i="7"/>
  <c r="E11" i="7"/>
  <c r="F11" i="7"/>
  <c r="G11" i="7"/>
  <c r="H11" i="7"/>
  <c r="I11" i="7"/>
  <c r="D17" i="7"/>
  <c r="E17" i="7"/>
  <c r="F17" i="7"/>
  <c r="G17" i="7"/>
  <c r="H17" i="7"/>
  <c r="I17" i="7"/>
  <c r="D33" i="7"/>
  <c r="E33" i="7"/>
  <c r="F33" i="7"/>
  <c r="G33" i="7"/>
  <c r="H33" i="7"/>
  <c r="D21" i="7"/>
  <c r="E21" i="7"/>
  <c r="F21" i="7"/>
  <c r="G21" i="7"/>
  <c r="D18" i="7"/>
  <c r="E18" i="7"/>
  <c r="F18" i="7"/>
  <c r="G18" i="7"/>
  <c r="D19" i="7"/>
  <c r="E19" i="7"/>
  <c r="F19" i="7"/>
  <c r="G19" i="7"/>
  <c r="H19" i="7"/>
  <c r="I19" i="7"/>
  <c r="D5" i="7"/>
  <c r="E5" i="7"/>
  <c r="F5" i="7"/>
  <c r="G5" i="7"/>
  <c r="H5" i="7"/>
  <c r="I5" i="7"/>
  <c r="D31" i="7"/>
  <c r="E31" i="7"/>
  <c r="F31" i="7"/>
  <c r="G31" i="7"/>
  <c r="H31" i="7"/>
  <c r="D8" i="7"/>
  <c r="E8" i="7"/>
  <c r="F8" i="7"/>
  <c r="G8" i="7"/>
  <c r="D27" i="7"/>
  <c r="E27" i="7"/>
  <c r="F27" i="7"/>
  <c r="G27" i="7"/>
  <c r="D23" i="7"/>
  <c r="E23" i="7"/>
  <c r="F23" i="7"/>
  <c r="G23" i="7"/>
  <c r="H23" i="7"/>
  <c r="I23" i="7"/>
  <c r="D2" i="7"/>
  <c r="E2" i="7"/>
  <c r="F2" i="7"/>
  <c r="G2" i="7"/>
  <c r="H2" i="7"/>
  <c r="D10" i="7"/>
  <c r="D25" i="7"/>
  <c r="E25" i="7"/>
  <c r="F25" i="7"/>
  <c r="G25" i="7"/>
  <c r="H25" i="7"/>
  <c r="I25" i="7"/>
  <c r="D14" i="7"/>
  <c r="E14" i="7"/>
  <c r="F14" i="7"/>
  <c r="G14" i="7"/>
  <c r="H14" i="7"/>
  <c r="I14" i="7"/>
  <c r="D15" i="7"/>
  <c r="E15" i="7"/>
  <c r="F15" i="7"/>
  <c r="G15" i="7"/>
  <c r="D4" i="7"/>
  <c r="E4" i="7"/>
  <c r="F4" i="7"/>
  <c r="G4" i="7"/>
  <c r="H4" i="7"/>
  <c r="I4" i="7"/>
  <c r="D13" i="7"/>
  <c r="E13" i="7"/>
  <c r="F13" i="7"/>
  <c r="G13" i="7"/>
  <c r="H13" i="7"/>
  <c r="I13" i="7"/>
  <c r="D12" i="7"/>
  <c r="E12" i="7"/>
  <c r="F12" i="7"/>
  <c r="G12" i="7"/>
  <c r="D29" i="7"/>
  <c r="E29" i="7"/>
  <c r="F29" i="7"/>
  <c r="G29" i="7"/>
  <c r="H29" i="7"/>
  <c r="D28" i="7"/>
  <c r="E28" i="7"/>
  <c r="F28" i="7"/>
  <c r="G28" i="7"/>
  <c r="H28" i="7"/>
  <c r="I28" i="7"/>
  <c r="D24" i="7"/>
  <c r="E24" i="7"/>
  <c r="F24" i="7"/>
  <c r="G24" i="7"/>
  <c r="H24" i="7"/>
  <c r="D6" i="7"/>
  <c r="E6" i="7"/>
  <c r="F6" i="7"/>
  <c r="G6" i="7"/>
  <c r="H6" i="7"/>
  <c r="I6" i="7"/>
  <c r="D7" i="7"/>
  <c r="E7" i="7"/>
  <c r="F7" i="7"/>
  <c r="G7" i="7"/>
  <c r="H7" i="7"/>
  <c r="D22" i="7"/>
  <c r="E22" i="7"/>
  <c r="F22" i="7"/>
  <c r="G22" i="7"/>
  <c r="H22" i="7"/>
  <c r="D32" i="7"/>
  <c r="E32" i="7"/>
  <c r="F32" i="7"/>
  <c r="G32" i="7"/>
  <c r="H32" i="7"/>
  <c r="I32" i="7"/>
  <c r="D30" i="7"/>
  <c r="E30" i="7"/>
  <c r="F30" i="7"/>
  <c r="G30" i="7"/>
  <c r="H30" i="7"/>
  <c r="D20" i="7"/>
  <c r="E20" i="7"/>
  <c r="F20" i="7"/>
  <c r="G20" i="7"/>
  <c r="H20" i="7"/>
  <c r="I20" i="7"/>
  <c r="D16" i="7"/>
  <c r="E16" i="7"/>
  <c r="F16" i="7"/>
  <c r="G16" i="7"/>
  <c r="H16" i="7"/>
  <c r="E26" i="7"/>
  <c r="F26" i="7"/>
  <c r="G26" i="7"/>
  <c r="H26" i="7"/>
  <c r="I26" i="7"/>
  <c r="D26" i="7"/>
  <c r="CR34" i="2" a="1"/>
  <c r="BB25" i="2"/>
  <c r="BB8" i="2"/>
  <c r="BB33" i="2"/>
  <c r="BB23" i="2"/>
  <c r="BB10" i="2"/>
  <c r="BB18" i="2"/>
  <c r="BB15" i="2"/>
  <c r="BB26" i="2"/>
  <c r="BB13" i="2"/>
  <c r="BB29" i="2"/>
  <c r="BB6" i="2"/>
  <c r="BB2" i="2"/>
  <c r="BB9" i="2"/>
  <c r="BB30" i="2"/>
  <c r="BB3" i="2"/>
  <c r="BB20" i="2"/>
  <c r="BB11" i="2"/>
  <c r="BB17" i="2"/>
  <c r="BB19" i="2"/>
  <c r="BB4" i="2"/>
  <c r="BB28" i="2"/>
  <c r="BB27" i="2"/>
  <c r="BB22" i="2"/>
  <c r="BB7" i="2"/>
  <c r="BB12" i="2"/>
  <c r="BB14" i="2"/>
  <c r="BB16" i="2"/>
  <c r="BB31" i="2"/>
  <c r="BB5" i="2"/>
  <c r="BB21" i="2"/>
  <c r="BB32" i="2"/>
  <c r="BB24" i="2"/>
  <c r="AX25" i="2"/>
  <c r="AX8" i="2"/>
  <c r="AX33" i="2"/>
  <c r="AX23" i="2"/>
  <c r="AX10" i="2"/>
  <c r="AX18" i="2"/>
  <c r="AX15" i="2"/>
  <c r="AX26" i="2"/>
  <c r="AX13" i="2"/>
  <c r="AX29" i="2"/>
  <c r="AX6" i="2"/>
  <c r="AX2" i="2"/>
  <c r="AX9" i="2"/>
  <c r="AX30" i="2"/>
  <c r="AX3" i="2"/>
  <c r="AX20" i="2"/>
  <c r="AX11" i="2"/>
  <c r="AX17" i="2"/>
  <c r="AX19" i="2"/>
  <c r="AX4" i="2"/>
  <c r="AX28" i="2"/>
  <c r="AX27" i="2"/>
  <c r="AX22" i="2"/>
  <c r="AX7" i="2"/>
  <c r="AX12" i="2"/>
  <c r="AX14" i="2"/>
  <c r="AX16" i="2"/>
  <c r="AX31" i="2"/>
  <c r="AX5" i="2"/>
  <c r="AX21" i="2"/>
  <c r="AX32" i="2"/>
  <c r="AX24" i="2"/>
  <c r="AY10" i="2"/>
  <c r="AZ10" i="2"/>
  <c r="BC10" i="2"/>
  <c r="BD10" i="2"/>
  <c r="AY30" i="2"/>
  <c r="AZ30" i="2"/>
  <c r="BC30" i="2"/>
  <c r="BD30" i="2"/>
  <c r="AY6" i="2"/>
  <c r="AZ6" i="2"/>
  <c r="BC6" i="2"/>
  <c r="BD6" i="2"/>
  <c r="AY22" i="2"/>
  <c r="AZ22" i="2"/>
  <c r="BC22" i="2"/>
  <c r="BD22" i="2"/>
  <c r="AY33" i="2"/>
  <c r="AZ33" i="2"/>
  <c r="BC33" i="2"/>
  <c r="BD33" i="2"/>
  <c r="AY15" i="2"/>
  <c r="AZ15" i="2"/>
  <c r="BC15" i="2"/>
  <c r="BD15" i="2"/>
  <c r="AY2" i="2"/>
  <c r="AZ2" i="2"/>
  <c r="BC2" i="2"/>
  <c r="BD2" i="2"/>
  <c r="AY7" i="2"/>
  <c r="AZ7" i="2"/>
  <c r="BC7" i="2"/>
  <c r="BD7" i="2"/>
  <c r="AY19" i="2"/>
  <c r="AZ19" i="2"/>
  <c r="BC19" i="2"/>
  <c r="BD19" i="2"/>
  <c r="AY25" i="2"/>
  <c r="AZ25" i="2"/>
  <c r="BC25" i="2"/>
  <c r="BD25" i="2"/>
  <c r="AY23" i="2"/>
  <c r="AZ23" i="2"/>
  <c r="BC23" i="2"/>
  <c r="BD23" i="2"/>
  <c r="AY17" i="2"/>
  <c r="AZ17" i="2"/>
  <c r="BC17" i="2"/>
  <c r="BD17" i="2"/>
  <c r="AY27" i="2"/>
  <c r="AZ27" i="2"/>
  <c r="BC27" i="2"/>
  <c r="BD27" i="2"/>
  <c r="AY5" i="2"/>
  <c r="AZ5" i="2"/>
  <c r="BC5" i="2"/>
  <c r="BD5" i="2"/>
  <c r="AY4" i="2"/>
  <c r="AZ4" i="2"/>
  <c r="BC4" i="2"/>
  <c r="BD4" i="2"/>
  <c r="AY32" i="2"/>
  <c r="AZ32" i="2"/>
  <c r="BC32" i="2"/>
  <c r="BD32" i="2"/>
  <c r="AY20" i="2"/>
  <c r="AZ20" i="2"/>
  <c r="BC20" i="2"/>
  <c r="BD20" i="2"/>
  <c r="AY26" i="2"/>
  <c r="AZ26" i="2"/>
  <c r="BC26" i="2"/>
  <c r="BD26" i="2"/>
  <c r="AY16" i="2"/>
  <c r="AZ16" i="2"/>
  <c r="BC16" i="2"/>
  <c r="BD16" i="2"/>
  <c r="AY11" i="2"/>
  <c r="AZ11" i="2"/>
  <c r="BC11" i="2"/>
  <c r="BD11" i="2"/>
  <c r="AY9" i="2"/>
  <c r="AZ9" i="2"/>
  <c r="BC9" i="2"/>
  <c r="BD9" i="2"/>
  <c r="AY14" i="2"/>
  <c r="AZ14" i="2"/>
  <c r="BC14" i="2"/>
  <c r="BD14" i="2"/>
  <c r="AY21" i="2"/>
  <c r="AZ21" i="2"/>
  <c r="BC21" i="2"/>
  <c r="BD21" i="2"/>
  <c r="AY31" i="2"/>
  <c r="AZ31" i="2"/>
  <c r="BC31" i="2"/>
  <c r="BD31" i="2"/>
  <c r="AY13" i="2"/>
  <c r="AZ13" i="2"/>
  <c r="BC13" i="2"/>
  <c r="BD13" i="2"/>
  <c r="AY28" i="2"/>
  <c r="AZ28" i="2"/>
  <c r="BC28" i="2"/>
  <c r="BD28" i="2"/>
  <c r="AY18" i="2"/>
  <c r="AZ18" i="2"/>
  <c r="BC18" i="2"/>
  <c r="BD18" i="2"/>
  <c r="AY29" i="2"/>
  <c r="AZ29" i="2"/>
  <c r="BC29" i="2"/>
  <c r="BD29" i="2"/>
  <c r="AY12" i="2"/>
  <c r="AZ12" i="2"/>
  <c r="BC12" i="2"/>
  <c r="BD12" i="2"/>
  <c r="AY8" i="2"/>
  <c r="AZ8" i="2"/>
  <c r="BC8" i="2"/>
  <c r="BD8" i="2"/>
  <c r="AY24" i="2"/>
  <c r="AZ24" i="2"/>
  <c r="BC24" i="2"/>
  <c r="BD24" i="2"/>
  <c r="BD3" i="2"/>
  <c r="BC3" i="2"/>
  <c r="AZ3" i="2"/>
  <c r="AY3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2" i="7"/>
  <c r="I58" i="7"/>
  <c r="I57" i="7"/>
  <c r="E9" i="7"/>
  <c r="E45" i="7"/>
  <c r="I48" i="7"/>
  <c r="H48" i="7"/>
  <c r="G48" i="7"/>
  <c r="F48" i="7"/>
  <c r="E48" i="7"/>
  <c r="BS5" i="1" a="1"/>
  <c r="I29" i="7"/>
  <c r="I24" i="7"/>
  <c r="G9" i="7"/>
  <c r="H9" i="7"/>
  <c r="I9" i="7"/>
  <c r="F9" i="7"/>
  <c r="G10" i="7"/>
  <c r="H10" i="7"/>
  <c r="I10" i="7"/>
  <c r="E10" i="7"/>
  <c r="F10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P46" i="2" s="1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24" i="2"/>
  <c r="CE24" i="2" s="1"/>
  <c r="CF8" i="2"/>
  <c r="CE8" i="2" s="1"/>
  <c r="CF12" i="2"/>
  <c r="CE12" i="2" s="1"/>
  <c r="CF25" i="2"/>
  <c r="CE25" i="2" s="1"/>
  <c r="CF17" i="2"/>
  <c r="CE17" i="2" s="1"/>
  <c r="CF27" i="2"/>
  <c r="CE27" i="2" s="1"/>
  <c r="CF7" i="2"/>
  <c r="CE7" i="2" s="1"/>
  <c r="CF28" i="2"/>
  <c r="CE28" i="2" s="1"/>
  <c r="CF6" i="2"/>
  <c r="CE6" i="2" s="1"/>
  <c r="CF2" i="2"/>
  <c r="CE2" i="2" s="1"/>
  <c r="CF4" i="2"/>
  <c r="CE4" i="2" s="1"/>
  <c r="CF23" i="2"/>
  <c r="CE23" i="2" s="1"/>
  <c r="CF13" i="2"/>
  <c r="CE13" i="2" s="1"/>
  <c r="CF33" i="2"/>
  <c r="CE33" i="2" s="1"/>
  <c r="CF22" i="2"/>
  <c r="CE22" i="2" s="1"/>
  <c r="CF16" i="2"/>
  <c r="CE16" i="2" s="1"/>
  <c r="CF29" i="2"/>
  <c r="CE29" i="2" s="1"/>
  <c r="CF5" i="2"/>
  <c r="CE5" i="2" s="1"/>
  <c r="CF10" i="2"/>
  <c r="CE10" i="2" s="1"/>
  <c r="CF19" i="2"/>
  <c r="CE19" i="2" s="1"/>
  <c r="CF31" i="2"/>
  <c r="CE31" i="2" s="1"/>
  <c r="CF26" i="2"/>
  <c r="CE26" i="2" s="1"/>
  <c r="CF11" i="2"/>
  <c r="CE11" i="2" s="1"/>
  <c r="CF9" i="2"/>
  <c r="CE9" i="2" s="1"/>
  <c r="CF18" i="2"/>
  <c r="CE18" i="2" s="1"/>
  <c r="CF3" i="2"/>
  <c r="CE3" i="2" s="1"/>
  <c r="CF20" i="2"/>
  <c r="CE20" i="2" s="1"/>
  <c r="CF14" i="2"/>
  <c r="CE14" i="2" s="1"/>
  <c r="CF30" i="2"/>
  <c r="CE30" i="2" s="1"/>
  <c r="CF32" i="2"/>
  <c r="CE32" i="2" s="1"/>
  <c r="CF21" i="2"/>
  <c r="CE21" i="2" s="1"/>
  <c r="CF15" i="2"/>
  <c r="CE15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BS5" i="1" l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2" i="2" l="1"/>
  <c r="D4" i="2"/>
  <c r="D27" i="2"/>
  <c r="D20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1" i="2"/>
  <c r="O21" i="2"/>
  <c r="M21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4" i="2"/>
  <c r="V4" i="2"/>
  <c r="W4" i="2"/>
  <c r="AP47" i="5"/>
  <c r="AU42" i="5"/>
  <c r="AI32" i="5"/>
  <c r="AF35" i="5"/>
  <c r="BD39" i="5"/>
  <c r="AM56" i="5"/>
  <c r="AZ15" i="5"/>
  <c r="O52" i="5"/>
  <c r="BF13" i="5"/>
  <c r="M58" i="5"/>
  <c r="V18" i="2"/>
  <c r="W18" i="2"/>
  <c r="U18" i="2"/>
  <c r="V25" i="5"/>
  <c r="Y22" i="5"/>
  <c r="AO8" i="5"/>
  <c r="H41" i="5"/>
  <c r="AX9" i="5"/>
  <c r="I50" i="5"/>
  <c r="D21" i="2"/>
  <c r="AS4" i="5"/>
  <c r="D45" i="5"/>
  <c r="T29" i="5"/>
  <c r="AC20" i="5"/>
  <c r="N61" i="5"/>
  <c r="BI14" i="5"/>
  <c r="D12" i="2"/>
  <c r="V3" i="2"/>
  <c r="W3" i="2"/>
  <c r="U3" i="2"/>
  <c r="O6" i="2"/>
  <c r="N6" i="2"/>
  <c r="M6" i="2"/>
  <c r="W7" i="2"/>
  <c r="V7" i="2"/>
  <c r="U7" i="2"/>
  <c r="AN23" i="5"/>
  <c r="W40" i="5"/>
  <c r="BN53" i="5"/>
  <c r="BA66" i="5"/>
  <c r="AI56" i="5"/>
  <c r="BD35" i="5"/>
  <c r="AU32" i="5"/>
  <c r="AF47" i="5"/>
  <c r="N25" i="2"/>
  <c r="O25" i="2"/>
  <c r="M25" i="2"/>
  <c r="N14" i="2"/>
  <c r="W5" i="2"/>
  <c r="U5" i="2"/>
  <c r="O14" i="2"/>
  <c r="M14" i="2"/>
  <c r="V5" i="2"/>
  <c r="W17" i="2"/>
  <c r="T17" i="2"/>
  <c r="U17" i="2"/>
  <c r="V17" i="2"/>
  <c r="S66" i="1"/>
  <c r="T4" i="2"/>
  <c r="AA62" i="5"/>
  <c r="BJ27" i="5"/>
  <c r="E66" i="5"/>
  <c r="BN5" i="5"/>
  <c r="S62" i="1"/>
  <c r="T18" i="2"/>
  <c r="S77" i="1"/>
  <c r="L21" i="2"/>
  <c r="AH23" i="8"/>
  <c r="S58" i="1"/>
  <c r="T3" i="2"/>
  <c r="S57" i="1"/>
  <c r="L6" i="2"/>
  <c r="T12" i="2"/>
  <c r="V12" i="2"/>
  <c r="W12" i="2"/>
  <c r="U12" i="2"/>
  <c r="T7" i="2"/>
  <c r="U24" i="2"/>
  <c r="V24" i="2"/>
  <c r="O10" i="2"/>
  <c r="W24" i="2"/>
  <c r="N10" i="2"/>
  <c r="T24" i="2"/>
  <c r="S53" i="1"/>
  <c r="L25" i="2"/>
  <c r="S52" i="1"/>
  <c r="T5" i="2"/>
  <c r="L14" i="2"/>
  <c r="N9" i="2"/>
  <c r="O9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2" i="2"/>
  <c r="T22" i="2"/>
  <c r="V22" i="2"/>
  <c r="W22" i="2"/>
  <c r="S46" i="1"/>
  <c r="M23" i="2"/>
  <c r="W11" i="2"/>
  <c r="L23" i="2"/>
  <c r="T11" i="2"/>
  <c r="U11" i="2"/>
  <c r="O23" i="2"/>
  <c r="V11" i="2"/>
  <c r="N23" i="2"/>
  <c r="AP35" i="5"/>
  <c r="AI42" i="5"/>
  <c r="F53" i="5"/>
  <c r="BA6" i="5"/>
  <c r="AL63" i="5"/>
  <c r="BK38" i="5"/>
  <c r="D30" i="2"/>
  <c r="Q8" i="5"/>
  <c r="H17" i="5"/>
  <c r="S45" i="1"/>
  <c r="N19" i="2"/>
  <c r="W28" i="2"/>
  <c r="O19" i="2"/>
  <c r="L19" i="2"/>
  <c r="V28" i="2"/>
  <c r="M19" i="2"/>
  <c r="S44" i="1"/>
  <c r="N8" i="2"/>
  <c r="M8" i="2"/>
  <c r="O8" i="2"/>
  <c r="L8" i="2"/>
  <c r="S43" i="1"/>
  <c r="W16" i="2"/>
  <c r="O32" i="2"/>
  <c r="M32" i="2"/>
  <c r="V16" i="2"/>
  <c r="U16" i="2"/>
  <c r="T16" i="2"/>
  <c r="L32" i="2"/>
  <c r="N32" i="2"/>
  <c r="M13" i="2"/>
  <c r="L13" i="2"/>
  <c r="O13" i="2"/>
  <c r="N13" i="2"/>
  <c r="S41" i="1"/>
  <c r="O2" i="2"/>
  <c r="N2" i="2"/>
  <c r="BM40" i="5"/>
  <c r="AN65" i="5"/>
  <c r="D24" i="2"/>
  <c r="U26" i="2"/>
  <c r="T26" i="2"/>
  <c r="W26" i="2"/>
  <c r="V26" i="2"/>
  <c r="BI48" i="5"/>
  <c r="AV61" i="5"/>
  <c r="BG24" i="5"/>
  <c r="X59" i="5"/>
  <c r="S18" i="5"/>
  <c r="R19" i="5"/>
  <c r="D7" i="2"/>
  <c r="C50" i="5"/>
  <c r="AX3" i="5"/>
  <c r="AD11" i="5"/>
  <c r="K30" i="5"/>
  <c r="BE36" i="5"/>
  <c r="AJ57" i="5"/>
  <c r="D32" i="2"/>
  <c r="N29" i="2"/>
  <c r="M29" i="2"/>
  <c r="L29" i="2"/>
  <c r="U25" i="2"/>
  <c r="W25" i="2"/>
  <c r="O29" i="2"/>
  <c r="V25" i="2"/>
  <c r="T25" i="2"/>
  <c r="V27" i="2"/>
  <c r="T27" i="2"/>
  <c r="U27" i="2"/>
  <c r="W27" i="2"/>
  <c r="BM38" i="5"/>
  <c r="AL65" i="5"/>
  <c r="M24" i="2"/>
  <c r="O24" i="2"/>
  <c r="V20" i="2"/>
  <c r="L24" i="2"/>
  <c r="T20" i="2"/>
  <c r="N24" i="2"/>
  <c r="U20" i="2"/>
  <c r="W20" i="2"/>
  <c r="AO26" i="5"/>
  <c r="Z41" i="5"/>
  <c r="AM46" i="5"/>
  <c r="AT39" i="5"/>
  <c r="AG54" i="5"/>
  <c r="BB33" i="5"/>
  <c r="AQ10" i="5"/>
  <c r="D6" i="2"/>
  <c r="J43" i="5"/>
  <c r="D11" i="2"/>
  <c r="AE16" i="5"/>
  <c r="P31" i="5"/>
  <c r="G6" i="5"/>
  <c r="F7" i="5"/>
  <c r="S26" i="1"/>
  <c r="L30" i="2"/>
  <c r="M30" i="2"/>
  <c r="O30" i="2"/>
  <c r="N30" i="2"/>
  <c r="S33" i="1"/>
  <c r="V15" i="2"/>
  <c r="U15" i="2"/>
  <c r="W15" i="2"/>
  <c r="T15" i="2"/>
  <c r="BC22" i="5"/>
  <c r="V55" i="5"/>
  <c r="S27" i="1"/>
  <c r="L28" i="2"/>
  <c r="O28" i="2"/>
  <c r="N28" i="2"/>
  <c r="M28" i="2"/>
  <c r="AY14" i="5"/>
  <c r="N51" i="5"/>
  <c r="D31" i="2"/>
  <c r="W33" i="2"/>
  <c r="N31" i="2"/>
  <c r="M31" i="2"/>
  <c r="L31" i="2"/>
  <c r="O31" i="2"/>
  <c r="U33" i="2"/>
  <c r="T33" i="2"/>
  <c r="V33" i="2"/>
  <c r="BL27" i="5"/>
  <c r="AA64" i="5"/>
  <c r="D8" i="2"/>
  <c r="M17" i="2"/>
  <c r="N17" i="2"/>
  <c r="BH13" i="5"/>
  <c r="D29" i="2"/>
  <c r="M60" i="5"/>
  <c r="BI50" i="5"/>
  <c r="AX61" i="5"/>
  <c r="C48" i="5"/>
  <c r="AV3" i="5"/>
  <c r="D14" i="2"/>
  <c r="D3" i="2"/>
  <c r="U21" i="2"/>
  <c r="L12" i="2"/>
  <c r="M12" i="2"/>
  <c r="T21" i="2"/>
  <c r="V21" i="2"/>
  <c r="W21" i="2"/>
  <c r="N12" i="2"/>
  <c r="O12" i="2"/>
  <c r="S23" i="1"/>
  <c r="W14" i="2"/>
  <c r="U14" i="2"/>
  <c r="M3" i="2"/>
  <c r="N3" i="2"/>
  <c r="O3" i="2"/>
  <c r="T14" i="2"/>
  <c r="L3" i="2"/>
  <c r="V14" i="2"/>
  <c r="BE18" i="5"/>
  <c r="R57" i="5"/>
  <c r="D18" i="2"/>
  <c r="S21" i="1"/>
  <c r="M33" i="2"/>
  <c r="V29" i="2"/>
  <c r="W29" i="2"/>
  <c r="N33" i="2"/>
  <c r="U29" i="2"/>
  <c r="T29" i="2"/>
  <c r="L18" i="2"/>
  <c r="O18" i="2"/>
  <c r="W2" i="2"/>
  <c r="T2" i="2"/>
  <c r="U2" i="2"/>
  <c r="M18" i="2"/>
  <c r="V2" i="2"/>
  <c r="N18" i="2"/>
  <c r="BL19" i="5"/>
  <c r="S64" i="5"/>
  <c r="W8" i="2"/>
  <c r="O7" i="2"/>
  <c r="N7" i="2"/>
  <c r="M7" i="2"/>
  <c r="T8" i="2"/>
  <c r="U8" i="2"/>
  <c r="V8" i="2"/>
  <c r="L7" i="2"/>
  <c r="AJ11" i="5"/>
  <c r="K36" i="5"/>
  <c r="N22" i="2"/>
  <c r="M22" i="2"/>
  <c r="U32" i="2"/>
  <c r="L22" i="2"/>
  <c r="O22" i="2"/>
  <c r="V32" i="2"/>
  <c r="T32" i="2"/>
  <c r="W32" i="2"/>
  <c r="AG10" i="5"/>
  <c r="J33" i="5"/>
  <c r="W6" i="2"/>
  <c r="T6" i="2"/>
  <c r="U6" i="2"/>
  <c r="O4" i="2"/>
  <c r="M4" i="2"/>
  <c r="L4" i="2"/>
  <c r="N4" i="2"/>
  <c r="V6" i="2"/>
  <c r="AQ26" i="5"/>
  <c r="Z43" i="5"/>
  <c r="M11" i="2"/>
  <c r="W23" i="2"/>
  <c r="N11" i="2"/>
  <c r="O11" i="2"/>
  <c r="V23" i="2"/>
  <c r="L11" i="2"/>
  <c r="AO54" i="5"/>
  <c r="D16" i="2"/>
  <c r="D13" i="2"/>
  <c r="BB41" i="5"/>
  <c r="N16" i="2"/>
  <c r="T13" i="2"/>
  <c r="L16" i="2"/>
  <c r="W13" i="2"/>
  <c r="O16" i="2"/>
  <c r="U13" i="2"/>
  <c r="M16" i="2"/>
  <c r="V13" i="2"/>
  <c r="AE22" i="5"/>
  <c r="V31" i="5"/>
  <c r="D19" i="2"/>
  <c r="W19" i="2"/>
  <c r="L5" i="2"/>
  <c r="U19" i="2"/>
  <c r="T19" i="2"/>
  <c r="O5" i="2"/>
  <c r="V19" i="2"/>
  <c r="N5" i="2"/>
  <c r="M5" i="2"/>
  <c r="AM8" i="5"/>
  <c r="H39" i="5"/>
  <c r="N26" i="2"/>
  <c r="V30" i="2"/>
  <c r="O26" i="2"/>
  <c r="U30" i="2"/>
  <c r="T30" i="2"/>
  <c r="W30" i="2"/>
  <c r="M26" i="2"/>
  <c r="L26" i="2"/>
  <c r="O6" i="5"/>
  <c r="F15" i="5"/>
  <c r="D10" i="2"/>
  <c r="O15" i="2"/>
  <c r="W10" i="2"/>
  <c r="V10" i="2"/>
  <c r="U10" i="2"/>
  <c r="T10" i="2"/>
  <c r="L15" i="2"/>
  <c r="N15" i="2"/>
  <c r="M15" i="2"/>
  <c r="AK46" i="5"/>
  <c r="AT37" i="5"/>
  <c r="O20" i="2"/>
  <c r="N20" i="2"/>
  <c r="T9" i="2"/>
  <c r="V9" i="2"/>
  <c r="W9" i="2"/>
  <c r="M20" i="2"/>
  <c r="U9" i="2"/>
  <c r="L20" i="2"/>
  <c r="AC52" i="5"/>
  <c r="AZ29" i="5"/>
  <c r="S17" i="1"/>
  <c r="W31" i="2"/>
  <c r="U31" i="2"/>
  <c r="L27" i="2"/>
  <c r="N27" i="2"/>
  <c r="O27" i="2"/>
  <c r="M27" i="2"/>
  <c r="V31" i="2"/>
  <c r="T31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2" i="2"/>
  <c r="I22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9" i="2"/>
  <c r="I9" i="2" s="1"/>
  <c r="F20" i="2"/>
  <c r="G20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18" i="2"/>
  <c r="I18" i="2" s="1"/>
  <c r="BF13" i="4"/>
  <c r="M58" i="4"/>
  <c r="AT57" i="10"/>
  <c r="BE46" i="10"/>
  <c r="AT57" i="8"/>
  <c r="BE46" i="8"/>
  <c r="H11" i="2"/>
  <c r="I11" i="2" s="1"/>
  <c r="F23" i="2"/>
  <c r="G23" i="2" s="1"/>
  <c r="AR25" i="4"/>
  <c r="Y44" i="4"/>
  <c r="AP49" i="10"/>
  <c r="AW42" i="10"/>
  <c r="AP49" i="8"/>
  <c r="AW42" i="8"/>
  <c r="F24" i="2"/>
  <c r="G24" i="2" s="1"/>
  <c r="H20" i="2"/>
  <c r="I20" i="2" s="1"/>
  <c r="BM38" i="4"/>
  <c r="AL65" i="4"/>
  <c r="AS58" i="10"/>
  <c r="BF45" i="10"/>
  <c r="BF45" i="8"/>
  <c r="AS58" i="8"/>
  <c r="F11" i="2"/>
  <c r="G11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1" i="2"/>
  <c r="G21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9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6" i="2"/>
  <c r="G16" i="2" s="1"/>
  <c r="H13" i="2"/>
  <c r="I13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8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9" i="2"/>
  <c r="I19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2" i="2"/>
  <c r="G32" i="2" s="1"/>
  <c r="H16" i="2"/>
  <c r="I16" i="2" s="1"/>
  <c r="AP35" i="4"/>
  <c r="AI42" i="4"/>
  <c r="BD65" i="10"/>
  <c r="BM56" i="10"/>
  <c r="BM56" i="8"/>
  <c r="BD65" i="8"/>
  <c r="F28" i="2"/>
  <c r="G28" i="2" s="1"/>
  <c r="BC22" i="4"/>
  <c r="V55" i="4"/>
  <c r="AQ54" i="10"/>
  <c r="BB43" i="10"/>
  <c r="BB43" i="8"/>
  <c r="AQ54" i="8"/>
  <c r="F26" i="2"/>
  <c r="G26" i="2" s="1"/>
  <c r="H30" i="2"/>
  <c r="I30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6" i="2"/>
  <c r="I6" i="2" s="1"/>
  <c r="F4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3" i="2"/>
  <c r="I3" i="2" s="1"/>
  <c r="AZ63" i="10"/>
  <c r="BK52" i="10"/>
  <c r="BK52" i="8"/>
  <c r="AZ63" i="8"/>
  <c r="F13" i="2"/>
  <c r="G13" i="2" s="1"/>
  <c r="BA6" i="4"/>
  <c r="F53" i="4"/>
  <c r="BA52" i="10"/>
  <c r="AZ53" i="10"/>
  <c r="AZ53" i="8"/>
  <c r="BA52" i="8"/>
  <c r="F30" i="2"/>
  <c r="G30" i="2" s="1"/>
  <c r="G6" i="4"/>
  <c r="F7" i="4"/>
  <c r="S52" i="10"/>
  <c r="AZ19" i="10"/>
  <c r="AZ19" i="8"/>
  <c r="S52" i="8"/>
  <c r="H10" i="2"/>
  <c r="I10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6" i="2"/>
  <c r="G6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1" i="2"/>
  <c r="G31" i="2" s="1"/>
  <c r="H33" i="2"/>
  <c r="I33" i="2" s="1"/>
  <c r="AY14" i="4"/>
  <c r="N51" i="4"/>
  <c r="I18" i="10"/>
  <c r="R9" i="10"/>
  <c r="R9" i="8"/>
  <c r="I18" i="8"/>
  <c r="H12" i="2"/>
  <c r="I12" i="2" s="1"/>
  <c r="F17" i="2"/>
  <c r="G17" i="2" s="1"/>
  <c r="L17" i="2"/>
  <c r="O17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5" i="2"/>
  <c r="H25" i="2"/>
  <c r="I25" i="2" s="1"/>
  <c r="X13" i="5"/>
  <c r="M24" i="5"/>
  <c r="L33" i="2"/>
  <c r="F33" i="2"/>
  <c r="G33" i="2" s="1"/>
  <c r="D33" i="2"/>
  <c r="O33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14" i="2"/>
  <c r="I14" i="2" s="1"/>
  <c r="F3" i="2"/>
  <c r="G3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12" i="2"/>
  <c r="G12" i="2" s="1"/>
  <c r="H21" i="2"/>
  <c r="I21" i="2" s="1"/>
  <c r="BG66" i="10"/>
  <c r="BN59" i="10"/>
  <c r="BN59" i="8"/>
  <c r="BG66" i="8"/>
  <c r="T28" i="2"/>
  <c r="D5" i="2"/>
  <c r="H28" i="2"/>
  <c r="I28" i="2" s="1"/>
  <c r="BD31" i="5"/>
  <c r="AE56" i="5"/>
  <c r="D28" i="2"/>
  <c r="U28" i="2"/>
  <c r="BD31" i="4"/>
  <c r="AE56" i="4"/>
  <c r="F5" i="2"/>
  <c r="G5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7" i="2"/>
  <c r="I7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0" i="2"/>
  <c r="G10" i="2" s="1"/>
  <c r="E66" i="4"/>
  <c r="BN5" i="4"/>
  <c r="H24" i="2"/>
  <c r="I24" i="2" s="1"/>
  <c r="L10" i="2"/>
  <c r="M10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5" i="2"/>
  <c r="G25" i="2" s="1"/>
  <c r="AN23" i="4"/>
  <c r="W40" i="4"/>
  <c r="H15" i="10"/>
  <c r="O8" i="10"/>
  <c r="O8" i="8"/>
  <c r="H15" i="8"/>
  <c r="F29" i="2"/>
  <c r="G29" i="2" s="1"/>
  <c r="BG24" i="4"/>
  <c r="X59" i="4"/>
  <c r="E16" i="10"/>
  <c r="P5" i="10"/>
  <c r="P5" i="8"/>
  <c r="E16" i="8"/>
  <c r="H29" i="2"/>
  <c r="I29" i="2" s="1"/>
  <c r="BH13" i="4"/>
  <c r="M60" i="4"/>
  <c r="J21" i="10"/>
  <c r="U10" i="10"/>
  <c r="J21" i="8"/>
  <c r="U10" i="8"/>
  <c r="H17" i="2"/>
  <c r="I17" i="2" s="1"/>
  <c r="AB17" i="4"/>
  <c r="Q28" i="4"/>
  <c r="D2" i="2"/>
  <c r="F2" i="2"/>
  <c r="G2" i="2" s="1"/>
  <c r="L2" i="2"/>
  <c r="AB17" i="5"/>
  <c r="M2" i="2"/>
  <c r="Q28" i="5"/>
  <c r="D17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14" i="2"/>
  <c r="G14" i="2" s="1"/>
  <c r="H5" i="2"/>
  <c r="I5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18" i="2"/>
  <c r="G18" i="2" s="1"/>
  <c r="BE18" i="4"/>
  <c r="R57" i="4"/>
  <c r="AU44" i="10"/>
  <c r="AR47" i="10"/>
  <c r="AU44" i="8"/>
  <c r="AR47" i="8"/>
  <c r="D26" i="2"/>
  <c r="AS40" i="5"/>
  <c r="AN45" i="5"/>
  <c r="M9" i="2"/>
  <c r="F9" i="2"/>
  <c r="G9" i="2" s="1"/>
  <c r="H26" i="2"/>
  <c r="I26" i="2" s="1"/>
  <c r="D9" i="2"/>
  <c r="L9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8" i="2"/>
  <c r="F7" i="2"/>
  <c r="G7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2" i="2"/>
  <c r="G22" i="2" s="1"/>
  <c r="H32" i="2"/>
  <c r="I32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27" i="2"/>
  <c r="I27" i="2" s="1"/>
  <c r="K30" i="4"/>
  <c r="AD11" i="4"/>
  <c r="S58" i="10"/>
  <c r="BF19" i="10"/>
  <c r="BF19" i="8"/>
  <c r="S58" i="8"/>
  <c r="BD12" i="1"/>
  <c r="BD13" i="1"/>
  <c r="Z15" i="5"/>
  <c r="D23" i="2"/>
  <c r="O26" i="5"/>
  <c r="D15" i="2"/>
  <c r="CS10" i="2"/>
  <c r="F15" i="2"/>
  <c r="G15" i="2" s="1"/>
  <c r="CS9" i="2"/>
  <c r="Z15" i="4"/>
  <c r="U23" i="2"/>
  <c r="O26" i="4"/>
  <c r="H23" i="2"/>
  <c r="I23" i="2" s="1"/>
  <c r="T23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4" i="2"/>
  <c r="I4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15" i="2"/>
  <c r="I15" i="2" s="1"/>
  <c r="BG20" i="8"/>
  <c r="AE16" i="4"/>
  <c r="Y30" i="10"/>
  <c r="AD25" i="10"/>
  <c r="AD25" i="8"/>
  <c r="Y30" i="8"/>
  <c r="F27" i="2"/>
  <c r="G27" i="2" s="1"/>
  <c r="H31" i="2"/>
  <c r="I31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5" i="2"/>
  <c r="BU2" i="2"/>
  <c r="BU27" i="2"/>
  <c r="O991" i="1"/>
  <c r="AD991" i="1" s="1"/>
  <c r="BU25" i="2"/>
  <c r="BU7" i="2"/>
  <c r="BU28" i="2"/>
  <c r="BU29" i="2"/>
  <c r="BU31" i="2"/>
  <c r="BU16" i="2"/>
  <c r="BU8" i="2"/>
  <c r="BU15" i="2"/>
  <c r="BU22" i="2"/>
  <c r="BU4" i="2"/>
  <c r="BU30" i="2"/>
  <c r="BU12" i="2"/>
  <c r="BU32" i="2"/>
  <c r="BU33" i="2"/>
  <c r="BU6" i="2"/>
  <c r="BU10" i="2"/>
  <c r="BU18" i="2"/>
  <c r="BU21" i="2"/>
  <c r="BU20" i="2"/>
  <c r="BU23" i="2"/>
  <c r="BU26" i="2"/>
  <c r="BU9" i="2"/>
  <c r="BU13" i="2"/>
  <c r="BU14" i="2"/>
  <c r="BU24" i="2"/>
  <c r="BU3" i="2"/>
  <c r="BU11" i="2"/>
  <c r="BU19" i="2"/>
  <c r="O989" i="1"/>
  <c r="AD989" i="1" s="1"/>
  <c r="BU17" i="2"/>
  <c r="O984" i="1"/>
  <c r="AD984" i="1" s="1"/>
  <c r="BT20" i="2"/>
  <c r="O953" i="1"/>
  <c r="AD953" i="1" s="1"/>
  <c r="BT23" i="2"/>
  <c r="BT17" i="2"/>
  <c r="O977" i="1"/>
  <c r="AD977" i="1" s="1"/>
  <c r="BT12" i="2"/>
  <c r="BT25" i="2"/>
  <c r="BT5" i="2"/>
  <c r="BT2" i="2"/>
  <c r="BT32" i="2"/>
  <c r="BT29" i="2"/>
  <c r="BT27" i="2"/>
  <c r="BT16" i="2"/>
  <c r="BT6" i="2"/>
  <c r="BT24" i="2"/>
  <c r="BT9" i="2"/>
  <c r="BT33" i="2"/>
  <c r="BT8" i="2"/>
  <c r="BT26" i="2"/>
  <c r="BT30" i="2"/>
  <c r="BT14" i="2"/>
  <c r="BT31" i="2"/>
  <c r="BT28" i="2"/>
  <c r="BT10" i="2"/>
  <c r="BT22" i="2"/>
  <c r="BT13" i="2"/>
  <c r="BT3" i="2"/>
  <c r="BT4" i="2"/>
  <c r="BT15" i="2"/>
  <c r="BT7" i="2"/>
  <c r="BT18" i="2"/>
  <c r="BT11" i="2"/>
  <c r="BT19" i="2"/>
  <c r="BT21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AC1053" i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158" i="1"/>
  <c r="AD1047" i="1"/>
  <c r="AD1030" i="1"/>
  <c r="AD1301" i="1"/>
  <c r="AD1285" i="1"/>
  <c r="AD1269" i="1"/>
  <c r="AD1253" i="1"/>
  <c r="AD1237" i="1"/>
  <c r="AD1221" i="1"/>
  <c r="AD1205" i="1"/>
  <c r="AD1189" i="1"/>
  <c r="AD1173" i="1"/>
  <c r="AD1157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50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041" i="1"/>
  <c r="AD1312" i="1"/>
  <c r="AD1296" i="1"/>
  <c r="AD1264" i="1"/>
  <c r="AD1232" i="1"/>
  <c r="AD1088" i="1"/>
  <c r="AD800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07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1034" i="1"/>
  <c r="AD986" i="1"/>
  <c r="AD859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039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38" i="1"/>
  <c r="AC874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190" i="1"/>
  <c r="AC1305" i="1"/>
  <c r="AC1287" i="1"/>
  <c r="AC1269" i="1"/>
  <c r="AC1233" i="1"/>
  <c r="AC1313" i="1"/>
  <c r="AC1283" i="1"/>
  <c r="AC1253" i="1"/>
  <c r="AC1223" i="1"/>
  <c r="AC1157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47" i="1"/>
  <c r="AC1034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14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212" i="1"/>
  <c r="AC1176" i="1"/>
  <c r="AC1170" i="1"/>
  <c r="AC1158" i="1"/>
  <c r="AC1092" i="1"/>
  <c r="AC1299" i="1"/>
  <c r="AC1281" i="1"/>
  <c r="AC1263" i="1"/>
  <c r="AC1245" i="1"/>
  <c r="AC1209" i="1"/>
  <c r="AC1189" i="1"/>
  <c r="AC758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8" i="2"/>
  <c r="BG31" i="2"/>
  <c r="BE31" i="2"/>
  <c r="BF20" i="2"/>
  <c r="BE29" i="2"/>
  <c r="BA21" i="2"/>
  <c r="BG10" i="2"/>
  <c r="BA24" i="2"/>
  <c r="BF18" i="2"/>
  <c r="BG14" i="2"/>
  <c r="BE24" i="2"/>
  <c r="BF28" i="2"/>
  <c r="BG13" i="2"/>
  <c r="BA20" i="2"/>
  <c r="BA12" i="2"/>
  <c r="BG29" i="2"/>
  <c r="BE28" i="2"/>
  <c r="BF7" i="2"/>
  <c r="BA33" i="2"/>
  <c r="BA22" i="2"/>
  <c r="BF6" i="2"/>
  <c r="BA14" i="2"/>
  <c r="BF11" i="2"/>
  <c r="BG32" i="2"/>
  <c r="BA17" i="2"/>
  <c r="BF5" i="2"/>
  <c r="BG25" i="2"/>
  <c r="BE19" i="2"/>
  <c r="BA15" i="2"/>
  <c r="BG18" i="2"/>
  <c r="BG9" i="2"/>
  <c r="BG4" i="2"/>
  <c r="BE27" i="2"/>
  <c r="BA23" i="2"/>
  <c r="BF25" i="2"/>
  <c r="BF33" i="2"/>
  <c r="BG30" i="2"/>
  <c r="BA25" i="2"/>
  <c r="BE33" i="2"/>
  <c r="BA9" i="2"/>
  <c r="BA16" i="2"/>
  <c r="BF4" i="2"/>
  <c r="BE23" i="2"/>
  <c r="BG2" i="2"/>
  <c r="BE2" i="2"/>
  <c r="BA10" i="2"/>
  <c r="BF12" i="2"/>
  <c r="BG8" i="2"/>
  <c r="BE12" i="2"/>
  <c r="BA29" i="2"/>
  <c r="BF9" i="2"/>
  <c r="BA11" i="2"/>
  <c r="BA26" i="2"/>
  <c r="BE30" i="2"/>
  <c r="BE20" i="2"/>
  <c r="BA32" i="2"/>
  <c r="BF23" i="2"/>
  <c r="BA19" i="2"/>
  <c r="BE7" i="2"/>
  <c r="BE22" i="2"/>
  <c r="BA6" i="2"/>
  <c r="BE13" i="2"/>
  <c r="BF24" i="2"/>
  <c r="BA31" i="2"/>
  <c r="BF21" i="2"/>
  <c r="BE9" i="2"/>
  <c r="BE26" i="2"/>
  <c r="BG5" i="2"/>
  <c r="BF27" i="2"/>
  <c r="BE10" i="2"/>
  <c r="BF29" i="2"/>
  <c r="BE18" i="2"/>
  <c r="BA28" i="2"/>
  <c r="BF13" i="2"/>
  <c r="BE21" i="2"/>
  <c r="BE14" i="2"/>
  <c r="BG26" i="2"/>
  <c r="BE4" i="2"/>
  <c r="BE17" i="2"/>
  <c r="BG19" i="2"/>
  <c r="BA7" i="2"/>
  <c r="BA2" i="2"/>
  <c r="BE15" i="2"/>
  <c r="BG6" i="2"/>
  <c r="BF30" i="2"/>
  <c r="BG24" i="2"/>
  <c r="BE11" i="2"/>
  <c r="BG16" i="2"/>
  <c r="BG17" i="2"/>
  <c r="BG15" i="2"/>
  <c r="BG22" i="2"/>
  <c r="BE6" i="2"/>
  <c r="BA30" i="2"/>
  <c r="BA8" i="2"/>
  <c r="BE8" i="2"/>
  <c r="BA18" i="2"/>
  <c r="BE16" i="2"/>
  <c r="BE32" i="2"/>
  <c r="BE5" i="2"/>
  <c r="BG27" i="2"/>
  <c r="BA13" i="2"/>
  <c r="BG11" i="2"/>
  <c r="BA27" i="2"/>
  <c r="BE25" i="2"/>
  <c r="BF19" i="2"/>
  <c r="BG7" i="2"/>
  <c r="BF10" i="2"/>
  <c r="BF8" i="2"/>
  <c r="BG12" i="2"/>
  <c r="BF31" i="2"/>
  <c r="BG21" i="2"/>
  <c r="BF26" i="2"/>
  <c r="BG20" i="2"/>
  <c r="BF17" i="2"/>
  <c r="BG23" i="2"/>
  <c r="BF15" i="2"/>
  <c r="BG33" i="2"/>
  <c r="BF16" i="2"/>
  <c r="BF2" i="2"/>
  <c r="BA4" i="2"/>
  <c r="BF14" i="2"/>
  <c r="BF32" i="2"/>
  <c r="BA5" i="2"/>
  <c r="BF22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C1168" i="1" l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1" i="2"/>
  <c r="S21" i="2"/>
  <c r="Q21" i="2"/>
  <c r="AC1142" i="1"/>
  <c r="AD961" i="1"/>
  <c r="Z4" i="2"/>
  <c r="Y4" i="2"/>
  <c r="AA4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18" i="2"/>
  <c r="Z18" i="2"/>
  <c r="AA18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3" i="2"/>
  <c r="Z3" i="2"/>
  <c r="Y3" i="2"/>
  <c r="Q6" i="2"/>
  <c r="R6" i="2"/>
  <c r="S6" i="2"/>
  <c r="AA7" i="2"/>
  <c r="Z7" i="2"/>
  <c r="Y7" i="2"/>
  <c r="R25" i="2"/>
  <c r="Q25" i="2"/>
  <c r="S25" i="2"/>
  <c r="S14" i="2"/>
  <c r="R14" i="2"/>
  <c r="Q14" i="2"/>
  <c r="Y5" i="2"/>
  <c r="AA5" i="2"/>
  <c r="Z5" i="2"/>
  <c r="AD1133" i="1"/>
  <c r="AC1119" i="1"/>
  <c r="AD933" i="1"/>
  <c r="AC1135" i="1"/>
  <c r="AC1066" i="1"/>
  <c r="Z12" i="2"/>
  <c r="AA12" i="2"/>
  <c r="Y12" i="2"/>
  <c r="AC1094" i="1"/>
  <c r="AD902" i="1"/>
  <c r="AD747" i="1"/>
  <c r="R9" i="2"/>
  <c r="Q9" i="2"/>
  <c r="S9" i="2"/>
  <c r="AC1148" i="1"/>
  <c r="AC1162" i="1"/>
  <c r="Z17" i="2"/>
  <c r="AA17" i="2"/>
  <c r="Y17" i="2"/>
  <c r="S10" i="2"/>
  <c r="AA24" i="2"/>
  <c r="Y24" i="2"/>
  <c r="Z24" i="2"/>
  <c r="Q10" i="2"/>
  <c r="R10" i="2"/>
  <c r="Z22" i="2"/>
  <c r="AA22" i="2"/>
  <c r="Y22" i="2"/>
  <c r="R23" i="2"/>
  <c r="AA11" i="2"/>
  <c r="Z11" i="2"/>
  <c r="S23" i="2"/>
  <c r="Y11" i="2"/>
  <c r="Q23" i="2"/>
  <c r="AA28" i="2"/>
  <c r="Y28" i="2"/>
  <c r="Q19" i="2"/>
  <c r="Z28" i="2"/>
  <c r="S19" i="2"/>
  <c r="R19" i="2"/>
  <c r="R8" i="2"/>
  <c r="S8" i="2"/>
  <c r="Q8" i="2"/>
  <c r="R32" i="2"/>
  <c r="Y16" i="2"/>
  <c r="Q32" i="2"/>
  <c r="AA16" i="2"/>
  <c r="Z16" i="2"/>
  <c r="S32" i="2"/>
  <c r="Q13" i="2"/>
  <c r="R13" i="2"/>
  <c r="S13" i="2"/>
  <c r="Q2" i="2"/>
  <c r="R2" i="2"/>
  <c r="S2" i="2"/>
  <c r="Y26" i="2"/>
  <c r="Z26" i="2"/>
  <c r="AA26" i="2"/>
  <c r="Z25" i="2"/>
  <c r="R29" i="2"/>
  <c r="AA25" i="2"/>
  <c r="S29" i="2"/>
  <c r="Q29" i="2"/>
  <c r="Y25" i="2"/>
  <c r="AA27" i="2"/>
  <c r="Z27" i="2"/>
  <c r="Y27" i="2"/>
  <c r="S24" i="2"/>
  <c r="Y20" i="2"/>
  <c r="Z20" i="2"/>
  <c r="Q24" i="2"/>
  <c r="AA20" i="2"/>
  <c r="R24" i="2"/>
  <c r="Q30" i="2"/>
  <c r="S30" i="2"/>
  <c r="R30" i="2"/>
  <c r="Z15" i="2"/>
  <c r="Y15" i="2"/>
  <c r="AA15" i="2"/>
  <c r="R28" i="2"/>
  <c r="Q28" i="2"/>
  <c r="S28" i="2"/>
  <c r="R31" i="2"/>
  <c r="AA33" i="2"/>
  <c r="Q31" i="2"/>
  <c r="S31" i="2"/>
  <c r="Y33" i="2"/>
  <c r="Z33" i="2"/>
  <c r="Q17" i="2"/>
  <c r="R17" i="2"/>
  <c r="S17" i="2"/>
  <c r="J69" i="7"/>
  <c r="Y8" i="6"/>
  <c r="J28" i="7"/>
  <c r="AA21" i="2"/>
  <c r="S12" i="2"/>
  <c r="Q12" i="2"/>
  <c r="Z21" i="2"/>
  <c r="Y21" i="2"/>
  <c r="R12" i="2"/>
  <c r="J26" i="7"/>
  <c r="B8" i="6"/>
  <c r="J67" i="7"/>
  <c r="S3" i="2"/>
  <c r="Z14" i="2"/>
  <c r="R3" i="2"/>
  <c r="AA14" i="2"/>
  <c r="Q3" i="2"/>
  <c r="Y14" i="2"/>
  <c r="AD8" i="6"/>
  <c r="J32" i="7"/>
  <c r="J63" i="7"/>
  <c r="Q33" i="2"/>
  <c r="Y29" i="2"/>
  <c r="Z29" i="2"/>
  <c r="S33" i="2"/>
  <c r="AA29" i="2"/>
  <c r="R33" i="2"/>
  <c r="Z2" i="2"/>
  <c r="AA2" i="2"/>
  <c r="Q18" i="2"/>
  <c r="Y2" i="2"/>
  <c r="S18" i="2"/>
  <c r="R18" i="2"/>
  <c r="J22" i="7"/>
  <c r="AC8" i="6"/>
  <c r="J58" i="7"/>
  <c r="J55" i="7"/>
  <c r="J20" i="7"/>
  <c r="AF8" i="6"/>
  <c r="J8" i="6"/>
  <c r="J56" i="7"/>
  <c r="J19" i="7"/>
  <c r="Y8" i="2"/>
  <c r="Z8" i="2"/>
  <c r="AA8" i="2"/>
  <c r="S7" i="2"/>
  <c r="Q7" i="2"/>
  <c r="R7" i="2"/>
  <c r="R22" i="2"/>
  <c r="Q22" i="2"/>
  <c r="Z32" i="2"/>
  <c r="Y32" i="2"/>
  <c r="AA32" i="2"/>
  <c r="S22" i="2"/>
  <c r="Z6" i="2"/>
  <c r="R4" i="2"/>
  <c r="AA6" i="2"/>
  <c r="Y6" i="2"/>
  <c r="S4" i="2"/>
  <c r="Q4" i="2"/>
  <c r="S11" i="2"/>
  <c r="Q11" i="2"/>
  <c r="AA23" i="2"/>
  <c r="R11" i="2"/>
  <c r="Y23" i="2"/>
  <c r="Z23" i="2"/>
  <c r="Z13" i="2"/>
  <c r="Q16" i="2"/>
  <c r="AA13" i="2"/>
  <c r="Y13" i="2"/>
  <c r="R16" i="2"/>
  <c r="S16" i="2"/>
  <c r="Y19" i="2"/>
  <c r="R5" i="2"/>
  <c r="Q5" i="2"/>
  <c r="AA19" i="2"/>
  <c r="Z19" i="2"/>
  <c r="S5" i="2"/>
  <c r="AA30" i="2"/>
  <c r="Q26" i="2"/>
  <c r="Y30" i="2"/>
  <c r="S26" i="2"/>
  <c r="R26" i="2"/>
  <c r="Z30" i="2"/>
  <c r="AD10" i="1"/>
  <c r="BD22" i="1"/>
  <c r="Q15" i="2"/>
  <c r="R15" i="2"/>
  <c r="AA10" i="2"/>
  <c r="Z10" i="2"/>
  <c r="S15" i="2"/>
  <c r="Y10" i="2"/>
  <c r="AA9" i="2"/>
  <c r="Q20" i="2"/>
  <c r="Z9" i="2"/>
  <c r="Y9" i="2"/>
  <c r="S20" i="2"/>
  <c r="R20" i="2"/>
  <c r="AD17" i="1"/>
  <c r="BM6" i="1"/>
  <c r="BM7" i="1"/>
  <c r="Y31" i="2"/>
  <c r="Z31" i="2"/>
  <c r="S27" i="2"/>
  <c r="R27" i="2"/>
  <c r="AA31" i="2"/>
  <c r="Q27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2" i="7"/>
  <c r="O32" i="7"/>
  <c r="M32" i="7"/>
  <c r="AX32" i="7"/>
  <c r="EP32" i="7"/>
  <c r="BE32" i="7"/>
  <c r="EW32" i="7"/>
  <c r="BF32" i="7"/>
  <c r="EX32" i="7"/>
  <c r="BG32" i="7"/>
  <c r="CF32" i="7"/>
  <c r="FX32" i="7"/>
  <c r="CM32" i="7"/>
  <c r="GE32" i="7"/>
  <c r="FW32" i="7"/>
  <c r="BD32" i="7"/>
  <c r="EV32" i="7"/>
  <c r="BK32" i="7"/>
  <c r="FC32" i="7"/>
  <c r="BL32" i="7"/>
  <c r="FD32" i="7"/>
  <c r="BM32" i="7"/>
  <c r="CL32" i="7"/>
  <c r="GD32" i="7"/>
  <c r="CS32" i="7"/>
  <c r="GK32" i="7"/>
  <c r="DI32" i="7"/>
  <c r="BJ32" i="7"/>
  <c r="FB32" i="7"/>
  <c r="BQ32" i="7"/>
  <c r="FI32" i="7"/>
  <c r="BR32" i="7"/>
  <c r="FJ32" i="7"/>
  <c r="BS32" i="7"/>
  <c r="CR32" i="7"/>
  <c r="GJ32" i="7"/>
  <c r="CY32" i="7"/>
  <c r="GQ32" i="7"/>
  <c r="ES32" i="7"/>
  <c r="BP32" i="7"/>
  <c r="FH32" i="7"/>
  <c r="BW32" i="7"/>
  <c r="FO32" i="7"/>
  <c r="BX32" i="7"/>
  <c r="FP32" i="7"/>
  <c r="BY32" i="7"/>
  <c r="CX32" i="7"/>
  <c r="GP32" i="7"/>
  <c r="DE32" i="7"/>
  <c r="CK32" i="7"/>
  <c r="GC32" i="7"/>
  <c r="BV32" i="7"/>
  <c r="FN32" i="7"/>
  <c r="CC32" i="7"/>
  <c r="FU32" i="7"/>
  <c r="CD32" i="7"/>
  <c r="FV32" i="7"/>
  <c r="CE32" i="7"/>
  <c r="DD32" i="7"/>
  <c r="S32" i="7"/>
  <c r="DK32" i="7"/>
  <c r="DU32" i="7"/>
  <c r="DO32" i="7"/>
  <c r="CB32" i="7"/>
  <c r="FT32" i="7"/>
  <c r="CI32" i="7"/>
  <c r="GA32" i="7"/>
  <c r="CJ32" i="7"/>
  <c r="GB32" i="7"/>
  <c r="R32" i="7"/>
  <c r="DJ32" i="7"/>
  <c r="Y32" i="7"/>
  <c r="DQ32" i="7"/>
  <c r="FE32" i="7"/>
  <c r="EY32" i="7"/>
  <c r="CH32" i="7"/>
  <c r="FZ32" i="7"/>
  <c r="CO32" i="7"/>
  <c r="GG32" i="7"/>
  <c r="CP32" i="7"/>
  <c r="GH32" i="7"/>
  <c r="X32" i="7"/>
  <c r="DP32" i="7"/>
  <c r="AE32" i="7"/>
  <c r="DW32" i="7"/>
  <c r="GO32" i="7"/>
  <c r="GI32" i="7"/>
  <c r="CN32" i="7"/>
  <c r="GF32" i="7"/>
  <c r="CU32" i="7"/>
  <c r="GM32" i="7"/>
  <c r="CV32" i="7"/>
  <c r="GN32" i="7"/>
  <c r="AD32" i="7"/>
  <c r="DV32" i="7"/>
  <c r="AK32" i="7"/>
  <c r="EC32" i="7"/>
  <c r="CQ32" i="7"/>
  <c r="CT32" i="7"/>
  <c r="GL32" i="7"/>
  <c r="DA32" i="7"/>
  <c r="GS32" i="7"/>
  <c r="DB32" i="7"/>
  <c r="GT32" i="7"/>
  <c r="AJ32" i="7"/>
  <c r="EB32" i="7"/>
  <c r="AQ32" i="7"/>
  <c r="EI32" i="7"/>
  <c r="EA32" i="7"/>
  <c r="CZ32" i="7"/>
  <c r="GR32" i="7"/>
  <c r="DG32" i="7"/>
  <c r="P32" i="7"/>
  <c r="DH32" i="7"/>
  <c r="Q32" i="7"/>
  <c r="AP32" i="7"/>
  <c r="EH32" i="7"/>
  <c r="AW32" i="7"/>
  <c r="EO32" i="7"/>
  <c r="FK32" i="7"/>
  <c r="DF32" i="7"/>
  <c r="U32" i="7"/>
  <c r="DM32" i="7"/>
  <c r="V32" i="7"/>
  <c r="DN32" i="7"/>
  <c r="W32" i="7"/>
  <c r="AV32" i="7"/>
  <c r="EN32" i="7"/>
  <c r="BC32" i="7"/>
  <c r="EU32" i="7"/>
  <c r="GU32" i="7"/>
  <c r="T32" i="7"/>
  <c r="DL32" i="7"/>
  <c r="AA32" i="7"/>
  <c r="DS32" i="7"/>
  <c r="AB32" i="7"/>
  <c r="DT32" i="7"/>
  <c r="AC32" i="7"/>
  <c r="BB32" i="7"/>
  <c r="ET32" i="7"/>
  <c r="BI32" i="7"/>
  <c r="FA32" i="7"/>
  <c r="CW32" i="7"/>
  <c r="Z32" i="7"/>
  <c r="DR32" i="7"/>
  <c r="AG32" i="7"/>
  <c r="DY32" i="7"/>
  <c r="AH32" i="7"/>
  <c r="DZ32" i="7"/>
  <c r="AI32" i="7"/>
  <c r="BH32" i="7"/>
  <c r="EZ32" i="7"/>
  <c r="BO32" i="7"/>
  <c r="FG32" i="7"/>
  <c r="EG32" i="7"/>
  <c r="AF32" i="7"/>
  <c r="DX32" i="7"/>
  <c r="AM32" i="7"/>
  <c r="EE32" i="7"/>
  <c r="AN32" i="7"/>
  <c r="EF32" i="7"/>
  <c r="AO32" i="7"/>
  <c r="BN32" i="7"/>
  <c r="FF32" i="7"/>
  <c r="BU32" i="7"/>
  <c r="FM32" i="7"/>
  <c r="FQ32" i="7"/>
  <c r="AL32" i="7"/>
  <c r="ED32" i="7"/>
  <c r="AS32" i="7"/>
  <c r="EK32" i="7"/>
  <c r="AT32" i="7"/>
  <c r="EL32" i="7"/>
  <c r="AU32" i="7"/>
  <c r="BT32" i="7"/>
  <c r="FL32" i="7"/>
  <c r="CA32" i="7"/>
  <c r="FS32" i="7"/>
  <c r="DC32" i="7"/>
  <c r="AR32" i="7"/>
  <c r="EJ32" i="7"/>
  <c r="AY32" i="7"/>
  <c r="EQ32" i="7"/>
  <c r="AZ32" i="7"/>
  <c r="ER32" i="7"/>
  <c r="BA32" i="7"/>
  <c r="BZ32" i="7"/>
  <c r="FR32" i="7"/>
  <c r="CG32" i="7"/>
  <c r="FY32" i="7"/>
  <c r="EM32" i="7"/>
  <c r="H41" i="7"/>
  <c r="H8" i="7"/>
  <c r="I8" i="7"/>
  <c r="J41" i="7"/>
  <c r="I41" i="7"/>
  <c r="L41" i="7"/>
  <c r="M41" i="7"/>
  <c r="K41" i="7"/>
  <c r="J8" i="7"/>
  <c r="L8" i="7"/>
  <c r="K8" i="7"/>
  <c r="M8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29" i="7"/>
  <c r="J64" i="7"/>
  <c r="N64" i="7"/>
  <c r="L64" i="7"/>
  <c r="K64" i="7"/>
  <c r="J29" i="7"/>
  <c r="L29" i="7"/>
  <c r="N29" i="7"/>
  <c r="M29" i="7"/>
  <c r="I50" i="7"/>
  <c r="H50" i="7"/>
  <c r="I15" i="7"/>
  <c r="H15" i="7"/>
  <c r="AC844" i="1"/>
  <c r="AC1096" i="1"/>
  <c r="P69" i="7"/>
  <c r="Q69" i="7"/>
  <c r="R69" i="7"/>
  <c r="L69" i="7"/>
  <c r="K69" i="7"/>
  <c r="O69" i="7"/>
  <c r="M69" i="7"/>
  <c r="N69" i="7"/>
  <c r="N28" i="7"/>
  <c r="K28" i="7"/>
  <c r="L28" i="7"/>
  <c r="M28" i="7"/>
  <c r="O28" i="7"/>
  <c r="P28" i="7"/>
  <c r="Q28" i="7"/>
  <c r="R28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3" i="7"/>
  <c r="FC3" i="7"/>
  <c r="O3" i="7"/>
  <c r="DG3" i="7"/>
  <c r="AS3" i="7"/>
  <c r="EW3" i="7"/>
  <c r="BF3" i="7"/>
  <c r="EX3" i="7"/>
  <c r="BA3" i="7"/>
  <c r="ES3" i="7"/>
  <c r="AX3" i="7"/>
  <c r="EP3" i="7"/>
  <c r="DP3" i="7"/>
  <c r="R3" i="7"/>
  <c r="DE3" i="7"/>
  <c r="ET3" i="7"/>
  <c r="AY3" i="7"/>
  <c r="FI3" i="7"/>
  <c r="BL3" i="7"/>
  <c r="FD3" i="7"/>
  <c r="BG3" i="7"/>
  <c r="EY3" i="7"/>
  <c r="BD3" i="7"/>
  <c r="EV3" i="7"/>
  <c r="EH3" i="7"/>
  <c r="AJ3" i="7"/>
  <c r="DW3" i="7"/>
  <c r="AQ3" i="7"/>
  <c r="BE3" i="7"/>
  <c r="FO3" i="7"/>
  <c r="BR3" i="7"/>
  <c r="FJ3" i="7"/>
  <c r="BM3" i="7"/>
  <c r="FE3" i="7"/>
  <c r="BJ3" i="7"/>
  <c r="FB3" i="7"/>
  <c r="EZ3" i="7"/>
  <c r="BB3" i="7"/>
  <c r="EO3" i="7"/>
  <c r="CS3" i="7"/>
  <c r="BQ3" i="7"/>
  <c r="FU3" i="7"/>
  <c r="BX3" i="7"/>
  <c r="FP3" i="7"/>
  <c r="BS3" i="7"/>
  <c r="FK3" i="7"/>
  <c r="BP3" i="7"/>
  <c r="FH3" i="7"/>
  <c r="FR3" i="7"/>
  <c r="BT3" i="7"/>
  <c r="FG3" i="7"/>
  <c r="EU3" i="7"/>
  <c r="BW3" i="7"/>
  <c r="GA3" i="7"/>
  <c r="CD3" i="7"/>
  <c r="FV3" i="7"/>
  <c r="BY3" i="7"/>
  <c r="FQ3" i="7"/>
  <c r="BV3" i="7"/>
  <c r="FN3" i="7"/>
  <c r="GJ3" i="7"/>
  <c r="CL3" i="7"/>
  <c r="FY3" i="7"/>
  <c r="BH3" i="7"/>
  <c r="CC3" i="7"/>
  <c r="GG3" i="7"/>
  <c r="CJ3" i="7"/>
  <c r="GB3" i="7"/>
  <c r="CE3" i="7"/>
  <c r="FW3" i="7"/>
  <c r="CB3" i="7"/>
  <c r="FT3" i="7"/>
  <c r="M3" i="7"/>
  <c r="DD3" i="7"/>
  <c r="GQ3" i="7"/>
  <c r="DJ3" i="7"/>
  <c r="CI3" i="7"/>
  <c r="GM3" i="7"/>
  <c r="CP3" i="7"/>
  <c r="GH3" i="7"/>
  <c r="CK3" i="7"/>
  <c r="GC3" i="7"/>
  <c r="CH3" i="7"/>
  <c r="FZ3" i="7"/>
  <c r="AE3" i="7"/>
  <c r="DV3" i="7"/>
  <c r="X3" i="7"/>
  <c r="FL3" i="7"/>
  <c r="CO3" i="7"/>
  <c r="GS3" i="7"/>
  <c r="CV3" i="7"/>
  <c r="GN3" i="7"/>
  <c r="CQ3" i="7"/>
  <c r="GI3" i="7"/>
  <c r="CN3" i="7"/>
  <c r="GF3" i="7"/>
  <c r="AW3" i="7"/>
  <c r="EN3" i="7"/>
  <c r="BZ3" i="7"/>
  <c r="BI3" i="7"/>
  <c r="CU3" i="7"/>
  <c r="J3" i="7"/>
  <c r="DB3" i="7"/>
  <c r="GT3" i="7"/>
  <c r="CW3" i="7"/>
  <c r="GO3" i="7"/>
  <c r="CT3" i="7"/>
  <c r="GL3" i="7"/>
  <c r="BO3" i="7"/>
  <c r="FF3" i="7"/>
  <c r="EB3" i="7"/>
  <c r="DK3" i="7"/>
  <c r="DA3" i="7"/>
  <c r="P3" i="7"/>
  <c r="DH3" i="7"/>
  <c r="K3" i="7"/>
  <c r="DC3" i="7"/>
  <c r="GU3" i="7"/>
  <c r="CZ3" i="7"/>
  <c r="GR3" i="7"/>
  <c r="CG3" i="7"/>
  <c r="FX3" i="7"/>
  <c r="GD3" i="7"/>
  <c r="FM3" i="7"/>
  <c r="DM3" i="7"/>
  <c r="V3" i="7"/>
  <c r="DN3" i="7"/>
  <c r="Q3" i="7"/>
  <c r="DI3" i="7"/>
  <c r="N3" i="7"/>
  <c r="DF3" i="7"/>
  <c r="L3" i="7"/>
  <c r="CY3" i="7"/>
  <c r="GP3" i="7"/>
  <c r="Y3" i="7"/>
  <c r="I3" i="7"/>
  <c r="DS3" i="7"/>
  <c r="AB3" i="7"/>
  <c r="DT3" i="7"/>
  <c r="W3" i="7"/>
  <c r="DO3" i="7"/>
  <c r="T3" i="7"/>
  <c r="DL3" i="7"/>
  <c r="AD3" i="7"/>
  <c r="DQ3" i="7"/>
  <c r="S3" i="7"/>
  <c r="CA3" i="7"/>
  <c r="U3" i="7"/>
  <c r="DY3" i="7"/>
  <c r="AH3" i="7"/>
  <c r="DZ3" i="7"/>
  <c r="AC3" i="7"/>
  <c r="DU3" i="7"/>
  <c r="Z3" i="7"/>
  <c r="DR3" i="7"/>
  <c r="AV3" i="7"/>
  <c r="EI3" i="7"/>
  <c r="AK3" i="7"/>
  <c r="EC3" i="7"/>
  <c r="AA3" i="7"/>
  <c r="EE3" i="7"/>
  <c r="AN3" i="7"/>
  <c r="EF3" i="7"/>
  <c r="AI3" i="7"/>
  <c r="EA3" i="7"/>
  <c r="AF3" i="7"/>
  <c r="DX3" i="7"/>
  <c r="BN3" i="7"/>
  <c r="FA3" i="7"/>
  <c r="BC3" i="7"/>
  <c r="GE3" i="7"/>
  <c r="AG3" i="7"/>
  <c r="EK3" i="7"/>
  <c r="AT3" i="7"/>
  <c r="EL3" i="7"/>
  <c r="AO3" i="7"/>
  <c r="EG3" i="7"/>
  <c r="AL3" i="7"/>
  <c r="ED3" i="7"/>
  <c r="CF3" i="7"/>
  <c r="FS3" i="7"/>
  <c r="BU3" i="7"/>
  <c r="AP3" i="7"/>
  <c r="AM3" i="7"/>
  <c r="EQ3" i="7"/>
  <c r="AZ3" i="7"/>
  <c r="ER3" i="7"/>
  <c r="AU3" i="7"/>
  <c r="EM3" i="7"/>
  <c r="AR3" i="7"/>
  <c r="EJ3" i="7"/>
  <c r="CX3" i="7"/>
  <c r="GK3" i="7"/>
  <c r="CM3" i="7"/>
  <c r="CR3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31" i="7"/>
  <c r="K31" i="7"/>
  <c r="N65" i="7"/>
  <c r="M65" i="7"/>
  <c r="L65" i="7"/>
  <c r="J65" i="7"/>
  <c r="K65" i="7"/>
  <c r="J31" i="7"/>
  <c r="L31" i="7"/>
  <c r="N31" i="7"/>
  <c r="M31" i="7"/>
  <c r="I40" i="7"/>
  <c r="I7" i="7"/>
  <c r="J40" i="7"/>
  <c r="K40" i="7"/>
  <c r="J7" i="7"/>
  <c r="K7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6" i="7"/>
  <c r="EN6" i="7"/>
  <c r="DC6" i="7"/>
  <c r="V6" i="7"/>
  <c r="EG6" i="7"/>
  <c r="AZ6" i="7"/>
  <c r="FJ6" i="7"/>
  <c r="CD6" i="7"/>
  <c r="GI6" i="7"/>
  <c r="DH6" i="7"/>
  <c r="AA6" i="7"/>
  <c r="EL6" i="7"/>
  <c r="BB6" i="7"/>
  <c r="ET6" i="7"/>
  <c r="DK6" i="7"/>
  <c r="AC6" i="7"/>
  <c r="EO6" i="7"/>
  <c r="BG6" i="7"/>
  <c r="FP6" i="7"/>
  <c r="CK6" i="7"/>
  <c r="GO6" i="7"/>
  <c r="DO6" i="7"/>
  <c r="AH6" i="7"/>
  <c r="ES6" i="7"/>
  <c r="BH6" i="7"/>
  <c r="EZ6" i="7"/>
  <c r="DR6" i="7"/>
  <c r="AK6" i="7"/>
  <c r="EV6" i="7"/>
  <c r="BO6" i="7"/>
  <c r="FV6" i="7"/>
  <c r="CS6" i="7"/>
  <c r="GU6" i="7"/>
  <c r="DW6" i="7"/>
  <c r="AO6" i="7"/>
  <c r="FA6" i="7"/>
  <c r="BN6" i="7"/>
  <c r="N6" i="7"/>
  <c r="DY6" i="7"/>
  <c r="AR6" i="7"/>
  <c r="FC6" i="7"/>
  <c r="BV6" i="7"/>
  <c r="GB6" i="7"/>
  <c r="CZ6" i="7"/>
  <c r="S6" i="7"/>
  <c r="ED6" i="7"/>
  <c r="AW6" i="7"/>
  <c r="FG6" i="7"/>
  <c r="BT6" i="7"/>
  <c r="U6" i="7"/>
  <c r="EF6" i="7"/>
  <c r="AY6" i="7"/>
  <c r="FI6" i="7"/>
  <c r="CC6" i="7"/>
  <c r="GH6" i="7"/>
  <c r="DG6" i="7"/>
  <c r="Z6" i="7"/>
  <c r="EK6" i="7"/>
  <c r="BD6" i="7"/>
  <c r="FM6" i="7"/>
  <c r="BZ6" i="7"/>
  <c r="AB6" i="7"/>
  <c r="EM6" i="7"/>
  <c r="BF6" i="7"/>
  <c r="FO6" i="7"/>
  <c r="CJ6" i="7"/>
  <c r="GN6" i="7"/>
  <c r="DN6" i="7"/>
  <c r="AG6" i="7"/>
  <c r="ER6" i="7"/>
  <c r="BK6" i="7"/>
  <c r="FS6" i="7"/>
  <c r="CF6" i="7"/>
  <c r="AI6" i="7"/>
  <c r="EU6" i="7"/>
  <c r="BM6" i="7"/>
  <c r="FU6" i="7"/>
  <c r="CQ6" i="7"/>
  <c r="GT6" i="7"/>
  <c r="DU6" i="7"/>
  <c r="AN6" i="7"/>
  <c r="EY6" i="7"/>
  <c r="BR6" i="7"/>
  <c r="FY6" i="7"/>
  <c r="CL6" i="7"/>
  <c r="AQ6" i="7"/>
  <c r="FB6" i="7"/>
  <c r="BU6" i="7"/>
  <c r="GA6" i="7"/>
  <c r="CY6" i="7"/>
  <c r="Q6" i="7"/>
  <c r="EC6" i="7"/>
  <c r="AU6" i="7"/>
  <c r="FF6" i="7"/>
  <c r="BY6" i="7"/>
  <c r="GE6" i="7"/>
  <c r="CR6" i="7"/>
  <c r="AX6" i="7"/>
  <c r="FH6" i="7"/>
  <c r="CB6" i="7"/>
  <c r="GG6" i="7"/>
  <c r="DF6" i="7"/>
  <c r="Y6" i="7"/>
  <c r="EJ6" i="7"/>
  <c r="BC6" i="7"/>
  <c r="FL6" i="7"/>
  <c r="CG6" i="7"/>
  <c r="GK6" i="7"/>
  <c r="CX6" i="7"/>
  <c r="BE6" i="7"/>
  <c r="FN6" i="7"/>
  <c r="CI6" i="7"/>
  <c r="GM6" i="7"/>
  <c r="DM6" i="7"/>
  <c r="AF6" i="7"/>
  <c r="EQ6" i="7"/>
  <c r="BJ6" i="7"/>
  <c r="FR6" i="7"/>
  <c r="CN6" i="7"/>
  <c r="GQ6" i="7"/>
  <c r="DD6" i="7"/>
  <c r="BL6" i="7"/>
  <c r="FT6" i="7"/>
  <c r="CP6" i="7"/>
  <c r="GS6" i="7"/>
  <c r="DT6" i="7"/>
  <c r="AM6" i="7"/>
  <c r="EX6" i="7"/>
  <c r="BQ6" i="7"/>
  <c r="FX6" i="7"/>
  <c r="CU6" i="7"/>
  <c r="R6" i="7"/>
  <c r="DJ6" i="7"/>
  <c r="BS6" i="7"/>
  <c r="FZ6" i="7"/>
  <c r="CW6" i="7"/>
  <c r="P6" i="7"/>
  <c r="EA6" i="7"/>
  <c r="AT6" i="7"/>
  <c r="FE6" i="7"/>
  <c r="BX6" i="7"/>
  <c r="GD6" i="7"/>
  <c r="DB6" i="7"/>
  <c r="X6" i="7"/>
  <c r="DP6" i="7"/>
  <c r="CA6" i="7"/>
  <c r="GF6" i="7"/>
  <c r="DE6" i="7"/>
  <c r="W6" i="7"/>
  <c r="EI6" i="7"/>
  <c r="BA6" i="7"/>
  <c r="FK6" i="7"/>
  <c r="CE6" i="7"/>
  <c r="GJ6" i="7"/>
  <c r="DI6" i="7"/>
  <c r="AD6" i="7"/>
  <c r="DV6" i="7"/>
  <c r="CH6" i="7"/>
  <c r="GL6" i="7"/>
  <c r="DL6" i="7"/>
  <c r="AE6" i="7"/>
  <c r="EP6" i="7"/>
  <c r="BI6" i="7"/>
  <c r="FQ6" i="7"/>
  <c r="CM6" i="7"/>
  <c r="GP6" i="7"/>
  <c r="DQ6" i="7"/>
  <c r="AJ6" i="7"/>
  <c r="EB6" i="7"/>
  <c r="CO6" i="7"/>
  <c r="GR6" i="7"/>
  <c r="DS6" i="7"/>
  <c r="AL6" i="7"/>
  <c r="EW6" i="7"/>
  <c r="BP6" i="7"/>
  <c r="FW6" i="7"/>
  <c r="CT6" i="7"/>
  <c r="DX6" i="7"/>
  <c r="AP6" i="7"/>
  <c r="EH6" i="7"/>
  <c r="CV6" i="7"/>
  <c r="O6" i="7"/>
  <c r="DZ6" i="7"/>
  <c r="AS6" i="7"/>
  <c r="FD6" i="7"/>
  <c r="BW6" i="7"/>
  <c r="GC6" i="7"/>
  <c r="DA6" i="7"/>
  <c r="T6" i="7"/>
  <c r="EE6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7" i="7"/>
  <c r="J27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7" i="7"/>
  <c r="GI27" i="7"/>
  <c r="CL27" i="7"/>
  <c r="GD27" i="7"/>
  <c r="CM27" i="7"/>
  <c r="GE27" i="7"/>
  <c r="CN27" i="7"/>
  <c r="GF27" i="7"/>
  <c r="CO27" i="7"/>
  <c r="GG27" i="7"/>
  <c r="EX27" i="7"/>
  <c r="CV27" i="7"/>
  <c r="CW27" i="7"/>
  <c r="GO27" i="7"/>
  <c r="CR27" i="7"/>
  <c r="GJ27" i="7"/>
  <c r="CS27" i="7"/>
  <c r="GK27" i="7"/>
  <c r="CT27" i="7"/>
  <c r="GL27" i="7"/>
  <c r="CU27" i="7"/>
  <c r="GM27" i="7"/>
  <c r="GH27" i="7"/>
  <c r="EF27" i="7"/>
  <c r="K27" i="7"/>
  <c r="DC27" i="7"/>
  <c r="GU27" i="7"/>
  <c r="CX27" i="7"/>
  <c r="GP27" i="7"/>
  <c r="CY27" i="7"/>
  <c r="GQ27" i="7"/>
  <c r="CZ27" i="7"/>
  <c r="GR27" i="7"/>
  <c r="DA27" i="7"/>
  <c r="GS27" i="7"/>
  <c r="P27" i="7"/>
  <c r="FP27" i="7"/>
  <c r="Q27" i="7"/>
  <c r="DI27" i="7"/>
  <c r="L27" i="7"/>
  <c r="DD27" i="7"/>
  <c r="M27" i="7"/>
  <c r="DE27" i="7"/>
  <c r="N27" i="7"/>
  <c r="DF27" i="7"/>
  <c r="O27" i="7"/>
  <c r="DG27" i="7"/>
  <c r="AH27" i="7"/>
  <c r="AZ27" i="7"/>
  <c r="W27" i="7"/>
  <c r="DO27" i="7"/>
  <c r="R27" i="7"/>
  <c r="DJ27" i="7"/>
  <c r="S27" i="7"/>
  <c r="DK27" i="7"/>
  <c r="T27" i="7"/>
  <c r="DL27" i="7"/>
  <c r="U27" i="7"/>
  <c r="DM27" i="7"/>
  <c r="BR27" i="7"/>
  <c r="CJ27" i="7"/>
  <c r="AC27" i="7"/>
  <c r="DU27" i="7"/>
  <c r="X27" i="7"/>
  <c r="DP27" i="7"/>
  <c r="Y27" i="7"/>
  <c r="DQ27" i="7"/>
  <c r="Z27" i="7"/>
  <c r="DR27" i="7"/>
  <c r="AA27" i="7"/>
  <c r="DS27" i="7"/>
  <c r="DB27" i="7"/>
  <c r="DT27" i="7"/>
  <c r="AI27" i="7"/>
  <c r="EA27" i="7"/>
  <c r="AD27" i="7"/>
  <c r="DV27" i="7"/>
  <c r="AE27" i="7"/>
  <c r="DW27" i="7"/>
  <c r="AF27" i="7"/>
  <c r="DX27" i="7"/>
  <c r="AG27" i="7"/>
  <c r="DY27" i="7"/>
  <c r="EL27" i="7"/>
  <c r="FD27" i="7"/>
  <c r="AO27" i="7"/>
  <c r="EG27" i="7"/>
  <c r="AJ27" i="7"/>
  <c r="EB27" i="7"/>
  <c r="AK27" i="7"/>
  <c r="EC27" i="7"/>
  <c r="AL27" i="7"/>
  <c r="ED27" i="7"/>
  <c r="AM27" i="7"/>
  <c r="EE27" i="7"/>
  <c r="FV27" i="7"/>
  <c r="GN27" i="7"/>
  <c r="AU27" i="7"/>
  <c r="EM27" i="7"/>
  <c r="AP27" i="7"/>
  <c r="EH27" i="7"/>
  <c r="AQ27" i="7"/>
  <c r="EI27" i="7"/>
  <c r="AR27" i="7"/>
  <c r="EJ27" i="7"/>
  <c r="AS27" i="7"/>
  <c r="EK27" i="7"/>
  <c r="AN27" i="7"/>
  <c r="V27" i="7"/>
  <c r="BA27" i="7"/>
  <c r="ES27" i="7"/>
  <c r="AV27" i="7"/>
  <c r="EN27" i="7"/>
  <c r="AW27" i="7"/>
  <c r="EO27" i="7"/>
  <c r="AX27" i="7"/>
  <c r="EP27" i="7"/>
  <c r="AY27" i="7"/>
  <c r="EQ27" i="7"/>
  <c r="BX27" i="7"/>
  <c r="BF27" i="7"/>
  <c r="BG27" i="7"/>
  <c r="EY27" i="7"/>
  <c r="BB27" i="7"/>
  <c r="ET27" i="7"/>
  <c r="BC27" i="7"/>
  <c r="EU27" i="7"/>
  <c r="BD27" i="7"/>
  <c r="EV27" i="7"/>
  <c r="BE27" i="7"/>
  <c r="EW27" i="7"/>
  <c r="DH27" i="7"/>
  <c r="CP27" i="7"/>
  <c r="BM27" i="7"/>
  <c r="FE27" i="7"/>
  <c r="BH27" i="7"/>
  <c r="EZ27" i="7"/>
  <c r="BI27" i="7"/>
  <c r="FA27" i="7"/>
  <c r="BJ27" i="7"/>
  <c r="FB27" i="7"/>
  <c r="BK27" i="7"/>
  <c r="FC27" i="7"/>
  <c r="ER27" i="7"/>
  <c r="DZ27" i="7"/>
  <c r="BS27" i="7"/>
  <c r="FK27" i="7"/>
  <c r="BN27" i="7"/>
  <c r="FF27" i="7"/>
  <c r="BO27" i="7"/>
  <c r="FG27" i="7"/>
  <c r="BP27" i="7"/>
  <c r="FH27" i="7"/>
  <c r="BQ27" i="7"/>
  <c r="FI27" i="7"/>
  <c r="GB27" i="7"/>
  <c r="FJ27" i="7"/>
  <c r="BY27" i="7"/>
  <c r="FQ27" i="7"/>
  <c r="BT27" i="7"/>
  <c r="FL27" i="7"/>
  <c r="BU27" i="7"/>
  <c r="FM27" i="7"/>
  <c r="BV27" i="7"/>
  <c r="FN27" i="7"/>
  <c r="BW27" i="7"/>
  <c r="FO27" i="7"/>
  <c r="AT27" i="7"/>
  <c r="GT27" i="7"/>
  <c r="CE27" i="7"/>
  <c r="FW27" i="7"/>
  <c r="BZ27" i="7"/>
  <c r="FR27" i="7"/>
  <c r="CA27" i="7"/>
  <c r="FS27" i="7"/>
  <c r="CB27" i="7"/>
  <c r="FT27" i="7"/>
  <c r="CC27" i="7"/>
  <c r="FU27" i="7"/>
  <c r="CD27" i="7"/>
  <c r="AB27" i="7"/>
  <c r="CK27" i="7"/>
  <c r="GC27" i="7"/>
  <c r="CF27" i="7"/>
  <c r="FX27" i="7"/>
  <c r="CG27" i="7"/>
  <c r="FY27" i="7"/>
  <c r="CH27" i="7"/>
  <c r="FZ27" i="7"/>
  <c r="CI27" i="7"/>
  <c r="GA27" i="7"/>
  <c r="DN27" i="7"/>
  <c r="BL27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5" i="7"/>
  <c r="CD5" i="7"/>
  <c r="DC5" i="7"/>
  <c r="CX5" i="7"/>
  <c r="CM5" i="7"/>
  <c r="CT5" i="7"/>
  <c r="Q5" i="7"/>
  <c r="DI5" i="7"/>
  <c r="DD5" i="7"/>
  <c r="CS5" i="7"/>
  <c r="DF5" i="7"/>
  <c r="AY5" i="7"/>
  <c r="GL5" i="7"/>
  <c r="W5" i="7"/>
  <c r="R5" i="7"/>
  <c r="DJ5" i="7"/>
  <c r="CY5" i="7"/>
  <c r="DO5" i="7"/>
  <c r="BQ5" i="7"/>
  <c r="GR5" i="7"/>
  <c r="FU5" i="7"/>
  <c r="AI5" i="7"/>
  <c r="AD5" i="7"/>
  <c r="S5" i="7"/>
  <c r="DK5" i="7"/>
  <c r="EE5" i="7"/>
  <c r="CU5" i="7"/>
  <c r="AL5" i="7"/>
  <c r="GG5" i="7"/>
  <c r="FJ5" i="7"/>
  <c r="EK5" i="7"/>
  <c r="P5" i="7"/>
  <c r="AO5" i="7"/>
  <c r="AJ5" i="7"/>
  <c r="Y5" i="7"/>
  <c r="DQ5" i="7"/>
  <c r="EL5" i="7"/>
  <c r="DG5" i="7"/>
  <c r="BD5" i="7"/>
  <c r="GM5" i="7"/>
  <c r="FP5" i="7"/>
  <c r="ER5" i="7"/>
  <c r="AB5" i="7"/>
  <c r="BA5" i="7"/>
  <c r="AV5" i="7"/>
  <c r="AK5" i="7"/>
  <c r="EC5" i="7"/>
  <c r="EZ5" i="7"/>
  <c r="DY5" i="7"/>
  <c r="CJ5" i="7"/>
  <c r="U5" i="7"/>
  <c r="GB5" i="7"/>
  <c r="FF5" i="7"/>
  <c r="AN5" i="7"/>
  <c r="BM5" i="7"/>
  <c r="BH5" i="7"/>
  <c r="AW5" i="7"/>
  <c r="EO5" i="7"/>
  <c r="AT5" i="7"/>
  <c r="BS5" i="7"/>
  <c r="BN5" i="7"/>
  <c r="BC5" i="7"/>
  <c r="EU5" i="7"/>
  <c r="FS5" i="7"/>
  <c r="ET5" i="7"/>
  <c r="DS5" i="7"/>
  <c r="BW5" i="7"/>
  <c r="GT5" i="7"/>
  <c r="AZ5" i="7"/>
  <c r="BY5" i="7"/>
  <c r="BT5" i="7"/>
  <c r="BI5" i="7"/>
  <c r="FA5" i="7"/>
  <c r="FY5" i="7"/>
  <c r="FB5" i="7"/>
  <c r="BF5" i="7"/>
  <c r="CE5" i="7"/>
  <c r="BZ5" i="7"/>
  <c r="BO5" i="7"/>
  <c r="AF5" i="7"/>
  <c r="GE5" i="7"/>
  <c r="BL5" i="7"/>
  <c r="CK5" i="7"/>
  <c r="CF5" i="7"/>
  <c r="BU5" i="7"/>
  <c r="AX5" i="7"/>
  <c r="GK5" i="7"/>
  <c r="FN5" i="7"/>
  <c r="EN5" i="7"/>
  <c r="BX5" i="7"/>
  <c r="CW5" i="7"/>
  <c r="CR5" i="7"/>
  <c r="CG5" i="7"/>
  <c r="CH5" i="7"/>
  <c r="O5" i="7"/>
  <c r="AU5" i="7"/>
  <c r="ES5" i="7"/>
  <c r="DH5" i="7"/>
  <c r="EH5" i="7"/>
  <c r="EY5" i="7"/>
  <c r="FW5" i="7"/>
  <c r="BG5" i="7"/>
  <c r="FG5" i="7"/>
  <c r="DZ5" i="7"/>
  <c r="EP5" i="7"/>
  <c r="FL5" i="7"/>
  <c r="CO5" i="7"/>
  <c r="CQ5" i="7"/>
  <c r="FM5" i="7"/>
  <c r="EG5" i="7"/>
  <c r="EW5" i="7"/>
  <c r="FR5" i="7"/>
  <c r="EQ5" i="7"/>
  <c r="X5" i="7"/>
  <c r="GQ5" i="7"/>
  <c r="EV5" i="7"/>
  <c r="FD5" i="7"/>
  <c r="FX5" i="7"/>
  <c r="GC5" i="7"/>
  <c r="AP5" i="7"/>
  <c r="AG5" i="7"/>
  <c r="FC5" i="7"/>
  <c r="FV5" i="7"/>
  <c r="GD5" i="7"/>
  <c r="DA5" i="7"/>
  <c r="BB5" i="7"/>
  <c r="CI5" i="7"/>
  <c r="FI5" i="7"/>
  <c r="GH5" i="7"/>
  <c r="GJ5" i="7"/>
  <c r="EX5" i="7"/>
  <c r="CL5" i="7"/>
  <c r="DR5" i="7"/>
  <c r="FO5" i="7"/>
  <c r="GN5" i="7"/>
  <c r="GP5" i="7"/>
  <c r="GI5" i="7"/>
  <c r="DP5" i="7"/>
  <c r="EF5" i="7"/>
  <c r="GA5" i="7"/>
  <c r="AA5" i="7"/>
  <c r="AR5" i="7"/>
  <c r="Z5" i="7"/>
  <c r="AE5" i="7"/>
  <c r="EM5" i="7"/>
  <c r="GS5" i="7"/>
  <c r="AS5" i="7"/>
  <c r="DU5" i="7"/>
  <c r="DM5" i="7"/>
  <c r="AQ5" i="7"/>
  <c r="FH5" i="7"/>
  <c r="AM5" i="7"/>
  <c r="BK5" i="7"/>
  <c r="FK5" i="7"/>
  <c r="FE5" i="7"/>
  <c r="CA5" i="7"/>
  <c r="FT5" i="7"/>
  <c r="BE5" i="7"/>
  <c r="CC5" i="7"/>
  <c r="GU5" i="7"/>
  <c r="GO5" i="7"/>
  <c r="DE5" i="7"/>
  <c r="FZ5" i="7"/>
  <c r="CN5" i="7"/>
  <c r="CP5" i="7"/>
  <c r="BJ5" i="7"/>
  <c r="V5" i="7"/>
  <c r="DW5" i="7"/>
  <c r="GF5" i="7"/>
  <c r="CZ5" i="7"/>
  <c r="DB5" i="7"/>
  <c r="EB5" i="7"/>
  <c r="AH5" i="7"/>
  <c r="EI5" i="7"/>
  <c r="T5" i="7"/>
  <c r="DL5" i="7"/>
  <c r="DN5" i="7"/>
  <c r="FQ5" i="7"/>
  <c r="BR5" i="7"/>
  <c r="BP5" i="7"/>
  <c r="BV5" i="7"/>
  <c r="DT5" i="7"/>
  <c r="DV5" i="7"/>
  <c r="CB5" i="7"/>
  <c r="AC5" i="7"/>
  <c r="DX5" i="7"/>
  <c r="CV5" i="7"/>
  <c r="EA5" i="7"/>
  <c r="ED5" i="7"/>
  <c r="EJ5" i="7"/>
  <c r="I2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2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2" i="7"/>
  <c r="FI2" i="7"/>
  <c r="BR2" i="7"/>
  <c r="FJ2" i="7"/>
  <c r="BM2" i="7"/>
  <c r="FE2" i="7"/>
  <c r="BH2" i="7"/>
  <c r="EZ2" i="7"/>
  <c r="BI2" i="7"/>
  <c r="FA2" i="7"/>
  <c r="BJ2" i="7"/>
  <c r="FB2" i="7"/>
  <c r="BW2" i="7"/>
  <c r="FO2" i="7"/>
  <c r="BX2" i="7"/>
  <c r="FP2" i="7"/>
  <c r="BS2" i="7"/>
  <c r="FK2" i="7"/>
  <c r="BN2" i="7"/>
  <c r="FF2" i="7"/>
  <c r="BO2" i="7"/>
  <c r="FG2" i="7"/>
  <c r="BP2" i="7"/>
  <c r="FH2" i="7"/>
  <c r="CC2" i="7"/>
  <c r="FU2" i="7"/>
  <c r="CD2" i="7"/>
  <c r="FV2" i="7"/>
  <c r="BY2" i="7"/>
  <c r="FQ2" i="7"/>
  <c r="BT2" i="7"/>
  <c r="FL2" i="7"/>
  <c r="BU2" i="7"/>
  <c r="FM2" i="7"/>
  <c r="BV2" i="7"/>
  <c r="FN2" i="7"/>
  <c r="CI2" i="7"/>
  <c r="GA2" i="7"/>
  <c r="CJ2" i="7"/>
  <c r="GB2" i="7"/>
  <c r="CE2" i="7"/>
  <c r="FW2" i="7"/>
  <c r="BZ2" i="7"/>
  <c r="FR2" i="7"/>
  <c r="CA2" i="7"/>
  <c r="CO2" i="7"/>
  <c r="GG2" i="7"/>
  <c r="CP2" i="7"/>
  <c r="GH2" i="7"/>
  <c r="CK2" i="7"/>
  <c r="GC2" i="7"/>
  <c r="CF2" i="7"/>
  <c r="FX2" i="7"/>
  <c r="CG2" i="7"/>
  <c r="FY2" i="7"/>
  <c r="CH2" i="7"/>
  <c r="FZ2" i="7"/>
  <c r="CU2" i="7"/>
  <c r="GM2" i="7"/>
  <c r="CV2" i="7"/>
  <c r="GN2" i="7"/>
  <c r="CQ2" i="7"/>
  <c r="GI2" i="7"/>
  <c r="CL2" i="7"/>
  <c r="GD2" i="7"/>
  <c r="CM2" i="7"/>
  <c r="GE2" i="7"/>
  <c r="CN2" i="7"/>
  <c r="GF2" i="7"/>
  <c r="DA2" i="7"/>
  <c r="GS2" i="7"/>
  <c r="DB2" i="7"/>
  <c r="GT2" i="7"/>
  <c r="CW2" i="7"/>
  <c r="GO2" i="7"/>
  <c r="CR2" i="7"/>
  <c r="GJ2" i="7"/>
  <c r="CS2" i="7"/>
  <c r="GK2" i="7"/>
  <c r="CT2" i="7"/>
  <c r="GL2" i="7"/>
  <c r="O2" i="7"/>
  <c r="DG2" i="7"/>
  <c r="P2" i="7"/>
  <c r="DH2" i="7"/>
  <c r="K2" i="7"/>
  <c r="DC2" i="7"/>
  <c r="GU2" i="7"/>
  <c r="CX2" i="7"/>
  <c r="GP2" i="7"/>
  <c r="CY2" i="7"/>
  <c r="GQ2" i="7"/>
  <c r="CZ2" i="7"/>
  <c r="GR2" i="7"/>
  <c r="U2" i="7"/>
  <c r="DM2" i="7"/>
  <c r="V2" i="7"/>
  <c r="DN2" i="7"/>
  <c r="Q2" i="7"/>
  <c r="DI2" i="7"/>
  <c r="L2" i="7"/>
  <c r="AA2" i="7"/>
  <c r="DS2" i="7"/>
  <c r="AB2" i="7"/>
  <c r="DT2" i="7"/>
  <c r="W2" i="7"/>
  <c r="DO2" i="7"/>
  <c r="R2" i="7"/>
  <c r="DJ2" i="7"/>
  <c r="S2" i="7"/>
  <c r="DK2" i="7"/>
  <c r="T2" i="7"/>
  <c r="DL2" i="7"/>
  <c r="AG2" i="7"/>
  <c r="DY2" i="7"/>
  <c r="AH2" i="7"/>
  <c r="DZ2" i="7"/>
  <c r="AC2" i="7"/>
  <c r="DU2" i="7"/>
  <c r="X2" i="7"/>
  <c r="DP2" i="7"/>
  <c r="Y2" i="7"/>
  <c r="DQ2" i="7"/>
  <c r="Z2" i="7"/>
  <c r="DR2" i="7"/>
  <c r="AM2" i="7"/>
  <c r="EE2" i="7"/>
  <c r="AN2" i="7"/>
  <c r="EF2" i="7"/>
  <c r="AI2" i="7"/>
  <c r="EA2" i="7"/>
  <c r="AD2" i="7"/>
  <c r="DV2" i="7"/>
  <c r="AE2" i="7"/>
  <c r="DW2" i="7"/>
  <c r="AF2" i="7"/>
  <c r="DX2" i="7"/>
  <c r="AS2" i="7"/>
  <c r="EK2" i="7"/>
  <c r="AT2" i="7"/>
  <c r="EL2" i="7"/>
  <c r="AO2" i="7"/>
  <c r="EG2" i="7"/>
  <c r="AJ2" i="7"/>
  <c r="EB2" i="7"/>
  <c r="AK2" i="7"/>
  <c r="EC2" i="7"/>
  <c r="AL2" i="7"/>
  <c r="ED2" i="7"/>
  <c r="AY2" i="7"/>
  <c r="EQ2" i="7"/>
  <c r="AZ2" i="7"/>
  <c r="ER2" i="7"/>
  <c r="AU2" i="7"/>
  <c r="EM2" i="7"/>
  <c r="AP2" i="7"/>
  <c r="EH2" i="7"/>
  <c r="AQ2" i="7"/>
  <c r="EI2" i="7"/>
  <c r="AR2" i="7"/>
  <c r="EJ2" i="7"/>
  <c r="BE2" i="7"/>
  <c r="EW2" i="7"/>
  <c r="BF2" i="7"/>
  <c r="EX2" i="7"/>
  <c r="BA2" i="7"/>
  <c r="ES2" i="7"/>
  <c r="AV2" i="7"/>
  <c r="EN2" i="7"/>
  <c r="AW2" i="7"/>
  <c r="EO2" i="7"/>
  <c r="AX2" i="7"/>
  <c r="EP2" i="7"/>
  <c r="BK2" i="7"/>
  <c r="FC2" i="7"/>
  <c r="BL2" i="7"/>
  <c r="FD2" i="7"/>
  <c r="BG2" i="7"/>
  <c r="EY2" i="7"/>
  <c r="BB2" i="7"/>
  <c r="ET2" i="7"/>
  <c r="BC2" i="7"/>
  <c r="EU2" i="7"/>
  <c r="BD2" i="7"/>
  <c r="EV2" i="7"/>
  <c r="DD2" i="7"/>
  <c r="M2" i="7"/>
  <c r="DE2" i="7"/>
  <c r="FS2" i="7"/>
  <c r="N2" i="7"/>
  <c r="CB2" i="7"/>
  <c r="DF2" i="7"/>
  <c r="FT2" i="7"/>
  <c r="H60" i="7"/>
  <c r="H21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1" i="7"/>
  <c r="J21" i="7"/>
  <c r="P21" i="7"/>
  <c r="V21" i="7"/>
  <c r="W21" i="7"/>
  <c r="K21" i="7"/>
  <c r="L21" i="7"/>
  <c r="Q21" i="7"/>
  <c r="R21" i="7"/>
  <c r="X21" i="7"/>
  <c r="M21" i="7"/>
  <c r="S21" i="7"/>
  <c r="Y21" i="7"/>
  <c r="N21" i="7"/>
  <c r="T21" i="7"/>
  <c r="I21" i="7"/>
  <c r="O21" i="7"/>
  <c r="CE21" i="7"/>
  <c r="FW21" i="7"/>
  <c r="CR21" i="7"/>
  <c r="GJ21" i="7"/>
  <c r="DK21" i="7"/>
  <c r="AF21" i="7"/>
  <c r="DX21" i="7"/>
  <c r="AS21" i="7"/>
  <c r="EK21" i="7"/>
  <c r="BF21" i="7"/>
  <c r="EX21" i="7"/>
  <c r="CK21" i="7"/>
  <c r="GC21" i="7"/>
  <c r="CX21" i="7"/>
  <c r="GP21" i="7"/>
  <c r="DQ21" i="7"/>
  <c r="AL21" i="7"/>
  <c r="ED21" i="7"/>
  <c r="AY21" i="7"/>
  <c r="EQ21" i="7"/>
  <c r="BL21" i="7"/>
  <c r="FD21" i="7"/>
  <c r="CQ21" i="7"/>
  <c r="GI21" i="7"/>
  <c r="DD21" i="7"/>
  <c r="AE21" i="7"/>
  <c r="DW21" i="7"/>
  <c r="AR21" i="7"/>
  <c r="EJ21" i="7"/>
  <c r="BE21" i="7"/>
  <c r="EW21" i="7"/>
  <c r="BR21" i="7"/>
  <c r="FJ21" i="7"/>
  <c r="CW21" i="7"/>
  <c r="GO21" i="7"/>
  <c r="DJ21" i="7"/>
  <c r="AK21" i="7"/>
  <c r="EC21" i="7"/>
  <c r="AX21" i="7"/>
  <c r="EP21" i="7"/>
  <c r="BK21" i="7"/>
  <c r="FC21" i="7"/>
  <c r="BX21" i="7"/>
  <c r="FP21" i="7"/>
  <c r="DC21" i="7"/>
  <c r="GU21" i="7"/>
  <c r="DP21" i="7"/>
  <c r="AQ21" i="7"/>
  <c r="EI21" i="7"/>
  <c r="BD21" i="7"/>
  <c r="EV21" i="7"/>
  <c r="BQ21" i="7"/>
  <c r="FI21" i="7"/>
  <c r="CD21" i="7"/>
  <c r="FV21" i="7"/>
  <c r="DI21" i="7"/>
  <c r="AD21" i="7"/>
  <c r="DV21" i="7"/>
  <c r="AW21" i="7"/>
  <c r="EO21" i="7"/>
  <c r="BJ21" i="7"/>
  <c r="FB21" i="7"/>
  <c r="BW21" i="7"/>
  <c r="FO21" i="7"/>
  <c r="CJ21" i="7"/>
  <c r="GB21" i="7"/>
  <c r="DO21" i="7"/>
  <c r="AJ21" i="7"/>
  <c r="EB21" i="7"/>
  <c r="BC21" i="7"/>
  <c r="EU21" i="7"/>
  <c r="BP21" i="7"/>
  <c r="FH21" i="7"/>
  <c r="CC21" i="7"/>
  <c r="FU21" i="7"/>
  <c r="CP21" i="7"/>
  <c r="GH21" i="7"/>
  <c r="AC21" i="7"/>
  <c r="DU21" i="7"/>
  <c r="AP21" i="7"/>
  <c r="EH21" i="7"/>
  <c r="BI21" i="7"/>
  <c r="FA21" i="7"/>
  <c r="BV21" i="7"/>
  <c r="FN21" i="7"/>
  <c r="CI21" i="7"/>
  <c r="GA21" i="7"/>
  <c r="CV21" i="7"/>
  <c r="GN21" i="7"/>
  <c r="AI21" i="7"/>
  <c r="EA21" i="7"/>
  <c r="AV21" i="7"/>
  <c r="EN21" i="7"/>
  <c r="BO21" i="7"/>
  <c r="FG21" i="7"/>
  <c r="CB21" i="7"/>
  <c r="FT21" i="7"/>
  <c r="CO21" i="7"/>
  <c r="GG21" i="7"/>
  <c r="DB21" i="7"/>
  <c r="GT21" i="7"/>
  <c r="AO21" i="7"/>
  <c r="EG21" i="7"/>
  <c r="BB21" i="7"/>
  <c r="ET21" i="7"/>
  <c r="BU21" i="7"/>
  <c r="FM21" i="7"/>
  <c r="CH21" i="7"/>
  <c r="FZ21" i="7"/>
  <c r="CU21" i="7"/>
  <c r="GM21" i="7"/>
  <c r="DH21" i="7"/>
  <c r="AU21" i="7"/>
  <c r="EM21" i="7"/>
  <c r="BH21" i="7"/>
  <c r="EZ21" i="7"/>
  <c r="CA21" i="7"/>
  <c r="FS21" i="7"/>
  <c r="CN21" i="7"/>
  <c r="GF21" i="7"/>
  <c r="DA21" i="7"/>
  <c r="GS21" i="7"/>
  <c r="DN21" i="7"/>
  <c r="BA21" i="7"/>
  <c r="ES21" i="7"/>
  <c r="BN21" i="7"/>
  <c r="FF21" i="7"/>
  <c r="CG21" i="7"/>
  <c r="FY21" i="7"/>
  <c r="CT21" i="7"/>
  <c r="GL21" i="7"/>
  <c r="DG21" i="7"/>
  <c r="AB21" i="7"/>
  <c r="DT21" i="7"/>
  <c r="BG21" i="7"/>
  <c r="EY21" i="7"/>
  <c r="BT21" i="7"/>
  <c r="FL21" i="7"/>
  <c r="CM21" i="7"/>
  <c r="GE21" i="7"/>
  <c r="CZ21" i="7"/>
  <c r="GR21" i="7"/>
  <c r="DM21" i="7"/>
  <c r="AH21" i="7"/>
  <c r="DZ21" i="7"/>
  <c r="BM21" i="7"/>
  <c r="FE21" i="7"/>
  <c r="BZ21" i="7"/>
  <c r="FR21" i="7"/>
  <c r="CS21" i="7"/>
  <c r="GK21" i="7"/>
  <c r="DF21" i="7"/>
  <c r="AA21" i="7"/>
  <c r="DS21" i="7"/>
  <c r="AN21" i="7"/>
  <c r="EF21" i="7"/>
  <c r="BS21" i="7"/>
  <c r="FK21" i="7"/>
  <c r="CF21" i="7"/>
  <c r="FX21" i="7"/>
  <c r="CY21" i="7"/>
  <c r="GQ21" i="7"/>
  <c r="DL21" i="7"/>
  <c r="AG21" i="7"/>
  <c r="DY21" i="7"/>
  <c r="AT21" i="7"/>
  <c r="EL21" i="7"/>
  <c r="BY21" i="7"/>
  <c r="FQ21" i="7"/>
  <c r="CL21" i="7"/>
  <c r="GD21" i="7"/>
  <c r="DE21" i="7"/>
  <c r="Z21" i="7"/>
  <c r="DR21" i="7"/>
  <c r="AM21" i="7"/>
  <c r="EE21" i="7"/>
  <c r="AZ21" i="7"/>
  <c r="ER21" i="7"/>
  <c r="J4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4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4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4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4" i="7"/>
  <c r="AQ4" i="7"/>
  <c r="DD4" i="7"/>
  <c r="AD4" i="7"/>
  <c r="DG4" i="7"/>
  <c r="GJ4" i="7"/>
  <c r="CT4" i="7"/>
  <c r="FW4" i="7"/>
  <c r="CG4" i="7"/>
  <c r="FJ4" i="7"/>
  <c r="BT4" i="7"/>
  <c r="EW4" i="7"/>
  <c r="EZ4" i="7"/>
  <c r="P4" i="7"/>
  <c r="BG4" i="7"/>
  <c r="DT4" i="7"/>
  <c r="AT4" i="7"/>
  <c r="DW4" i="7"/>
  <c r="AG4" i="7"/>
  <c r="DJ4" i="7"/>
  <c r="GM4" i="7"/>
  <c r="CW4" i="7"/>
  <c r="FZ4" i="7"/>
  <c r="CJ4" i="7"/>
  <c r="FM4" i="7"/>
  <c r="BM4" i="7"/>
  <c r="V4" i="7"/>
  <c r="BW4" i="7"/>
  <c r="EJ4" i="7"/>
  <c r="BJ4" i="7"/>
  <c r="EM4" i="7"/>
  <c r="AW4" i="7"/>
  <c r="DZ4" i="7"/>
  <c r="AJ4" i="7"/>
  <c r="DM4" i="7"/>
  <c r="GP4" i="7"/>
  <c r="CZ4" i="7"/>
  <c r="GC4" i="7"/>
  <c r="BZ4" i="7"/>
  <c r="O4" i="7"/>
  <c r="CM4" i="7"/>
  <c r="EC4" i="7"/>
  <c r="AM4" i="7"/>
  <c r="DP4" i="7"/>
  <c r="GS4" i="7"/>
  <c r="Q4" i="7"/>
  <c r="DC4" i="7"/>
  <c r="FP4" i="7"/>
  <c r="CP4" i="7"/>
  <c r="FS4" i="7"/>
  <c r="CC4" i="7"/>
  <c r="FF4" i="7"/>
  <c r="BP4" i="7"/>
  <c r="ES4" i="7"/>
  <c r="BC4" i="7"/>
  <c r="EF4" i="7"/>
  <c r="Z4" i="7"/>
  <c r="U4" i="7"/>
  <c r="DS4" i="7"/>
  <c r="GF4" i="7"/>
  <c r="DF4" i="7"/>
  <c r="GI4" i="7"/>
  <c r="CS4" i="7"/>
  <c r="FV4" i="7"/>
  <c r="CF4" i="7"/>
  <c r="FI4" i="7"/>
  <c r="BS4" i="7"/>
  <c r="EV4" i="7"/>
  <c r="AP4" i="7"/>
  <c r="W4" i="7"/>
  <c r="EI4" i="7"/>
  <c r="AC4" i="7"/>
  <c r="DV4" i="7"/>
  <c r="AF4" i="7"/>
  <c r="DI4" i="7"/>
  <c r="GL4" i="7"/>
  <c r="CV4" i="7"/>
  <c r="FY4" i="7"/>
  <c r="CI4" i="7"/>
  <c r="FL4" i="7"/>
  <c r="BF4" i="7"/>
  <c r="EY4" i="7"/>
  <c r="BI4" i="7"/>
  <c r="EL4" i="7"/>
  <c r="AV4" i="7"/>
  <c r="DY4" i="7"/>
  <c r="AI4" i="7"/>
  <c r="DL4" i="7"/>
  <c r="GO4" i="7"/>
  <c r="CY4" i="7"/>
  <c r="GB4" i="7"/>
  <c r="BV4" i="7"/>
  <c r="FO4" i="7"/>
  <c r="BY4" i="7"/>
  <c r="FB4" i="7"/>
  <c r="BL4" i="7"/>
  <c r="EO4" i="7"/>
  <c r="AY4" i="7"/>
  <c r="EB4" i="7"/>
  <c r="AL4" i="7"/>
  <c r="DO4" i="7"/>
  <c r="GR4" i="7"/>
  <c r="CL4" i="7"/>
  <c r="GE4" i="7"/>
  <c r="CO4" i="7"/>
  <c r="FR4" i="7"/>
  <c r="CB4" i="7"/>
  <c r="FE4" i="7"/>
  <c r="BO4" i="7"/>
  <c r="ER4" i="7"/>
  <c r="BB4" i="7"/>
  <c r="EE4" i="7"/>
  <c r="AO4" i="7"/>
  <c r="DB4" i="7"/>
  <c r="R4" i="7"/>
  <c r="GU4" i="7"/>
  <c r="DE4" i="7"/>
  <c r="GH4" i="7"/>
  <c r="CR4" i="7"/>
  <c r="FU4" i="7"/>
  <c r="CE4" i="7"/>
  <c r="FH4" i="7"/>
  <c r="BR4" i="7"/>
  <c r="EU4" i="7"/>
  <c r="BE4" i="7"/>
  <c r="DR4" i="7"/>
  <c r="X4" i="7"/>
  <c r="AB4" i="7"/>
  <c r="DU4" i="7"/>
  <c r="AE4" i="7"/>
  <c r="DH4" i="7"/>
  <c r="GK4" i="7"/>
  <c r="CU4" i="7"/>
  <c r="FX4" i="7"/>
  <c r="CH4" i="7"/>
  <c r="FK4" i="7"/>
  <c r="BU4" i="7"/>
  <c r="EH4" i="7"/>
  <c r="M4" i="7"/>
  <c r="AR4" i="7"/>
  <c r="EK4" i="7"/>
  <c r="AU4" i="7"/>
  <c r="DX4" i="7"/>
  <c r="AH4" i="7"/>
  <c r="DK4" i="7"/>
  <c r="GN4" i="7"/>
  <c r="CX4" i="7"/>
  <c r="GA4" i="7"/>
  <c r="CK4" i="7"/>
  <c r="EX4" i="7"/>
  <c r="S4" i="7"/>
  <c r="BH4" i="7"/>
  <c r="FA4" i="7"/>
  <c r="BK4" i="7"/>
  <c r="EN4" i="7"/>
  <c r="AX4" i="7"/>
  <c r="EA4" i="7"/>
  <c r="AK4" i="7"/>
  <c r="DN4" i="7"/>
  <c r="GQ4" i="7"/>
  <c r="DA4" i="7"/>
  <c r="FN4" i="7"/>
  <c r="FC4" i="7"/>
  <c r="Y4" i="7"/>
  <c r="BX4" i="7"/>
  <c r="FQ4" i="7"/>
  <c r="CA4" i="7"/>
  <c r="FD4" i="7"/>
  <c r="BN4" i="7"/>
  <c r="EQ4" i="7"/>
  <c r="BA4" i="7"/>
  <c r="ED4" i="7"/>
  <c r="AN4" i="7"/>
  <c r="DQ4" i="7"/>
  <c r="GD4" i="7"/>
  <c r="AZ4" i="7"/>
  <c r="N4" i="7"/>
  <c r="AA4" i="7"/>
  <c r="CN4" i="7"/>
  <c r="GG4" i="7"/>
  <c r="CQ4" i="7"/>
  <c r="FT4" i="7"/>
  <c r="CD4" i="7"/>
  <c r="FG4" i="7"/>
  <c r="BQ4" i="7"/>
  <c r="ET4" i="7"/>
  <c r="BD4" i="7"/>
  <c r="EG4" i="7"/>
  <c r="GT4" i="7"/>
  <c r="EP4" i="7"/>
  <c r="I49" i="7"/>
  <c r="H49" i="7"/>
  <c r="H12" i="7"/>
  <c r="I12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2" i="7"/>
  <c r="J49" i="7"/>
  <c r="AE12" i="7"/>
  <c r="DW12" i="7"/>
  <c r="AH12" i="7"/>
  <c r="DZ12" i="7"/>
  <c r="CI12" i="7"/>
  <c r="AI12" i="7"/>
  <c r="FV12" i="7"/>
  <c r="DV12" i="7"/>
  <c r="BM12" i="7"/>
  <c r="GT12" i="7"/>
  <c r="ES12" i="7"/>
  <c r="DY12" i="7"/>
  <c r="AK12" i="7"/>
  <c r="EC12" i="7"/>
  <c r="AN12" i="7"/>
  <c r="EF12" i="7"/>
  <c r="CR12" i="7"/>
  <c r="AR12" i="7"/>
  <c r="GC12" i="7"/>
  <c r="EE12" i="7"/>
  <c r="BV12" i="7"/>
  <c r="N12" i="7"/>
  <c r="FB12" i="7"/>
  <c r="FZ12" i="7"/>
  <c r="AQ12" i="7"/>
  <c r="EI12" i="7"/>
  <c r="AT12" i="7"/>
  <c r="EL12" i="7"/>
  <c r="DA12" i="7"/>
  <c r="BA12" i="7"/>
  <c r="GJ12" i="7"/>
  <c r="EN12" i="7"/>
  <c r="CE12" i="7"/>
  <c r="W12" i="7"/>
  <c r="FK12" i="7"/>
  <c r="AD12" i="7"/>
  <c r="AW12" i="7"/>
  <c r="EO12" i="7"/>
  <c r="AZ12" i="7"/>
  <c r="ER12" i="7"/>
  <c r="DJ12" i="7"/>
  <c r="BJ12" i="7"/>
  <c r="GR12" i="7"/>
  <c r="EW12" i="7"/>
  <c r="CN12" i="7"/>
  <c r="AF12" i="7"/>
  <c r="FT12" i="7"/>
  <c r="CF12" i="7"/>
  <c r="BC12" i="7"/>
  <c r="EU12" i="7"/>
  <c r="BF12" i="7"/>
  <c r="EX12" i="7"/>
  <c r="DS12" i="7"/>
  <c r="BS12" i="7"/>
  <c r="R12" i="7"/>
  <c r="FF12" i="7"/>
  <c r="CW12" i="7"/>
  <c r="AO12" i="7"/>
  <c r="GA12" i="7"/>
  <c r="EH12" i="7"/>
  <c r="BI12" i="7"/>
  <c r="FA12" i="7"/>
  <c r="BL12" i="7"/>
  <c r="FD12" i="7"/>
  <c r="EB12" i="7"/>
  <c r="CB12" i="7"/>
  <c r="AA12" i="7"/>
  <c r="FO12" i="7"/>
  <c r="DF12" i="7"/>
  <c r="AX12" i="7"/>
  <c r="GH12" i="7"/>
  <c r="GG12" i="7"/>
  <c r="BO12" i="7"/>
  <c r="FG12" i="7"/>
  <c r="BR12" i="7"/>
  <c r="FJ12" i="7"/>
  <c r="EK12" i="7"/>
  <c r="CK12" i="7"/>
  <c r="AJ12" i="7"/>
  <c r="FW12" i="7"/>
  <c r="DO12" i="7"/>
  <c r="BG12" i="7"/>
  <c r="GO12" i="7"/>
  <c r="AM12" i="7"/>
  <c r="BU12" i="7"/>
  <c r="FM12" i="7"/>
  <c r="BX12" i="7"/>
  <c r="FP12" i="7"/>
  <c r="ET12" i="7"/>
  <c r="CT12" i="7"/>
  <c r="AS12" i="7"/>
  <c r="GD12" i="7"/>
  <c r="DX12" i="7"/>
  <c r="BP12" i="7"/>
  <c r="BE12" i="7"/>
  <c r="CO12" i="7"/>
  <c r="CA12" i="7"/>
  <c r="FS12" i="7"/>
  <c r="CD12" i="7"/>
  <c r="O12" i="7"/>
  <c r="FC12" i="7"/>
  <c r="DC12" i="7"/>
  <c r="BB12" i="7"/>
  <c r="GL12" i="7"/>
  <c r="EG12" i="7"/>
  <c r="BY12" i="7"/>
  <c r="DG12" i="7"/>
  <c r="EQ12" i="7"/>
  <c r="CG12" i="7"/>
  <c r="FY12" i="7"/>
  <c r="CJ12" i="7"/>
  <c r="X12" i="7"/>
  <c r="FL12" i="7"/>
  <c r="DL12" i="7"/>
  <c r="BK12" i="7"/>
  <c r="GS12" i="7"/>
  <c r="EP12" i="7"/>
  <c r="CH12" i="7"/>
  <c r="FI12" i="7"/>
  <c r="GN12" i="7"/>
  <c r="CM12" i="7"/>
  <c r="GE12" i="7"/>
  <c r="CP12" i="7"/>
  <c r="AG12" i="7"/>
  <c r="FU12" i="7"/>
  <c r="DU12" i="7"/>
  <c r="BT12" i="7"/>
  <c r="K12" i="7"/>
  <c r="EY12" i="7"/>
  <c r="CQ12" i="7"/>
  <c r="L12" i="7"/>
  <c r="AV12" i="7"/>
  <c r="CS12" i="7"/>
  <c r="GK12" i="7"/>
  <c r="CV12" i="7"/>
  <c r="AP12" i="7"/>
  <c r="GB12" i="7"/>
  <c r="ED12" i="7"/>
  <c r="CC12" i="7"/>
  <c r="T12" i="7"/>
  <c r="FH12" i="7"/>
  <c r="CZ12" i="7"/>
  <c r="BN12" i="7"/>
  <c r="CX12" i="7"/>
  <c r="CY12" i="7"/>
  <c r="GQ12" i="7"/>
  <c r="DB12" i="7"/>
  <c r="AY12" i="7"/>
  <c r="GI12" i="7"/>
  <c r="EM12" i="7"/>
  <c r="CL12" i="7"/>
  <c r="AC12" i="7"/>
  <c r="FQ12" i="7"/>
  <c r="DI12" i="7"/>
  <c r="DP12" i="7"/>
  <c r="EZ12" i="7"/>
  <c r="M12" i="7"/>
  <c r="DE12" i="7"/>
  <c r="P12" i="7"/>
  <c r="DH12" i="7"/>
  <c r="BH12" i="7"/>
  <c r="GP12" i="7"/>
  <c r="EV12" i="7"/>
  <c r="CU12" i="7"/>
  <c r="AL12" i="7"/>
  <c r="FX12" i="7"/>
  <c r="DR12" i="7"/>
  <c r="FR12" i="7"/>
  <c r="GU12" i="7"/>
  <c r="S12" i="7"/>
  <c r="Y12" i="7"/>
  <c r="DQ12" i="7"/>
  <c r="AB12" i="7"/>
  <c r="DT12" i="7"/>
  <c r="BZ12" i="7"/>
  <c r="Z12" i="7"/>
  <c r="FN12" i="7"/>
  <c r="DM12" i="7"/>
  <c r="BD12" i="7"/>
  <c r="GM12" i="7"/>
  <c r="EJ12" i="7"/>
  <c r="BW12" i="7"/>
  <c r="Q12" i="7"/>
  <c r="FE12" i="7"/>
  <c r="DD12" i="7"/>
  <c r="AU12" i="7"/>
  <c r="GF12" i="7"/>
  <c r="EA12" i="7"/>
  <c r="U12" i="7"/>
  <c r="DK12" i="7"/>
  <c r="V12" i="7"/>
  <c r="DN12" i="7"/>
  <c r="BQ12" i="7"/>
  <c r="AC1252" i="1"/>
  <c r="K47" i="7"/>
  <c r="J47" i="7"/>
  <c r="I47" i="7"/>
  <c r="I16" i="7"/>
  <c r="J16" i="7"/>
  <c r="K16" i="7"/>
  <c r="I62" i="7"/>
  <c r="I30" i="7"/>
  <c r="J62" i="7"/>
  <c r="J30" i="7"/>
  <c r="K43" i="7"/>
  <c r="J43" i="7"/>
  <c r="J6" i="7"/>
  <c r="K6" i="7"/>
  <c r="M43" i="7"/>
  <c r="L43" i="7"/>
  <c r="L6" i="7"/>
  <c r="M6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0" i="7"/>
  <c r="FA20" i="7"/>
  <c r="BJ20" i="7"/>
  <c r="FB20" i="7"/>
  <c r="BK20" i="7"/>
  <c r="FC20" i="7"/>
  <c r="BL20" i="7"/>
  <c r="FD20" i="7"/>
  <c r="BM20" i="7"/>
  <c r="FE20" i="7"/>
  <c r="BN20" i="7"/>
  <c r="FF20" i="7"/>
  <c r="BO20" i="7"/>
  <c r="FG20" i="7"/>
  <c r="BP20" i="7"/>
  <c r="FH20" i="7"/>
  <c r="BQ20" i="7"/>
  <c r="FI20" i="7"/>
  <c r="BR20" i="7"/>
  <c r="FJ20" i="7"/>
  <c r="BS20" i="7"/>
  <c r="FK20" i="7"/>
  <c r="BT20" i="7"/>
  <c r="FL20" i="7"/>
  <c r="BU20" i="7"/>
  <c r="FM20" i="7"/>
  <c r="BV20" i="7"/>
  <c r="FN20" i="7"/>
  <c r="BW20" i="7"/>
  <c r="FO20" i="7"/>
  <c r="BX20" i="7"/>
  <c r="FP20" i="7"/>
  <c r="BY20" i="7"/>
  <c r="FQ20" i="7"/>
  <c r="BZ20" i="7"/>
  <c r="FR20" i="7"/>
  <c r="CA20" i="7"/>
  <c r="FS20" i="7"/>
  <c r="CB20" i="7"/>
  <c r="FT20" i="7"/>
  <c r="CC20" i="7"/>
  <c r="FU20" i="7"/>
  <c r="CD20" i="7"/>
  <c r="FV20" i="7"/>
  <c r="CE20" i="7"/>
  <c r="FW20" i="7"/>
  <c r="CF20" i="7"/>
  <c r="FX20" i="7"/>
  <c r="CG20" i="7"/>
  <c r="FY20" i="7"/>
  <c r="CH20" i="7"/>
  <c r="FZ20" i="7"/>
  <c r="CI20" i="7"/>
  <c r="GA20" i="7"/>
  <c r="CJ20" i="7"/>
  <c r="GB20" i="7"/>
  <c r="CK20" i="7"/>
  <c r="GC20" i="7"/>
  <c r="CL20" i="7"/>
  <c r="GD20" i="7"/>
  <c r="CM20" i="7"/>
  <c r="GE20" i="7"/>
  <c r="CN20" i="7"/>
  <c r="GF20" i="7"/>
  <c r="CO20" i="7"/>
  <c r="GG20" i="7"/>
  <c r="CP20" i="7"/>
  <c r="GH20" i="7"/>
  <c r="CQ20" i="7"/>
  <c r="GI20" i="7"/>
  <c r="CR20" i="7"/>
  <c r="GJ20" i="7"/>
  <c r="S20" i="7"/>
  <c r="CS20" i="7"/>
  <c r="GK20" i="7"/>
  <c r="CT20" i="7"/>
  <c r="GL20" i="7"/>
  <c r="CU20" i="7"/>
  <c r="GM20" i="7"/>
  <c r="CV20" i="7"/>
  <c r="GN20" i="7"/>
  <c r="CW20" i="7"/>
  <c r="GO20" i="7"/>
  <c r="CX20" i="7"/>
  <c r="GP20" i="7"/>
  <c r="Y20" i="7"/>
  <c r="CY20" i="7"/>
  <c r="GQ20" i="7"/>
  <c r="CZ20" i="7"/>
  <c r="GR20" i="7"/>
  <c r="DA20" i="7"/>
  <c r="GS20" i="7"/>
  <c r="DB20" i="7"/>
  <c r="GT20" i="7"/>
  <c r="DC20" i="7"/>
  <c r="GU20" i="7"/>
  <c r="DD20" i="7"/>
  <c r="AE20" i="7"/>
  <c r="DE20" i="7"/>
  <c r="DF20" i="7"/>
  <c r="DG20" i="7"/>
  <c r="DH20" i="7"/>
  <c r="N20" i="7"/>
  <c r="DI20" i="7"/>
  <c r="O20" i="7"/>
  <c r="DJ20" i="7"/>
  <c r="P20" i="7"/>
  <c r="DK20" i="7"/>
  <c r="Q20" i="7"/>
  <c r="DL20" i="7"/>
  <c r="R20" i="7"/>
  <c r="DM20" i="7"/>
  <c r="T20" i="7"/>
  <c r="DN20" i="7"/>
  <c r="U20" i="7"/>
  <c r="DO20" i="7"/>
  <c r="V20" i="7"/>
  <c r="DP20" i="7"/>
  <c r="W20" i="7"/>
  <c r="DQ20" i="7"/>
  <c r="X20" i="7"/>
  <c r="DR20" i="7"/>
  <c r="Z20" i="7"/>
  <c r="DS20" i="7"/>
  <c r="AA20" i="7"/>
  <c r="DT20" i="7"/>
  <c r="AB20" i="7"/>
  <c r="DU20" i="7"/>
  <c r="AC20" i="7"/>
  <c r="DV20" i="7"/>
  <c r="AD20" i="7"/>
  <c r="DW20" i="7"/>
  <c r="AF20" i="7"/>
  <c r="DX20" i="7"/>
  <c r="AG20" i="7"/>
  <c r="DY20" i="7"/>
  <c r="AH20" i="7"/>
  <c r="DZ20" i="7"/>
  <c r="AI20" i="7"/>
  <c r="EA20" i="7"/>
  <c r="AJ20" i="7"/>
  <c r="EB20" i="7"/>
  <c r="AK20" i="7"/>
  <c r="EC20" i="7"/>
  <c r="AL20" i="7"/>
  <c r="ED20" i="7"/>
  <c r="AM20" i="7"/>
  <c r="EE20" i="7"/>
  <c r="AN20" i="7"/>
  <c r="EF20" i="7"/>
  <c r="AO20" i="7"/>
  <c r="EG20" i="7"/>
  <c r="AP20" i="7"/>
  <c r="EH20" i="7"/>
  <c r="AQ20" i="7"/>
  <c r="EI20" i="7"/>
  <c r="AR20" i="7"/>
  <c r="EJ20" i="7"/>
  <c r="AS20" i="7"/>
  <c r="EK20" i="7"/>
  <c r="AT20" i="7"/>
  <c r="EL20" i="7"/>
  <c r="AU20" i="7"/>
  <c r="EM20" i="7"/>
  <c r="AV20" i="7"/>
  <c r="EN20" i="7"/>
  <c r="AW20" i="7"/>
  <c r="EO20" i="7"/>
  <c r="AX20" i="7"/>
  <c r="EP20" i="7"/>
  <c r="AY20" i="7"/>
  <c r="EQ20" i="7"/>
  <c r="AZ20" i="7"/>
  <c r="ER20" i="7"/>
  <c r="BA20" i="7"/>
  <c r="ES20" i="7"/>
  <c r="BB20" i="7"/>
  <c r="ET20" i="7"/>
  <c r="BC20" i="7"/>
  <c r="EU20" i="7"/>
  <c r="BD20" i="7"/>
  <c r="EV20" i="7"/>
  <c r="BE20" i="7"/>
  <c r="EW20" i="7"/>
  <c r="BF20" i="7"/>
  <c r="EX20" i="7"/>
  <c r="BG20" i="7"/>
  <c r="EY20" i="7"/>
  <c r="BH20" i="7"/>
  <c r="EZ20" i="7"/>
  <c r="H66" i="7"/>
  <c r="H27" i="7"/>
  <c r="J38" i="7"/>
  <c r="J5" i="7"/>
  <c r="M38" i="7"/>
  <c r="L38" i="7"/>
  <c r="K38" i="7"/>
  <c r="M5" i="7"/>
  <c r="L5" i="7"/>
  <c r="K5" i="7"/>
  <c r="L55" i="7"/>
  <c r="K55" i="7"/>
  <c r="M55" i="7"/>
  <c r="M20" i="7"/>
  <c r="K20" i="7"/>
  <c r="L20" i="7"/>
  <c r="K51" i="7"/>
  <c r="J51" i="7"/>
  <c r="J13" i="7"/>
  <c r="K13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3" i="7"/>
  <c r="DR13" i="7"/>
  <c r="AA13" i="7"/>
  <c r="DS13" i="7"/>
  <c r="AB13" i="7"/>
  <c r="AR13" i="7"/>
  <c r="AX13" i="7"/>
  <c r="EP13" i="7"/>
  <c r="BP13" i="7"/>
  <c r="BV13" i="7"/>
  <c r="FN13" i="7"/>
  <c r="BW13" i="7"/>
  <c r="FO13" i="7"/>
  <c r="BB13" i="7"/>
  <c r="N13" i="7"/>
  <c r="EV13" i="7"/>
  <c r="BQ13" i="7"/>
  <c r="GA13" i="7"/>
  <c r="BZ13" i="7"/>
  <c r="FR13" i="7"/>
  <c r="EU13" i="7"/>
  <c r="EX13" i="7"/>
  <c r="EY13" i="7"/>
  <c r="FA13" i="7"/>
  <c r="FQ13" i="7"/>
  <c r="DH13" i="7"/>
  <c r="T13" i="7"/>
  <c r="FB13" i="7"/>
  <c r="CC13" i="7"/>
  <c r="GG13" i="7"/>
  <c r="CF13" i="7"/>
  <c r="FX13" i="7"/>
  <c r="FG13" i="7"/>
  <c r="FJ13" i="7"/>
  <c r="FK13" i="7"/>
  <c r="FM13" i="7"/>
  <c r="GC13" i="7"/>
  <c r="GB13" i="7"/>
  <c r="AF13" i="7"/>
  <c r="FH13" i="7"/>
  <c r="CI13" i="7"/>
  <c r="GM13" i="7"/>
  <c r="CL13" i="7"/>
  <c r="GD13" i="7"/>
  <c r="FS13" i="7"/>
  <c r="FV13" i="7"/>
  <c r="FW13" i="7"/>
  <c r="FY13" i="7"/>
  <c r="GO13" i="7"/>
  <c r="AL13" i="7"/>
  <c r="FT13" i="7"/>
  <c r="CO13" i="7"/>
  <c r="GS13" i="7"/>
  <c r="CR13" i="7"/>
  <c r="GJ13" i="7"/>
  <c r="GE13" i="7"/>
  <c r="GH13" i="7"/>
  <c r="GI13" i="7"/>
  <c r="GK13" i="7"/>
  <c r="AZ13" i="7"/>
  <c r="BD13" i="7"/>
  <c r="FZ13" i="7"/>
  <c r="CU13" i="7"/>
  <c r="P13" i="7"/>
  <c r="CX13" i="7"/>
  <c r="GP13" i="7"/>
  <c r="GQ13" i="7"/>
  <c r="GT13" i="7"/>
  <c r="GU13" i="7"/>
  <c r="AC13" i="7"/>
  <c r="DT13" i="7"/>
  <c r="BJ13" i="7"/>
  <c r="GF13" i="7"/>
  <c r="DA13" i="7"/>
  <c r="V13" i="7"/>
  <c r="DD13" i="7"/>
  <c r="M13" i="7"/>
  <c r="Q13" i="7"/>
  <c r="S13" i="7"/>
  <c r="W13" i="7"/>
  <c r="AO13" i="7"/>
  <c r="GN13" i="7"/>
  <c r="CB13" i="7"/>
  <c r="GL13" i="7"/>
  <c r="DG13" i="7"/>
  <c r="L13" i="7"/>
  <c r="DJ13" i="7"/>
  <c r="AE13" i="7"/>
  <c r="AH13" i="7"/>
  <c r="AI13" i="7"/>
  <c r="AK13" i="7"/>
  <c r="BA13" i="7"/>
  <c r="BL13" i="7"/>
  <c r="CH13" i="7"/>
  <c r="GR13" i="7"/>
  <c r="DM13" i="7"/>
  <c r="R13" i="7"/>
  <c r="DP13" i="7"/>
  <c r="AQ13" i="7"/>
  <c r="AT13" i="7"/>
  <c r="AU13" i="7"/>
  <c r="AW13" i="7"/>
  <c r="BM13" i="7"/>
  <c r="EF13" i="7"/>
  <c r="CN13" i="7"/>
  <c r="O13" i="7"/>
  <c r="DY13" i="7"/>
  <c r="X13" i="7"/>
  <c r="DV13" i="7"/>
  <c r="BC13" i="7"/>
  <c r="BF13" i="7"/>
  <c r="BG13" i="7"/>
  <c r="BI13" i="7"/>
  <c r="BY13" i="7"/>
  <c r="BX13" i="7"/>
  <c r="CT13" i="7"/>
  <c r="U13" i="7"/>
  <c r="EE13" i="7"/>
  <c r="AD13" i="7"/>
  <c r="EB13" i="7"/>
  <c r="BO13" i="7"/>
  <c r="BR13" i="7"/>
  <c r="BS13" i="7"/>
  <c r="BU13" i="7"/>
  <c r="CK13" i="7"/>
  <c r="ER13" i="7"/>
  <c r="CZ13" i="7"/>
  <c r="AG13" i="7"/>
  <c r="EK13" i="7"/>
  <c r="AJ13" i="7"/>
  <c r="EH13" i="7"/>
  <c r="CA13" i="7"/>
  <c r="CD13" i="7"/>
  <c r="CE13" i="7"/>
  <c r="CG13" i="7"/>
  <c r="CW13" i="7"/>
  <c r="CJ13" i="7"/>
  <c r="DF13" i="7"/>
  <c r="AM13" i="7"/>
  <c r="EQ13" i="7"/>
  <c r="AP13" i="7"/>
  <c r="EN13" i="7"/>
  <c r="CM13" i="7"/>
  <c r="CP13" i="7"/>
  <c r="CQ13" i="7"/>
  <c r="CS13" i="7"/>
  <c r="DI13" i="7"/>
  <c r="FD13" i="7"/>
  <c r="DL13" i="7"/>
  <c r="AS13" i="7"/>
  <c r="EW13" i="7"/>
  <c r="AV13" i="7"/>
  <c r="ET13" i="7"/>
  <c r="CY13" i="7"/>
  <c r="DB13" i="7"/>
  <c r="DC13" i="7"/>
  <c r="DE13" i="7"/>
  <c r="DU13" i="7"/>
  <c r="Y13" i="7"/>
  <c r="DX13" i="7"/>
  <c r="AY13" i="7"/>
  <c r="FC13" i="7"/>
  <c r="BH13" i="7"/>
  <c r="EZ13" i="7"/>
  <c r="DK13" i="7"/>
  <c r="DN13" i="7"/>
  <c r="DO13" i="7"/>
  <c r="DQ13" i="7"/>
  <c r="EG13" i="7"/>
  <c r="CV13" i="7"/>
  <c r="ED13" i="7"/>
  <c r="BE13" i="7"/>
  <c r="FI13" i="7"/>
  <c r="BN13" i="7"/>
  <c r="FF13" i="7"/>
  <c r="DW13" i="7"/>
  <c r="DZ13" i="7"/>
  <c r="EA13" i="7"/>
  <c r="EC13" i="7"/>
  <c r="ES13" i="7"/>
  <c r="FP13" i="7"/>
  <c r="EJ13" i="7"/>
  <c r="BK13" i="7"/>
  <c r="FU13" i="7"/>
  <c r="BT13" i="7"/>
  <c r="FL13" i="7"/>
  <c r="EI13" i="7"/>
  <c r="EL13" i="7"/>
  <c r="EM13" i="7"/>
  <c r="EO13" i="7"/>
  <c r="FE13" i="7"/>
  <c r="AN13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8" i="7"/>
  <c r="DS8" i="7"/>
  <c r="BL8" i="7"/>
  <c r="BT8" i="7"/>
  <c r="FL8" i="7"/>
  <c r="BV8" i="7"/>
  <c r="CQ8" i="7"/>
  <c r="CS8" i="7"/>
  <c r="CE8" i="7"/>
  <c r="BO8" i="7"/>
  <c r="BA8" i="7"/>
  <c r="EL8" i="7"/>
  <c r="AG8" i="7"/>
  <c r="DY8" i="7"/>
  <c r="BR8" i="7"/>
  <c r="BZ8" i="7"/>
  <c r="FR8" i="7"/>
  <c r="CB8" i="7"/>
  <c r="DC8" i="7"/>
  <c r="DE8" i="7"/>
  <c r="CV8" i="7"/>
  <c r="CG8" i="7"/>
  <c r="BS8" i="7"/>
  <c r="GH8" i="7"/>
  <c r="AM8" i="7"/>
  <c r="EE8" i="7"/>
  <c r="BX8" i="7"/>
  <c r="CF8" i="7"/>
  <c r="FX8" i="7"/>
  <c r="CH8" i="7"/>
  <c r="DO8" i="7"/>
  <c r="DQ8" i="7"/>
  <c r="DH8" i="7"/>
  <c r="CW8" i="7"/>
  <c r="CK8" i="7"/>
  <c r="BU8" i="7"/>
  <c r="AS8" i="7"/>
  <c r="EK8" i="7"/>
  <c r="CD8" i="7"/>
  <c r="CL8" i="7"/>
  <c r="GD8" i="7"/>
  <c r="CN8" i="7"/>
  <c r="EA8" i="7"/>
  <c r="EC8" i="7"/>
  <c r="DT8" i="7"/>
  <c r="DI8" i="7"/>
  <c r="CY8" i="7"/>
  <c r="EU8" i="7"/>
  <c r="AY8" i="7"/>
  <c r="EQ8" i="7"/>
  <c r="CJ8" i="7"/>
  <c r="CR8" i="7"/>
  <c r="GJ8" i="7"/>
  <c r="CT8" i="7"/>
  <c r="EM8" i="7"/>
  <c r="EO8" i="7"/>
  <c r="EF8" i="7"/>
  <c r="DU8" i="7"/>
  <c r="DK8" i="7"/>
  <c r="GO8" i="7"/>
  <c r="BE8" i="7"/>
  <c r="EW8" i="7"/>
  <c r="CP8" i="7"/>
  <c r="CX8" i="7"/>
  <c r="GP8" i="7"/>
  <c r="CZ8" i="7"/>
  <c r="EV8" i="7"/>
  <c r="EX8" i="7"/>
  <c r="EP8" i="7"/>
  <c r="EG8" i="7"/>
  <c r="DW8" i="7"/>
  <c r="CM8" i="7"/>
  <c r="BK8" i="7"/>
  <c r="FC8" i="7"/>
  <c r="DD8" i="7"/>
  <c r="N8" i="7"/>
  <c r="DF8" i="7"/>
  <c r="FE8" i="7"/>
  <c r="FG8" i="7"/>
  <c r="EY8" i="7"/>
  <c r="ER8" i="7"/>
  <c r="EI8" i="7"/>
  <c r="FD8" i="7"/>
  <c r="BQ8" i="7"/>
  <c r="FI8" i="7"/>
  <c r="R8" i="7"/>
  <c r="DJ8" i="7"/>
  <c r="T8" i="7"/>
  <c r="DL8" i="7"/>
  <c r="FN8" i="7"/>
  <c r="FO8" i="7"/>
  <c r="FH8" i="7"/>
  <c r="FA8" i="7"/>
  <c r="ES8" i="7"/>
  <c r="DB8" i="7"/>
  <c r="BW8" i="7"/>
  <c r="P8" i="7"/>
  <c r="X8" i="7"/>
  <c r="DP8" i="7"/>
  <c r="Z8" i="7"/>
  <c r="DR8" i="7"/>
  <c r="FU8" i="7"/>
  <c r="FV8" i="7"/>
  <c r="FP8" i="7"/>
  <c r="FJ8" i="7"/>
  <c r="FB8" i="7"/>
  <c r="FM8" i="7"/>
  <c r="CC8" i="7"/>
  <c r="V8" i="7"/>
  <c r="AD8" i="7"/>
  <c r="DV8" i="7"/>
  <c r="AF8" i="7"/>
  <c r="DX8" i="7"/>
  <c r="GB8" i="7"/>
  <c r="GC8" i="7"/>
  <c r="FW8" i="7"/>
  <c r="FQ8" i="7"/>
  <c r="FK8" i="7"/>
  <c r="S8" i="7"/>
  <c r="CI8" i="7"/>
  <c r="AB8" i="7"/>
  <c r="AJ8" i="7"/>
  <c r="EB8" i="7"/>
  <c r="AL8" i="7"/>
  <c r="ED8" i="7"/>
  <c r="GI8" i="7"/>
  <c r="GK8" i="7"/>
  <c r="GE8" i="7"/>
  <c r="FY8" i="7"/>
  <c r="FS8" i="7"/>
  <c r="DN8" i="7"/>
  <c r="CO8" i="7"/>
  <c r="AH8" i="7"/>
  <c r="AP8" i="7"/>
  <c r="EH8" i="7"/>
  <c r="AR8" i="7"/>
  <c r="EJ8" i="7"/>
  <c r="GQ8" i="7"/>
  <c r="GR8" i="7"/>
  <c r="GL8" i="7"/>
  <c r="GF8" i="7"/>
  <c r="FZ8" i="7"/>
  <c r="FT8" i="7"/>
  <c r="CU8" i="7"/>
  <c r="AN8" i="7"/>
  <c r="AV8" i="7"/>
  <c r="EN8" i="7"/>
  <c r="AX8" i="7"/>
  <c r="W8" i="7"/>
  <c r="Y8" i="7"/>
  <c r="GS8" i="7"/>
  <c r="GM8" i="7"/>
  <c r="GG8" i="7"/>
  <c r="AK8" i="7"/>
  <c r="DA8" i="7"/>
  <c r="AT8" i="7"/>
  <c r="BB8" i="7"/>
  <c r="ET8" i="7"/>
  <c r="BD8" i="7"/>
  <c r="AO8" i="7"/>
  <c r="AQ8" i="7"/>
  <c r="AC8" i="7"/>
  <c r="GT8" i="7"/>
  <c r="GN8" i="7"/>
  <c r="DZ8" i="7"/>
  <c r="O8" i="7"/>
  <c r="DG8" i="7"/>
  <c r="AZ8" i="7"/>
  <c r="BH8" i="7"/>
  <c r="EZ8" i="7"/>
  <c r="BJ8" i="7"/>
  <c r="BG8" i="7"/>
  <c r="BI8" i="7"/>
  <c r="AU8" i="7"/>
  <c r="AE8" i="7"/>
  <c r="Q8" i="7"/>
  <c r="GU8" i="7"/>
  <c r="GA8" i="7"/>
  <c r="U8" i="7"/>
  <c r="DM8" i="7"/>
  <c r="BF8" i="7"/>
  <c r="BN8" i="7"/>
  <c r="FF8" i="7"/>
  <c r="BP8" i="7"/>
  <c r="BY8" i="7"/>
  <c r="CA8" i="7"/>
  <c r="BM8" i="7"/>
  <c r="AW8" i="7"/>
  <c r="AI8" i="7"/>
  <c r="BC8" i="7"/>
  <c r="J59" i="7"/>
  <c r="J25" i="7"/>
  <c r="M59" i="7"/>
  <c r="L59" i="7"/>
  <c r="K59" i="7"/>
  <c r="L25" i="7"/>
  <c r="K25" i="7"/>
  <c r="M25" i="7"/>
  <c r="J52" i="7"/>
  <c r="EB52" i="7"/>
  <c r="BM52" i="7"/>
  <c r="J14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4" i="7"/>
  <c r="L52" i="7"/>
  <c r="K52" i="7"/>
  <c r="EY52" i="7"/>
  <c r="L14" i="7"/>
  <c r="Q14" i="7"/>
  <c r="W14" i="7"/>
  <c r="R14" i="7"/>
  <c r="X14" i="7"/>
  <c r="M14" i="7"/>
  <c r="S14" i="7"/>
  <c r="Y14" i="7"/>
  <c r="N14" i="7"/>
  <c r="T14" i="7"/>
  <c r="O14" i="7"/>
  <c r="U14" i="7"/>
  <c r="P14" i="7"/>
  <c r="V14" i="7"/>
  <c r="CE14" i="7"/>
  <c r="FH14" i="7"/>
  <c r="BR14" i="7"/>
  <c r="EU14" i="7"/>
  <c r="BE14" i="7"/>
  <c r="DR14" i="7"/>
  <c r="GE14" i="7"/>
  <c r="BY14" i="7"/>
  <c r="FB14" i="7"/>
  <c r="BL14" i="7"/>
  <c r="EO14" i="7"/>
  <c r="CU14" i="7"/>
  <c r="FX14" i="7"/>
  <c r="CH14" i="7"/>
  <c r="FK14" i="7"/>
  <c r="BU14" i="7"/>
  <c r="EH14" i="7"/>
  <c r="GU14" i="7"/>
  <c r="CO14" i="7"/>
  <c r="FR14" i="7"/>
  <c r="CB14" i="7"/>
  <c r="FE14" i="7"/>
  <c r="DK14" i="7"/>
  <c r="GN14" i="7"/>
  <c r="CX14" i="7"/>
  <c r="GA14" i="7"/>
  <c r="CK14" i="7"/>
  <c r="EX14" i="7"/>
  <c r="AB14" i="7"/>
  <c r="DE14" i="7"/>
  <c r="GH14" i="7"/>
  <c r="CR14" i="7"/>
  <c r="FU14" i="7"/>
  <c r="EA14" i="7"/>
  <c r="AK14" i="7"/>
  <c r="DN14" i="7"/>
  <c r="GQ14" i="7"/>
  <c r="DA14" i="7"/>
  <c r="FN14" i="7"/>
  <c r="AR14" i="7"/>
  <c r="DU14" i="7"/>
  <c r="AE14" i="7"/>
  <c r="DH14" i="7"/>
  <c r="GK14" i="7"/>
  <c r="EQ14" i="7"/>
  <c r="BA14" i="7"/>
  <c r="ED14" i="7"/>
  <c r="AN14" i="7"/>
  <c r="DQ14" i="7"/>
  <c r="GD14" i="7"/>
  <c r="BH14" i="7"/>
  <c r="EK14" i="7"/>
  <c r="AU14" i="7"/>
  <c r="DX14" i="7"/>
  <c r="AH14" i="7"/>
  <c r="FG14" i="7"/>
  <c r="BQ14" i="7"/>
  <c r="ET14" i="7"/>
  <c r="BD14" i="7"/>
  <c r="EG14" i="7"/>
  <c r="GT14" i="7"/>
  <c r="BX14" i="7"/>
  <c r="FA14" i="7"/>
  <c r="BK14" i="7"/>
  <c r="EN14" i="7"/>
  <c r="AX14" i="7"/>
  <c r="FW14" i="7"/>
  <c r="CG14" i="7"/>
  <c r="FJ14" i="7"/>
  <c r="BT14" i="7"/>
  <c r="EW14" i="7"/>
  <c r="AA14" i="7"/>
  <c r="CN14" i="7"/>
  <c r="FQ14" i="7"/>
  <c r="CA14" i="7"/>
  <c r="FD14" i="7"/>
  <c r="BN14" i="7"/>
  <c r="GM14" i="7"/>
  <c r="CW14" i="7"/>
  <c r="FZ14" i="7"/>
  <c r="CJ14" i="7"/>
  <c r="FM14" i="7"/>
  <c r="AQ14" i="7"/>
  <c r="DD14" i="7"/>
  <c r="GG14" i="7"/>
  <c r="CQ14" i="7"/>
  <c r="FT14" i="7"/>
  <c r="CD14" i="7"/>
  <c r="AJ14" i="7"/>
  <c r="DM14" i="7"/>
  <c r="GP14" i="7"/>
  <c r="CZ14" i="7"/>
  <c r="GC14" i="7"/>
  <c r="BG14" i="7"/>
  <c r="DT14" i="7"/>
  <c r="AD14" i="7"/>
  <c r="DG14" i="7"/>
  <c r="GJ14" i="7"/>
  <c r="CT14" i="7"/>
  <c r="AZ14" i="7"/>
  <c r="EC14" i="7"/>
  <c r="AM14" i="7"/>
  <c r="DP14" i="7"/>
  <c r="GS14" i="7"/>
  <c r="BW14" i="7"/>
  <c r="EJ14" i="7"/>
  <c r="AT14" i="7"/>
  <c r="DW14" i="7"/>
  <c r="AG14" i="7"/>
  <c r="DJ14" i="7"/>
  <c r="BP14" i="7"/>
  <c r="ES14" i="7"/>
  <c r="BC14" i="7"/>
  <c r="EF14" i="7"/>
  <c r="Z14" i="7"/>
  <c r="CM14" i="7"/>
  <c r="EZ14" i="7"/>
  <c r="BJ14" i="7"/>
  <c r="EM14" i="7"/>
  <c r="AW14" i="7"/>
  <c r="DZ14" i="7"/>
  <c r="CF14" i="7"/>
  <c r="FI14" i="7"/>
  <c r="BS14" i="7"/>
  <c r="EV14" i="7"/>
  <c r="AP14" i="7"/>
  <c r="DC14" i="7"/>
  <c r="FP14" i="7"/>
  <c r="BZ14" i="7"/>
  <c r="FC14" i="7"/>
  <c r="BM14" i="7"/>
  <c r="EP14" i="7"/>
  <c r="CV14" i="7"/>
  <c r="FY14" i="7"/>
  <c r="CI14" i="7"/>
  <c r="FL14" i="7"/>
  <c r="BF14" i="7"/>
  <c r="DS14" i="7"/>
  <c r="GF14" i="7"/>
  <c r="CP14" i="7"/>
  <c r="FS14" i="7"/>
  <c r="CC14" i="7"/>
  <c r="FF14" i="7"/>
  <c r="AI14" i="7"/>
  <c r="DL14" i="7"/>
  <c r="GO14" i="7"/>
  <c r="CY14" i="7"/>
  <c r="GB14" i="7"/>
  <c r="BV14" i="7"/>
  <c r="EI14" i="7"/>
  <c r="AC14" i="7"/>
  <c r="DF14" i="7"/>
  <c r="GI14" i="7"/>
  <c r="CS14" i="7"/>
  <c r="FV14" i="7"/>
  <c r="AY14" i="7"/>
  <c r="EB14" i="7"/>
  <c r="AL14" i="7"/>
  <c r="DO14" i="7"/>
  <c r="GR14" i="7"/>
  <c r="CL14" i="7"/>
  <c r="EY14" i="7"/>
  <c r="AS14" i="7"/>
  <c r="DV14" i="7"/>
  <c r="AF14" i="7"/>
  <c r="DI14" i="7"/>
  <c r="GL14" i="7"/>
  <c r="BO14" i="7"/>
  <c r="ER14" i="7"/>
  <c r="BB14" i="7"/>
  <c r="EE14" i="7"/>
  <c r="AO14" i="7"/>
  <c r="DB14" i="7"/>
  <c r="FO14" i="7"/>
  <c r="BI14" i="7"/>
  <c r="EL14" i="7"/>
  <c r="AV14" i="7"/>
  <c r="DY14" i="7"/>
  <c r="L63" i="7"/>
  <c r="K63" i="7"/>
  <c r="K32" i="7"/>
  <c r="L32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1" i="7"/>
  <c r="BU11" i="7"/>
  <c r="DV11" i="7"/>
  <c r="AT11" i="7"/>
  <c r="FG11" i="7"/>
  <c r="CU11" i="7"/>
  <c r="GR11" i="7"/>
  <c r="EE11" i="7"/>
  <c r="DS11" i="7"/>
  <c r="CI11" i="7"/>
  <c r="FQ11" i="7"/>
  <c r="CW11" i="7"/>
  <c r="CA11" i="7"/>
  <c r="EB11" i="7"/>
  <c r="BD11" i="7"/>
  <c r="FM11" i="7"/>
  <c r="DB11" i="7"/>
  <c r="EK11" i="7"/>
  <c r="EL11" i="7"/>
  <c r="DE11" i="7"/>
  <c r="AP11" i="7"/>
  <c r="AR11" i="7"/>
  <c r="DC11" i="7"/>
  <c r="CG11" i="7"/>
  <c r="EH11" i="7"/>
  <c r="BL11" i="7"/>
  <c r="FS11" i="7"/>
  <c r="DJ11" i="7"/>
  <c r="V11" i="7"/>
  <c r="EQ11" i="7"/>
  <c r="FD11" i="7"/>
  <c r="DZ11" i="7"/>
  <c r="BQ11" i="7"/>
  <c r="Q11" i="7"/>
  <c r="DI11" i="7"/>
  <c r="R11" i="7"/>
  <c r="EN11" i="7"/>
  <c r="BV11" i="7"/>
  <c r="FY11" i="7"/>
  <c r="DQ11" i="7"/>
  <c r="AF11" i="7"/>
  <c r="EW11" i="7"/>
  <c r="FV11" i="7"/>
  <c r="ER11" i="7"/>
  <c r="CP11" i="7"/>
  <c r="W11" i="7"/>
  <c r="DO11" i="7"/>
  <c r="AA11" i="7"/>
  <c r="ET11" i="7"/>
  <c r="CD11" i="7"/>
  <c r="GE11" i="7"/>
  <c r="DX11" i="7"/>
  <c r="AN11" i="7"/>
  <c r="FC11" i="7"/>
  <c r="GN11" i="7"/>
  <c r="FJ11" i="7"/>
  <c r="DL11" i="7"/>
  <c r="AC11" i="7"/>
  <c r="DU11" i="7"/>
  <c r="AJ11" i="7"/>
  <c r="EZ11" i="7"/>
  <c r="CM11" i="7"/>
  <c r="GK11" i="7"/>
  <c r="ED11" i="7"/>
  <c r="AX11" i="7"/>
  <c r="FI11" i="7"/>
  <c r="Z11" i="7"/>
  <c r="GB11" i="7"/>
  <c r="EF11" i="7"/>
  <c r="AI11" i="7"/>
  <c r="AS11" i="7"/>
  <c r="FF11" i="7"/>
  <c r="CT11" i="7"/>
  <c r="GQ11" i="7"/>
  <c r="EJ11" i="7"/>
  <c r="BF11" i="7"/>
  <c r="FO11" i="7"/>
  <c r="AZ11" i="7"/>
  <c r="GT11" i="7"/>
  <c r="EX11" i="7"/>
  <c r="AO11" i="7"/>
  <c r="S11" i="7"/>
  <c r="BB11" i="7"/>
  <c r="FL11" i="7"/>
  <c r="DA11" i="7"/>
  <c r="U11" i="7"/>
  <c r="EP11" i="7"/>
  <c r="BP11" i="7"/>
  <c r="FU11" i="7"/>
  <c r="CB11" i="7"/>
  <c r="AH11" i="7"/>
  <c r="FP11" i="7"/>
  <c r="AU11" i="7"/>
  <c r="Y11" i="7"/>
  <c r="BK11" i="7"/>
  <c r="FR11" i="7"/>
  <c r="DH11" i="7"/>
  <c r="AD11" i="7"/>
  <c r="EV11" i="7"/>
  <c r="BX11" i="7"/>
  <c r="GA11" i="7"/>
  <c r="CY11" i="7"/>
  <c r="BJ11" i="7"/>
  <c r="GH11" i="7"/>
  <c r="BA11" i="7"/>
  <c r="AE11" i="7"/>
  <c r="BT11" i="7"/>
  <c r="FX11" i="7"/>
  <c r="DP11" i="7"/>
  <c r="AM11" i="7"/>
  <c r="FB11" i="7"/>
  <c r="CH11" i="7"/>
  <c r="GG11" i="7"/>
  <c r="DT11" i="7"/>
  <c r="CJ11" i="7"/>
  <c r="BR11" i="7"/>
  <c r="BG11" i="7"/>
  <c r="AK11" i="7"/>
  <c r="CC11" i="7"/>
  <c r="GD11" i="7"/>
  <c r="DW11" i="7"/>
  <c r="AV11" i="7"/>
  <c r="FH11" i="7"/>
  <c r="CO11" i="7"/>
  <c r="GM11" i="7"/>
  <c r="EM11" i="7"/>
  <c r="DF11" i="7"/>
  <c r="GI11" i="7"/>
  <c r="BM11" i="7"/>
  <c r="AQ11" i="7"/>
  <c r="CL11" i="7"/>
  <c r="GJ11" i="7"/>
  <c r="EC11" i="7"/>
  <c r="BE11" i="7"/>
  <c r="FN11" i="7"/>
  <c r="CV11" i="7"/>
  <c r="GS11" i="7"/>
  <c r="FE11" i="7"/>
  <c r="EA11" i="7"/>
  <c r="CR11" i="7"/>
  <c r="BS11" i="7"/>
  <c r="AW11" i="7"/>
  <c r="CS11" i="7"/>
  <c r="GP11" i="7"/>
  <c r="EI11" i="7"/>
  <c r="BN11" i="7"/>
  <c r="FT11" i="7"/>
  <c r="DD11" i="7"/>
  <c r="X11" i="7"/>
  <c r="FW11" i="7"/>
  <c r="ES11" i="7"/>
  <c r="DM11" i="7"/>
  <c r="BY11" i="7"/>
  <c r="BC11" i="7"/>
  <c r="CZ11" i="7"/>
  <c r="T11" i="7"/>
  <c r="EO11" i="7"/>
  <c r="BW11" i="7"/>
  <c r="FZ11" i="7"/>
  <c r="DK11" i="7"/>
  <c r="AY11" i="7"/>
  <c r="GO11" i="7"/>
  <c r="FK11" i="7"/>
  <c r="EG11" i="7"/>
  <c r="CE11" i="7"/>
  <c r="BI11" i="7"/>
  <c r="DG11" i="7"/>
  <c r="AB11" i="7"/>
  <c r="EU11" i="7"/>
  <c r="CF11" i="7"/>
  <c r="GF11" i="7"/>
  <c r="DR11" i="7"/>
  <c r="BZ11" i="7"/>
  <c r="AG11" i="7"/>
  <c r="GC11" i="7"/>
  <c r="P11" i="7"/>
  <c r="CK11" i="7"/>
  <c r="BO11" i="7"/>
  <c r="DN11" i="7"/>
  <c r="AL11" i="7"/>
  <c r="FA11" i="7"/>
  <c r="CN11" i="7"/>
  <c r="GL11" i="7"/>
  <c r="DY11" i="7"/>
  <c r="CX11" i="7"/>
  <c r="BH11" i="7"/>
  <c r="GU11" i="7"/>
  <c r="EY11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28" i="7"/>
  <c r="DT28" i="7"/>
  <c r="AC28" i="7"/>
  <c r="DU28" i="7"/>
  <c r="AD28" i="7"/>
  <c r="DV28" i="7"/>
  <c r="AK28" i="7"/>
  <c r="EC28" i="7"/>
  <c r="CT28" i="7"/>
  <c r="AF28" i="7"/>
  <c r="EK28" i="7"/>
  <c r="AM28" i="7"/>
  <c r="AH28" i="7"/>
  <c r="DZ28" i="7"/>
  <c r="AI28" i="7"/>
  <c r="EA28" i="7"/>
  <c r="AJ28" i="7"/>
  <c r="EB28" i="7"/>
  <c r="AQ28" i="7"/>
  <c r="EI28" i="7"/>
  <c r="DL28" i="7"/>
  <c r="AX28" i="7"/>
  <c r="FC28" i="7"/>
  <c r="BE28" i="7"/>
  <c r="AN28" i="7"/>
  <c r="EF28" i="7"/>
  <c r="AO28" i="7"/>
  <c r="EG28" i="7"/>
  <c r="AP28" i="7"/>
  <c r="EH28" i="7"/>
  <c r="AW28" i="7"/>
  <c r="EO28" i="7"/>
  <c r="ED28" i="7"/>
  <c r="BP28" i="7"/>
  <c r="FU28" i="7"/>
  <c r="BW28" i="7"/>
  <c r="AT28" i="7"/>
  <c r="EL28" i="7"/>
  <c r="AU28" i="7"/>
  <c r="EM28" i="7"/>
  <c r="AV28" i="7"/>
  <c r="EN28" i="7"/>
  <c r="BC28" i="7"/>
  <c r="EU28" i="7"/>
  <c r="EV28" i="7"/>
  <c r="CH28" i="7"/>
  <c r="GM28" i="7"/>
  <c r="CO28" i="7"/>
  <c r="AZ28" i="7"/>
  <c r="ER28" i="7"/>
  <c r="BA28" i="7"/>
  <c r="ES28" i="7"/>
  <c r="BB28" i="7"/>
  <c r="ET28" i="7"/>
  <c r="BI28" i="7"/>
  <c r="FA28" i="7"/>
  <c r="FN28" i="7"/>
  <c r="CZ28" i="7"/>
  <c r="T28" i="7"/>
  <c r="DG28" i="7"/>
  <c r="BF28" i="7"/>
  <c r="EX28" i="7"/>
  <c r="BG28" i="7"/>
  <c r="EY28" i="7"/>
  <c r="BH28" i="7"/>
  <c r="EZ28" i="7"/>
  <c r="BO28" i="7"/>
  <c r="FG28" i="7"/>
  <c r="GF28" i="7"/>
  <c r="DR28" i="7"/>
  <c r="AL28" i="7"/>
  <c r="DY28" i="7"/>
  <c r="BL28" i="7"/>
  <c r="FD28" i="7"/>
  <c r="BM28" i="7"/>
  <c r="FE28" i="7"/>
  <c r="BN28" i="7"/>
  <c r="FF28" i="7"/>
  <c r="BU28" i="7"/>
  <c r="FM28" i="7"/>
  <c r="AA28" i="7"/>
  <c r="EJ28" i="7"/>
  <c r="BD28" i="7"/>
  <c r="EQ28" i="7"/>
  <c r="BR28" i="7"/>
  <c r="FJ28" i="7"/>
  <c r="BS28" i="7"/>
  <c r="FK28" i="7"/>
  <c r="BT28" i="7"/>
  <c r="FL28" i="7"/>
  <c r="CA28" i="7"/>
  <c r="FS28" i="7"/>
  <c r="AS28" i="7"/>
  <c r="FB28" i="7"/>
  <c r="BV28" i="7"/>
  <c r="FI28" i="7"/>
  <c r="BX28" i="7"/>
  <c r="FP28" i="7"/>
  <c r="BY28" i="7"/>
  <c r="FQ28" i="7"/>
  <c r="BZ28" i="7"/>
  <c r="FR28" i="7"/>
  <c r="CG28" i="7"/>
  <c r="FY28" i="7"/>
  <c r="BK28" i="7"/>
  <c r="FT28" i="7"/>
  <c r="CN28" i="7"/>
  <c r="GA28" i="7"/>
  <c r="CD28" i="7"/>
  <c r="FV28" i="7"/>
  <c r="CE28" i="7"/>
  <c r="FW28" i="7"/>
  <c r="CF28" i="7"/>
  <c r="FX28" i="7"/>
  <c r="CM28" i="7"/>
  <c r="GE28" i="7"/>
  <c r="CC28" i="7"/>
  <c r="GL28" i="7"/>
  <c r="DF28" i="7"/>
  <c r="GS28" i="7"/>
  <c r="CJ28" i="7"/>
  <c r="GB28" i="7"/>
  <c r="CK28" i="7"/>
  <c r="GC28" i="7"/>
  <c r="CL28" i="7"/>
  <c r="GD28" i="7"/>
  <c r="CS28" i="7"/>
  <c r="GK28" i="7"/>
  <c r="CU28" i="7"/>
  <c r="AG28" i="7"/>
  <c r="DX28" i="7"/>
  <c r="CP28" i="7"/>
  <c r="GH28" i="7"/>
  <c r="CQ28" i="7"/>
  <c r="GI28" i="7"/>
  <c r="CR28" i="7"/>
  <c r="GJ28" i="7"/>
  <c r="CY28" i="7"/>
  <c r="GQ28" i="7"/>
  <c r="DM28" i="7"/>
  <c r="AY28" i="7"/>
  <c r="EP28" i="7"/>
  <c r="CV28" i="7"/>
  <c r="GN28" i="7"/>
  <c r="CW28" i="7"/>
  <c r="GO28" i="7"/>
  <c r="CX28" i="7"/>
  <c r="GP28" i="7"/>
  <c r="DE28" i="7"/>
  <c r="Z28" i="7"/>
  <c r="EE28" i="7"/>
  <c r="BQ28" i="7"/>
  <c r="FH28" i="7"/>
  <c r="DB28" i="7"/>
  <c r="GT28" i="7"/>
  <c r="DC28" i="7"/>
  <c r="GU28" i="7"/>
  <c r="DD28" i="7"/>
  <c r="S28" i="7"/>
  <c r="DK28" i="7"/>
  <c r="AR28" i="7"/>
  <c r="EW28" i="7"/>
  <c r="CI28" i="7"/>
  <c r="FZ28" i="7"/>
  <c r="DH28" i="7"/>
  <c r="DI28" i="7"/>
  <c r="DJ28" i="7"/>
  <c r="Y28" i="7"/>
  <c r="DQ28" i="7"/>
  <c r="BJ28" i="7"/>
  <c r="FO28" i="7"/>
  <c r="DA28" i="7"/>
  <c r="GR28" i="7"/>
  <c r="V28" i="7"/>
  <c r="DN28" i="7"/>
  <c r="W28" i="7"/>
  <c r="DO28" i="7"/>
  <c r="X28" i="7"/>
  <c r="DP28" i="7"/>
  <c r="AE28" i="7"/>
  <c r="DW28" i="7"/>
  <c r="CB28" i="7"/>
  <c r="GG28" i="7"/>
  <c r="DS28" i="7"/>
  <c r="U28" i="7"/>
  <c r="J53" i="7"/>
  <c r="J17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7" i="7"/>
  <c r="DZ17" i="7"/>
  <c r="CE17" i="7"/>
  <c r="FW17" i="7"/>
  <c r="BZ17" i="7"/>
  <c r="FR17" i="7"/>
  <c r="CA17" i="7"/>
  <c r="AG17" i="7"/>
  <c r="CN17" i="7"/>
  <c r="EQ17" i="7"/>
  <c r="FZ17" i="7"/>
  <c r="CH17" i="7"/>
  <c r="AN17" i="7"/>
  <c r="EF17" i="7"/>
  <c r="CK17" i="7"/>
  <c r="GC17" i="7"/>
  <c r="CF17" i="7"/>
  <c r="FX17" i="7"/>
  <c r="CG17" i="7"/>
  <c r="AY17" i="7"/>
  <c r="DF17" i="7"/>
  <c r="FD17" i="7"/>
  <c r="GH17" i="7"/>
  <c r="FT17" i="7"/>
  <c r="AT17" i="7"/>
  <c r="EL17" i="7"/>
  <c r="CQ17" i="7"/>
  <c r="GI17" i="7"/>
  <c r="CL17" i="7"/>
  <c r="GD17" i="7"/>
  <c r="CM17" i="7"/>
  <c r="BQ17" i="7"/>
  <c r="DX17" i="7"/>
  <c r="FO17" i="7"/>
  <c r="GR17" i="7"/>
  <c r="CZ17" i="7"/>
  <c r="AZ17" i="7"/>
  <c r="ER17" i="7"/>
  <c r="CW17" i="7"/>
  <c r="GO17" i="7"/>
  <c r="CR17" i="7"/>
  <c r="GJ17" i="7"/>
  <c r="CS17" i="7"/>
  <c r="CI17" i="7"/>
  <c r="EP17" i="7"/>
  <c r="FY17" i="7"/>
  <c r="AA17" i="7"/>
  <c r="GB17" i="7"/>
  <c r="BF17" i="7"/>
  <c r="K17" i="7"/>
  <c r="DC17" i="7"/>
  <c r="GU17" i="7"/>
  <c r="CX17" i="7"/>
  <c r="GP17" i="7"/>
  <c r="CY17" i="7"/>
  <c r="DA17" i="7"/>
  <c r="FC17" i="7"/>
  <c r="GG17" i="7"/>
  <c r="AS17" i="7"/>
  <c r="N17" i="7"/>
  <c r="BL17" i="7"/>
  <c r="Q17" i="7"/>
  <c r="DI17" i="7"/>
  <c r="L17" i="7"/>
  <c r="DD17" i="7"/>
  <c r="M17" i="7"/>
  <c r="DE17" i="7"/>
  <c r="DS17" i="7"/>
  <c r="FN17" i="7"/>
  <c r="GQ17" i="7"/>
  <c r="BK17" i="7"/>
  <c r="DR17" i="7"/>
  <c r="BR17" i="7"/>
  <c r="W17" i="7"/>
  <c r="DO17" i="7"/>
  <c r="R17" i="7"/>
  <c r="DJ17" i="7"/>
  <c r="S17" i="7"/>
  <c r="DK17" i="7"/>
  <c r="EK17" i="7"/>
  <c r="FV17" i="7"/>
  <c r="Z17" i="7"/>
  <c r="CC17" i="7"/>
  <c r="GL17" i="7"/>
  <c r="BX17" i="7"/>
  <c r="AC17" i="7"/>
  <c r="DU17" i="7"/>
  <c r="X17" i="7"/>
  <c r="DP17" i="7"/>
  <c r="Y17" i="7"/>
  <c r="DQ17" i="7"/>
  <c r="FB17" i="7"/>
  <c r="GF17" i="7"/>
  <c r="AR17" i="7"/>
  <c r="CU17" i="7"/>
  <c r="AF17" i="7"/>
  <c r="CD17" i="7"/>
  <c r="AI17" i="7"/>
  <c r="EA17" i="7"/>
  <c r="AD17" i="7"/>
  <c r="DV17" i="7"/>
  <c r="AE17" i="7"/>
  <c r="DW17" i="7"/>
  <c r="FM17" i="7"/>
  <c r="GN17" i="7"/>
  <c r="BJ17" i="7"/>
  <c r="DM17" i="7"/>
  <c r="EJ17" i="7"/>
  <c r="CJ17" i="7"/>
  <c r="AO17" i="7"/>
  <c r="EG17" i="7"/>
  <c r="AJ17" i="7"/>
  <c r="EB17" i="7"/>
  <c r="AK17" i="7"/>
  <c r="EC17" i="7"/>
  <c r="FU17" i="7"/>
  <c r="U17" i="7"/>
  <c r="CB17" i="7"/>
  <c r="EE17" i="7"/>
  <c r="GT17" i="7"/>
  <c r="CP17" i="7"/>
  <c r="AU17" i="7"/>
  <c r="EM17" i="7"/>
  <c r="AP17" i="7"/>
  <c r="EH17" i="7"/>
  <c r="AQ17" i="7"/>
  <c r="EI17" i="7"/>
  <c r="GE17" i="7"/>
  <c r="AM17" i="7"/>
  <c r="CT17" i="7"/>
  <c r="EW17" i="7"/>
  <c r="AX17" i="7"/>
  <c r="CV17" i="7"/>
  <c r="BA17" i="7"/>
  <c r="ES17" i="7"/>
  <c r="AV17" i="7"/>
  <c r="EN17" i="7"/>
  <c r="AW17" i="7"/>
  <c r="EO17" i="7"/>
  <c r="GM17" i="7"/>
  <c r="BE17" i="7"/>
  <c r="DL17" i="7"/>
  <c r="FI17" i="7"/>
  <c r="EX17" i="7"/>
  <c r="DB17" i="7"/>
  <c r="BG17" i="7"/>
  <c r="EY17" i="7"/>
  <c r="BB17" i="7"/>
  <c r="ET17" i="7"/>
  <c r="BC17" i="7"/>
  <c r="EU17" i="7"/>
  <c r="T17" i="7"/>
  <c r="BW17" i="7"/>
  <c r="ED17" i="7"/>
  <c r="FS17" i="7"/>
  <c r="BP17" i="7"/>
  <c r="P17" i="7"/>
  <c r="DH17" i="7"/>
  <c r="BM17" i="7"/>
  <c r="FE17" i="7"/>
  <c r="BH17" i="7"/>
  <c r="EZ17" i="7"/>
  <c r="BI17" i="7"/>
  <c r="FA17" i="7"/>
  <c r="AL17" i="7"/>
  <c r="CO17" i="7"/>
  <c r="EV17" i="7"/>
  <c r="GA17" i="7"/>
  <c r="FJ17" i="7"/>
  <c r="V17" i="7"/>
  <c r="DN17" i="7"/>
  <c r="BS17" i="7"/>
  <c r="FK17" i="7"/>
  <c r="BN17" i="7"/>
  <c r="FF17" i="7"/>
  <c r="BO17" i="7"/>
  <c r="FG17" i="7"/>
  <c r="BD17" i="7"/>
  <c r="DG17" i="7"/>
  <c r="FH17" i="7"/>
  <c r="GK17" i="7"/>
  <c r="AB17" i="7"/>
  <c r="DT17" i="7"/>
  <c r="BY17" i="7"/>
  <c r="FQ17" i="7"/>
  <c r="BT17" i="7"/>
  <c r="FL17" i="7"/>
  <c r="BU17" i="7"/>
  <c r="O17" i="7"/>
  <c r="BV17" i="7"/>
  <c r="DY17" i="7"/>
  <c r="FP17" i="7"/>
  <c r="GS17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2" i="7"/>
  <c r="DN22" i="7"/>
  <c r="Q22" i="7"/>
  <c r="DI22" i="7"/>
  <c r="L22" i="7"/>
  <c r="DD22" i="7"/>
  <c r="M22" i="7"/>
  <c r="DE22" i="7"/>
  <c r="N22" i="7"/>
  <c r="DF22" i="7"/>
  <c r="O22" i="7"/>
  <c r="DG22" i="7"/>
  <c r="AB22" i="7"/>
  <c r="AH22" i="7"/>
  <c r="DZ22" i="7"/>
  <c r="AC22" i="7"/>
  <c r="DU22" i="7"/>
  <c r="X22" i="7"/>
  <c r="DP22" i="7"/>
  <c r="Y22" i="7"/>
  <c r="DQ22" i="7"/>
  <c r="Z22" i="7"/>
  <c r="DR22" i="7"/>
  <c r="AN22" i="7"/>
  <c r="AT22" i="7"/>
  <c r="EL22" i="7"/>
  <c r="AO22" i="7"/>
  <c r="EG22" i="7"/>
  <c r="AJ22" i="7"/>
  <c r="EB22" i="7"/>
  <c r="AK22" i="7"/>
  <c r="EC22" i="7"/>
  <c r="AL22" i="7"/>
  <c r="ED22" i="7"/>
  <c r="AM22" i="7"/>
  <c r="EE22" i="7"/>
  <c r="AZ22" i="7"/>
  <c r="ER22" i="7"/>
  <c r="AU22" i="7"/>
  <c r="EM22" i="7"/>
  <c r="AP22" i="7"/>
  <c r="EH22" i="7"/>
  <c r="AQ22" i="7"/>
  <c r="EI22" i="7"/>
  <c r="AR22" i="7"/>
  <c r="EJ22" i="7"/>
  <c r="AS22" i="7"/>
  <c r="BF22" i="7"/>
  <c r="EX22" i="7"/>
  <c r="BA22" i="7"/>
  <c r="ES22" i="7"/>
  <c r="AV22" i="7"/>
  <c r="EN22" i="7"/>
  <c r="AW22" i="7"/>
  <c r="EO22" i="7"/>
  <c r="AX22" i="7"/>
  <c r="BL22" i="7"/>
  <c r="FD22" i="7"/>
  <c r="BG22" i="7"/>
  <c r="EY22" i="7"/>
  <c r="BB22" i="7"/>
  <c r="ET22" i="7"/>
  <c r="BC22" i="7"/>
  <c r="EU22" i="7"/>
  <c r="BD22" i="7"/>
  <c r="EV22" i="7"/>
  <c r="BE22" i="7"/>
  <c r="EW22" i="7"/>
  <c r="BR22" i="7"/>
  <c r="FJ22" i="7"/>
  <c r="BM22" i="7"/>
  <c r="BX22" i="7"/>
  <c r="FP22" i="7"/>
  <c r="BS22" i="7"/>
  <c r="FK22" i="7"/>
  <c r="BN22" i="7"/>
  <c r="CD22" i="7"/>
  <c r="FV22" i="7"/>
  <c r="BY22" i="7"/>
  <c r="FQ22" i="7"/>
  <c r="BT22" i="7"/>
  <c r="FL22" i="7"/>
  <c r="BU22" i="7"/>
  <c r="FM22" i="7"/>
  <c r="BV22" i="7"/>
  <c r="FN22" i="7"/>
  <c r="BW22" i="7"/>
  <c r="FO22" i="7"/>
  <c r="CJ22" i="7"/>
  <c r="GB22" i="7"/>
  <c r="CE22" i="7"/>
  <c r="FW22" i="7"/>
  <c r="BZ22" i="7"/>
  <c r="FR22" i="7"/>
  <c r="CA22" i="7"/>
  <c r="FS22" i="7"/>
  <c r="CB22" i="7"/>
  <c r="FT22" i="7"/>
  <c r="CC22" i="7"/>
  <c r="FU22" i="7"/>
  <c r="CP22" i="7"/>
  <c r="GH22" i="7"/>
  <c r="CK22" i="7"/>
  <c r="GC22" i="7"/>
  <c r="CF22" i="7"/>
  <c r="FX22" i="7"/>
  <c r="CG22" i="7"/>
  <c r="FY22" i="7"/>
  <c r="CH22" i="7"/>
  <c r="FZ22" i="7"/>
  <c r="CI22" i="7"/>
  <c r="CV22" i="7"/>
  <c r="GN22" i="7"/>
  <c r="CQ22" i="7"/>
  <c r="GI22" i="7"/>
  <c r="CL22" i="7"/>
  <c r="GD22" i="7"/>
  <c r="CM22" i="7"/>
  <c r="GE22" i="7"/>
  <c r="CN22" i="7"/>
  <c r="GF22" i="7"/>
  <c r="DB22" i="7"/>
  <c r="GT22" i="7"/>
  <c r="CW22" i="7"/>
  <c r="GO22" i="7"/>
  <c r="CR22" i="7"/>
  <c r="GJ22" i="7"/>
  <c r="CS22" i="7"/>
  <c r="GK22" i="7"/>
  <c r="CT22" i="7"/>
  <c r="GL22" i="7"/>
  <c r="CU22" i="7"/>
  <c r="GM22" i="7"/>
  <c r="P22" i="7"/>
  <c r="DH22" i="7"/>
  <c r="K22" i="7"/>
  <c r="DC22" i="7"/>
  <c r="GU22" i="7"/>
  <c r="CX22" i="7"/>
  <c r="GP22" i="7"/>
  <c r="CY22" i="7"/>
  <c r="GQ22" i="7"/>
  <c r="CZ22" i="7"/>
  <c r="GR22" i="7"/>
  <c r="DA22" i="7"/>
  <c r="GS22" i="7"/>
  <c r="AI22" i="7"/>
  <c r="DW22" i="7"/>
  <c r="BK22" i="7"/>
  <c r="DO22" i="7"/>
  <c r="FA22" i="7"/>
  <c r="BQ22" i="7"/>
  <c r="EA22" i="7"/>
  <c r="FG22" i="7"/>
  <c r="CO22" i="7"/>
  <c r="FE22" i="7"/>
  <c r="T22" i="7"/>
  <c r="DM22" i="7"/>
  <c r="R22" i="7"/>
  <c r="AF22" i="7"/>
  <c r="DS22" i="7"/>
  <c r="AD22" i="7"/>
  <c r="BJ22" i="7"/>
  <c r="DY22" i="7"/>
  <c r="BH22" i="7"/>
  <c r="BP22" i="7"/>
  <c r="EK22" i="7"/>
  <c r="DJ22" i="7"/>
  <c r="DL22" i="7"/>
  <c r="EQ22" i="7"/>
  <c r="DV22" i="7"/>
  <c r="DX22" i="7"/>
  <c r="FC22" i="7"/>
  <c r="EZ22" i="7"/>
  <c r="EP22" i="7"/>
  <c r="FI22" i="7"/>
  <c r="FF22" i="7"/>
  <c r="FB22" i="7"/>
  <c r="GA22" i="7"/>
  <c r="S22" i="7"/>
  <c r="FH22" i="7"/>
  <c r="GG22" i="7"/>
  <c r="AE22" i="7"/>
  <c r="U22" i="7"/>
  <c r="DT22" i="7"/>
  <c r="BI22" i="7"/>
  <c r="AA22" i="7"/>
  <c r="EF22" i="7"/>
  <c r="BO22" i="7"/>
  <c r="AG22" i="7"/>
  <c r="W22" i="7"/>
  <c r="DK22" i="7"/>
  <c r="AY22" i="7"/>
  <c r="J46" i="7"/>
  <c r="J11" i="7"/>
  <c r="K11" i="7"/>
  <c r="K46" i="7"/>
  <c r="M46" i="7"/>
  <c r="N46" i="7"/>
  <c r="O46" i="7"/>
  <c r="L46" i="7"/>
  <c r="L11" i="7"/>
  <c r="O11" i="7"/>
  <c r="N11" i="7"/>
  <c r="M11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5" i="7"/>
  <c r="EV15" i="7"/>
  <c r="BE15" i="7"/>
  <c r="EW15" i="7"/>
  <c r="AZ15" i="7"/>
  <c r="ER15" i="7"/>
  <c r="X15" i="7"/>
  <c r="DP15" i="7"/>
  <c r="BO15" i="7"/>
  <c r="FW15" i="7"/>
  <c r="CQ15" i="7"/>
  <c r="GI15" i="7"/>
  <c r="BJ15" i="7"/>
  <c r="FB15" i="7"/>
  <c r="BK15" i="7"/>
  <c r="FC15" i="7"/>
  <c r="BF15" i="7"/>
  <c r="EX15" i="7"/>
  <c r="AD15" i="7"/>
  <c r="DV15" i="7"/>
  <c r="CG15" i="7"/>
  <c r="GO15" i="7"/>
  <c r="DI15" i="7"/>
  <c r="CA15" i="7"/>
  <c r="BP15" i="7"/>
  <c r="FH15" i="7"/>
  <c r="BQ15" i="7"/>
  <c r="FI15" i="7"/>
  <c r="BL15" i="7"/>
  <c r="FD15" i="7"/>
  <c r="AJ15" i="7"/>
  <c r="EB15" i="7"/>
  <c r="CY15" i="7"/>
  <c r="AK15" i="7"/>
  <c r="EA15" i="7"/>
  <c r="GE15" i="7"/>
  <c r="BV15" i="7"/>
  <c r="FN15" i="7"/>
  <c r="BW15" i="7"/>
  <c r="FO15" i="7"/>
  <c r="BR15" i="7"/>
  <c r="FJ15" i="7"/>
  <c r="AP15" i="7"/>
  <c r="EH15" i="7"/>
  <c r="DQ15" i="7"/>
  <c r="BC15" i="7"/>
  <c r="ES15" i="7"/>
  <c r="CS15" i="7"/>
  <c r="CB15" i="7"/>
  <c r="FT15" i="7"/>
  <c r="CC15" i="7"/>
  <c r="FU15" i="7"/>
  <c r="BX15" i="7"/>
  <c r="FP15" i="7"/>
  <c r="AV15" i="7"/>
  <c r="EN15" i="7"/>
  <c r="EI15" i="7"/>
  <c r="BU15" i="7"/>
  <c r="FK15" i="7"/>
  <c r="DK15" i="7"/>
  <c r="CH15" i="7"/>
  <c r="FZ15" i="7"/>
  <c r="CI15" i="7"/>
  <c r="GA15" i="7"/>
  <c r="CD15" i="7"/>
  <c r="FV15" i="7"/>
  <c r="BB15" i="7"/>
  <c r="ET15" i="7"/>
  <c r="FA15" i="7"/>
  <c r="CM15" i="7"/>
  <c r="GC15" i="7"/>
  <c r="S15" i="7"/>
  <c r="CN15" i="7"/>
  <c r="GF15" i="7"/>
  <c r="CO15" i="7"/>
  <c r="GG15" i="7"/>
  <c r="CJ15" i="7"/>
  <c r="GB15" i="7"/>
  <c r="BH15" i="7"/>
  <c r="EZ15" i="7"/>
  <c r="FS15" i="7"/>
  <c r="DE15" i="7"/>
  <c r="GU15" i="7"/>
  <c r="EC15" i="7"/>
  <c r="CT15" i="7"/>
  <c r="GL15" i="7"/>
  <c r="CU15" i="7"/>
  <c r="GM15" i="7"/>
  <c r="CP15" i="7"/>
  <c r="GH15" i="7"/>
  <c r="BN15" i="7"/>
  <c r="FF15" i="7"/>
  <c r="GK15" i="7"/>
  <c r="DW15" i="7"/>
  <c r="Y15" i="7"/>
  <c r="AQ15" i="7"/>
  <c r="CZ15" i="7"/>
  <c r="GR15" i="7"/>
  <c r="DA15" i="7"/>
  <c r="GS15" i="7"/>
  <c r="CV15" i="7"/>
  <c r="GN15" i="7"/>
  <c r="BT15" i="7"/>
  <c r="FL15" i="7"/>
  <c r="AI15" i="7"/>
  <c r="EO15" i="7"/>
  <c r="AU15" i="7"/>
  <c r="EU15" i="7"/>
  <c r="N15" i="7"/>
  <c r="DF15" i="7"/>
  <c r="O15" i="7"/>
  <c r="DG15" i="7"/>
  <c r="J15" i="7"/>
  <c r="DB15" i="7"/>
  <c r="GT15" i="7"/>
  <c r="BZ15" i="7"/>
  <c r="FR15" i="7"/>
  <c r="BA15" i="7"/>
  <c r="FG15" i="7"/>
  <c r="BM15" i="7"/>
  <c r="BI15" i="7"/>
  <c r="T15" i="7"/>
  <c r="DL15" i="7"/>
  <c r="U15" i="7"/>
  <c r="DM15" i="7"/>
  <c r="P15" i="7"/>
  <c r="DH15" i="7"/>
  <c r="K15" i="7"/>
  <c r="CF15" i="7"/>
  <c r="FX15" i="7"/>
  <c r="BS15" i="7"/>
  <c r="FY15" i="7"/>
  <c r="CE15" i="7"/>
  <c r="FM15" i="7"/>
  <c r="Z15" i="7"/>
  <c r="DR15" i="7"/>
  <c r="AA15" i="7"/>
  <c r="DS15" i="7"/>
  <c r="V15" i="7"/>
  <c r="DN15" i="7"/>
  <c r="Q15" i="7"/>
  <c r="CL15" i="7"/>
  <c r="GD15" i="7"/>
  <c r="CK15" i="7"/>
  <c r="GQ15" i="7"/>
  <c r="CW15" i="7"/>
  <c r="AF15" i="7"/>
  <c r="DX15" i="7"/>
  <c r="AG15" i="7"/>
  <c r="DY15" i="7"/>
  <c r="AB15" i="7"/>
  <c r="DT15" i="7"/>
  <c r="W15" i="7"/>
  <c r="CR15" i="7"/>
  <c r="GJ15" i="7"/>
  <c r="DC15" i="7"/>
  <c r="M15" i="7"/>
  <c r="DO15" i="7"/>
  <c r="AL15" i="7"/>
  <c r="ED15" i="7"/>
  <c r="AM15" i="7"/>
  <c r="EE15" i="7"/>
  <c r="AH15" i="7"/>
  <c r="DZ15" i="7"/>
  <c r="AC15" i="7"/>
  <c r="CX15" i="7"/>
  <c r="GP15" i="7"/>
  <c r="DU15" i="7"/>
  <c r="AO15" i="7"/>
  <c r="EG15" i="7"/>
  <c r="AR15" i="7"/>
  <c r="EJ15" i="7"/>
  <c r="AS15" i="7"/>
  <c r="EK15" i="7"/>
  <c r="AN15" i="7"/>
  <c r="EF15" i="7"/>
  <c r="L15" i="7"/>
  <c r="DD15" i="7"/>
  <c r="AE15" i="7"/>
  <c r="EM15" i="7"/>
  <c r="BG15" i="7"/>
  <c r="EY15" i="7"/>
  <c r="AX15" i="7"/>
  <c r="EP15" i="7"/>
  <c r="AY15" i="7"/>
  <c r="EQ15" i="7"/>
  <c r="AT15" i="7"/>
  <c r="EL15" i="7"/>
  <c r="R15" i="7"/>
  <c r="DJ15" i="7"/>
  <c r="AW15" i="7"/>
  <c r="FE15" i="7"/>
  <c r="BY15" i="7"/>
  <c r="FQ15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0" i="7"/>
  <c r="DK10" i="7"/>
  <c r="GN10" i="7"/>
  <c r="CX10" i="7"/>
  <c r="GA10" i="7"/>
  <c r="CK10" i="7"/>
  <c r="EX10" i="7"/>
  <c r="AB10" i="7"/>
  <c r="DE10" i="7"/>
  <c r="GH10" i="7"/>
  <c r="CR10" i="7"/>
  <c r="FU10" i="7"/>
  <c r="U10" i="7"/>
  <c r="EA10" i="7"/>
  <c r="AK10" i="7"/>
  <c r="DN10" i="7"/>
  <c r="GQ10" i="7"/>
  <c r="DA10" i="7"/>
  <c r="FN10" i="7"/>
  <c r="AR10" i="7"/>
  <c r="DU10" i="7"/>
  <c r="AE10" i="7"/>
  <c r="DH10" i="7"/>
  <c r="GK10" i="7"/>
  <c r="J10" i="7"/>
  <c r="EQ10" i="7"/>
  <c r="BA10" i="7"/>
  <c r="ED10" i="7"/>
  <c r="AN10" i="7"/>
  <c r="DQ10" i="7"/>
  <c r="GD10" i="7"/>
  <c r="BH10" i="7"/>
  <c r="EK10" i="7"/>
  <c r="AU10" i="7"/>
  <c r="DX10" i="7"/>
  <c r="AH10" i="7"/>
  <c r="P10" i="7"/>
  <c r="FG10" i="7"/>
  <c r="BQ10" i="7"/>
  <c r="ET10" i="7"/>
  <c r="BD10" i="7"/>
  <c r="EG10" i="7"/>
  <c r="GT10" i="7"/>
  <c r="BX10" i="7"/>
  <c r="FA10" i="7"/>
  <c r="BK10" i="7"/>
  <c r="EN10" i="7"/>
  <c r="AX10" i="7"/>
  <c r="V10" i="7"/>
  <c r="FW10" i="7"/>
  <c r="CG10" i="7"/>
  <c r="FJ10" i="7"/>
  <c r="BT10" i="7"/>
  <c r="EW10" i="7"/>
  <c r="AA10" i="7"/>
  <c r="CN10" i="7"/>
  <c r="FQ10" i="7"/>
  <c r="CA10" i="7"/>
  <c r="FD10" i="7"/>
  <c r="BN10" i="7"/>
  <c r="GM10" i="7"/>
  <c r="CW10" i="7"/>
  <c r="FZ10" i="7"/>
  <c r="CJ10" i="7"/>
  <c r="FM10" i="7"/>
  <c r="AQ10" i="7"/>
  <c r="DD10" i="7"/>
  <c r="GG10" i="7"/>
  <c r="CQ10" i="7"/>
  <c r="FT10" i="7"/>
  <c r="CD10" i="7"/>
  <c r="K10" i="7"/>
  <c r="AJ10" i="7"/>
  <c r="DM10" i="7"/>
  <c r="GP10" i="7"/>
  <c r="CZ10" i="7"/>
  <c r="GC10" i="7"/>
  <c r="BG10" i="7"/>
  <c r="DT10" i="7"/>
  <c r="AD10" i="7"/>
  <c r="DG10" i="7"/>
  <c r="GJ10" i="7"/>
  <c r="CT10" i="7"/>
  <c r="Q10" i="7"/>
  <c r="AZ10" i="7"/>
  <c r="EC10" i="7"/>
  <c r="AM10" i="7"/>
  <c r="DP10" i="7"/>
  <c r="GS10" i="7"/>
  <c r="BW10" i="7"/>
  <c r="EJ10" i="7"/>
  <c r="AT10" i="7"/>
  <c r="DW10" i="7"/>
  <c r="AG10" i="7"/>
  <c r="DJ10" i="7"/>
  <c r="W10" i="7"/>
  <c r="BP10" i="7"/>
  <c r="ES10" i="7"/>
  <c r="BC10" i="7"/>
  <c r="EF10" i="7"/>
  <c r="Z10" i="7"/>
  <c r="CM10" i="7"/>
  <c r="EZ10" i="7"/>
  <c r="BJ10" i="7"/>
  <c r="EM10" i="7"/>
  <c r="AW10" i="7"/>
  <c r="DZ10" i="7"/>
  <c r="M10" i="7"/>
  <c r="CF10" i="7"/>
  <c r="FI10" i="7"/>
  <c r="BS10" i="7"/>
  <c r="EV10" i="7"/>
  <c r="AP10" i="7"/>
  <c r="DC10" i="7"/>
  <c r="FP10" i="7"/>
  <c r="BZ10" i="7"/>
  <c r="FC10" i="7"/>
  <c r="BM10" i="7"/>
  <c r="EP10" i="7"/>
  <c r="S10" i="7"/>
  <c r="L10" i="7"/>
  <c r="CV10" i="7"/>
  <c r="FY10" i="7"/>
  <c r="CI10" i="7"/>
  <c r="FL10" i="7"/>
  <c r="BF10" i="7"/>
  <c r="DS10" i="7"/>
  <c r="GF10" i="7"/>
  <c r="CP10" i="7"/>
  <c r="FS10" i="7"/>
  <c r="CC10" i="7"/>
  <c r="FF10" i="7"/>
  <c r="Y10" i="7"/>
  <c r="R10" i="7"/>
  <c r="AI10" i="7"/>
  <c r="DL10" i="7"/>
  <c r="GO10" i="7"/>
  <c r="CY10" i="7"/>
  <c r="GB10" i="7"/>
  <c r="BV10" i="7"/>
  <c r="EI10" i="7"/>
  <c r="AC10" i="7"/>
  <c r="DF10" i="7"/>
  <c r="GI10" i="7"/>
  <c r="CS10" i="7"/>
  <c r="FV10" i="7"/>
  <c r="X10" i="7"/>
  <c r="AY10" i="7"/>
  <c r="EB10" i="7"/>
  <c r="AL10" i="7"/>
  <c r="DO10" i="7"/>
  <c r="GR10" i="7"/>
  <c r="CL10" i="7"/>
  <c r="EY10" i="7"/>
  <c r="AS10" i="7"/>
  <c r="DV10" i="7"/>
  <c r="AF10" i="7"/>
  <c r="DI10" i="7"/>
  <c r="GL10" i="7"/>
  <c r="N10" i="7"/>
  <c r="BO10" i="7"/>
  <c r="ER10" i="7"/>
  <c r="BB10" i="7"/>
  <c r="EE10" i="7"/>
  <c r="AO10" i="7"/>
  <c r="DB10" i="7"/>
  <c r="FO10" i="7"/>
  <c r="BI10" i="7"/>
  <c r="EL10" i="7"/>
  <c r="AV10" i="7"/>
  <c r="DY10" i="7"/>
  <c r="T10" i="7"/>
  <c r="CE10" i="7"/>
  <c r="FH10" i="7"/>
  <c r="BR10" i="7"/>
  <c r="EU10" i="7"/>
  <c r="BE10" i="7"/>
  <c r="DR10" i="7"/>
  <c r="GE10" i="7"/>
  <c r="BY10" i="7"/>
  <c r="FB10" i="7"/>
  <c r="BL10" i="7"/>
  <c r="EO10" i="7"/>
  <c r="CU10" i="7"/>
  <c r="FX10" i="7"/>
  <c r="CH10" i="7"/>
  <c r="FK10" i="7"/>
  <c r="BU10" i="7"/>
  <c r="EH10" i="7"/>
  <c r="GU10" i="7"/>
  <c r="CO10" i="7"/>
  <c r="FR10" i="7"/>
  <c r="CB10" i="7"/>
  <c r="FE10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29" i="7"/>
  <c r="EZ29" i="7"/>
  <c r="BI29" i="7"/>
  <c r="FA29" i="7"/>
  <c r="BJ29" i="7"/>
  <c r="BT29" i="7"/>
  <c r="CF29" i="7"/>
  <c r="FX29" i="7"/>
  <c r="CG29" i="7"/>
  <c r="CL29" i="7"/>
  <c r="GD29" i="7"/>
  <c r="CM29" i="7"/>
  <c r="GE29" i="7"/>
  <c r="CN29" i="7"/>
  <c r="GF29" i="7"/>
  <c r="CO29" i="7"/>
  <c r="GG29" i="7"/>
  <c r="CR29" i="7"/>
  <c r="GJ29" i="7"/>
  <c r="CS29" i="7"/>
  <c r="GK29" i="7"/>
  <c r="CT29" i="7"/>
  <c r="GL29" i="7"/>
  <c r="CU29" i="7"/>
  <c r="GM29" i="7"/>
  <c r="CW29" i="7"/>
  <c r="GO29" i="7"/>
  <c r="CX29" i="7"/>
  <c r="GP29" i="7"/>
  <c r="CY29" i="7"/>
  <c r="GQ29" i="7"/>
  <c r="CZ29" i="7"/>
  <c r="GR29" i="7"/>
  <c r="DA29" i="7"/>
  <c r="R29" i="7"/>
  <c r="DJ29" i="7"/>
  <c r="S29" i="7"/>
  <c r="DK29" i="7"/>
  <c r="T29" i="7"/>
  <c r="DL29" i="7"/>
  <c r="U29" i="7"/>
  <c r="DM29" i="7"/>
  <c r="W29" i="7"/>
  <c r="X29" i="7"/>
  <c r="DP29" i="7"/>
  <c r="AD29" i="7"/>
  <c r="DV29" i="7"/>
  <c r="AJ29" i="7"/>
  <c r="EB29" i="7"/>
  <c r="AK29" i="7"/>
  <c r="BB29" i="7"/>
  <c r="ET29" i="7"/>
  <c r="BC29" i="7"/>
  <c r="EU29" i="7"/>
  <c r="BD29" i="7"/>
  <c r="EV29" i="7"/>
  <c r="BE29" i="7"/>
  <c r="AE29" i="7"/>
  <c r="FB29" i="7"/>
  <c r="DG29" i="7"/>
  <c r="AO29" i="7"/>
  <c r="EM29" i="7"/>
  <c r="V29" i="7"/>
  <c r="AN29" i="7"/>
  <c r="AQ29" i="7"/>
  <c r="Z29" i="7"/>
  <c r="FH29" i="7"/>
  <c r="DS29" i="7"/>
  <c r="AU29" i="7"/>
  <c r="ES29" i="7"/>
  <c r="BF29" i="7"/>
  <c r="BX29" i="7"/>
  <c r="AW29" i="7"/>
  <c r="AF29" i="7"/>
  <c r="FN29" i="7"/>
  <c r="DY29" i="7"/>
  <c r="BA29" i="7"/>
  <c r="EY29" i="7"/>
  <c r="CP29" i="7"/>
  <c r="DH29" i="7"/>
  <c r="BO29" i="7"/>
  <c r="AL29" i="7"/>
  <c r="FT29" i="7"/>
  <c r="EE29" i="7"/>
  <c r="BG29" i="7"/>
  <c r="FE29" i="7"/>
  <c r="DZ29" i="7"/>
  <c r="ER29" i="7"/>
  <c r="AP29" i="7"/>
  <c r="BU29" i="7"/>
  <c r="AR29" i="7"/>
  <c r="FZ29" i="7"/>
  <c r="EK29" i="7"/>
  <c r="BM29" i="7"/>
  <c r="FK29" i="7"/>
  <c r="FJ29" i="7"/>
  <c r="GB29" i="7"/>
  <c r="AV29" i="7"/>
  <c r="CA29" i="7"/>
  <c r="AX29" i="7"/>
  <c r="O29" i="7"/>
  <c r="EQ29" i="7"/>
  <c r="BS29" i="7"/>
  <c r="FQ29" i="7"/>
  <c r="GT29" i="7"/>
  <c r="AT29" i="7"/>
  <c r="BN29" i="7"/>
  <c r="DE29" i="7"/>
  <c r="BP29" i="7"/>
  <c r="AA29" i="7"/>
  <c r="EW29" i="7"/>
  <c r="BY29" i="7"/>
  <c r="FW29" i="7"/>
  <c r="AB29" i="7"/>
  <c r="CD29" i="7"/>
  <c r="BZ29" i="7"/>
  <c r="DQ29" i="7"/>
  <c r="BV29" i="7"/>
  <c r="AG29" i="7"/>
  <c r="FC29" i="7"/>
  <c r="CE29" i="7"/>
  <c r="GC29" i="7"/>
  <c r="BL29" i="7"/>
  <c r="DN29" i="7"/>
  <c r="DD29" i="7"/>
  <c r="DW29" i="7"/>
  <c r="CB29" i="7"/>
  <c r="AM29" i="7"/>
  <c r="FI29" i="7"/>
  <c r="CK29" i="7"/>
  <c r="GI29" i="7"/>
  <c r="CV29" i="7"/>
  <c r="EX29" i="7"/>
  <c r="EH29" i="7"/>
  <c r="EC29" i="7"/>
  <c r="CH29" i="7"/>
  <c r="AS29" i="7"/>
  <c r="FO29" i="7"/>
  <c r="CQ29" i="7"/>
  <c r="GU29" i="7"/>
  <c r="EF29" i="7"/>
  <c r="GH29" i="7"/>
  <c r="EN29" i="7"/>
  <c r="EI29" i="7"/>
  <c r="DF29" i="7"/>
  <c r="AY29" i="7"/>
  <c r="FU29" i="7"/>
  <c r="DC29" i="7"/>
  <c r="P29" i="7"/>
  <c r="FP29" i="7"/>
  <c r="FF29" i="7"/>
  <c r="EO29" i="7"/>
  <c r="DR29" i="7"/>
  <c r="BK29" i="7"/>
  <c r="GA29" i="7"/>
  <c r="DI29" i="7"/>
  <c r="AZ29" i="7"/>
  <c r="AH29" i="7"/>
  <c r="FL29" i="7"/>
  <c r="FG29" i="7"/>
  <c r="DX29" i="7"/>
  <c r="BQ29" i="7"/>
  <c r="GS29" i="7"/>
  <c r="DO29" i="7"/>
  <c r="CJ29" i="7"/>
  <c r="BR29" i="7"/>
  <c r="FR29" i="7"/>
  <c r="FM29" i="7"/>
  <c r="ED29" i="7"/>
  <c r="BW29" i="7"/>
  <c r="Q29" i="7"/>
  <c r="DU29" i="7"/>
  <c r="DT29" i="7"/>
  <c r="DB29" i="7"/>
  <c r="FS29" i="7"/>
  <c r="EJ29" i="7"/>
  <c r="CC29" i="7"/>
  <c r="AC29" i="7"/>
  <c r="EA29" i="7"/>
  <c r="FD29" i="7"/>
  <c r="EL29" i="7"/>
  <c r="Y29" i="7"/>
  <c r="FY29" i="7"/>
  <c r="EP29" i="7"/>
  <c r="CI29" i="7"/>
  <c r="AI29" i="7"/>
  <c r="EG29" i="7"/>
  <c r="GN29" i="7"/>
  <c r="FV29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30" i="7"/>
  <c r="K30" i="7"/>
  <c r="M30" i="7"/>
  <c r="O30" i="7"/>
  <c r="Q30" i="7"/>
  <c r="W30" i="7"/>
  <c r="R30" i="7"/>
  <c r="Y30" i="7"/>
  <c r="S30" i="7"/>
  <c r="T30" i="7"/>
  <c r="U30" i="7"/>
  <c r="N30" i="7"/>
  <c r="V30" i="7"/>
  <c r="P30" i="7"/>
  <c r="X30" i="7"/>
  <c r="AA30" i="7"/>
  <c r="CN30" i="7"/>
  <c r="FQ30" i="7"/>
  <c r="CA30" i="7"/>
  <c r="FD30" i="7"/>
  <c r="BN30" i="7"/>
  <c r="EQ30" i="7"/>
  <c r="BA30" i="7"/>
  <c r="ED30" i="7"/>
  <c r="AN30" i="7"/>
  <c r="DQ30" i="7"/>
  <c r="GD30" i="7"/>
  <c r="AG30" i="7"/>
  <c r="AQ30" i="7"/>
  <c r="DD30" i="7"/>
  <c r="GG30" i="7"/>
  <c r="CQ30" i="7"/>
  <c r="FT30" i="7"/>
  <c r="CD30" i="7"/>
  <c r="FG30" i="7"/>
  <c r="BQ30" i="7"/>
  <c r="ET30" i="7"/>
  <c r="BD30" i="7"/>
  <c r="EG30" i="7"/>
  <c r="GT30" i="7"/>
  <c r="GM30" i="7"/>
  <c r="CJ30" i="7"/>
  <c r="BG30" i="7"/>
  <c r="DT30" i="7"/>
  <c r="AD30" i="7"/>
  <c r="DG30" i="7"/>
  <c r="GJ30" i="7"/>
  <c r="CT30" i="7"/>
  <c r="FW30" i="7"/>
  <c r="CG30" i="7"/>
  <c r="FJ30" i="7"/>
  <c r="BT30" i="7"/>
  <c r="EW30" i="7"/>
  <c r="AT30" i="7"/>
  <c r="BW30" i="7"/>
  <c r="CW30" i="7"/>
  <c r="CM30" i="7"/>
  <c r="EZ30" i="7"/>
  <c r="BJ30" i="7"/>
  <c r="EM30" i="7"/>
  <c r="AW30" i="7"/>
  <c r="DZ30" i="7"/>
  <c r="AJ30" i="7"/>
  <c r="DM30" i="7"/>
  <c r="GP30" i="7"/>
  <c r="CZ30" i="7"/>
  <c r="GC30" i="7"/>
  <c r="DC30" i="7"/>
  <c r="FP30" i="7"/>
  <c r="BZ30" i="7"/>
  <c r="FC30" i="7"/>
  <c r="BM30" i="7"/>
  <c r="EP30" i="7"/>
  <c r="AZ30" i="7"/>
  <c r="EC30" i="7"/>
  <c r="AM30" i="7"/>
  <c r="DP30" i="7"/>
  <c r="GS30" i="7"/>
  <c r="DS30" i="7"/>
  <c r="GF30" i="7"/>
  <c r="CP30" i="7"/>
  <c r="FS30" i="7"/>
  <c r="CC30" i="7"/>
  <c r="FF30" i="7"/>
  <c r="BP30" i="7"/>
  <c r="ES30" i="7"/>
  <c r="BC30" i="7"/>
  <c r="EF30" i="7"/>
  <c r="Z30" i="7"/>
  <c r="EI30" i="7"/>
  <c r="AC30" i="7"/>
  <c r="DF30" i="7"/>
  <c r="GI30" i="7"/>
  <c r="CS30" i="7"/>
  <c r="FV30" i="7"/>
  <c r="CF30" i="7"/>
  <c r="FI30" i="7"/>
  <c r="BS30" i="7"/>
  <c r="EV30" i="7"/>
  <c r="AP30" i="7"/>
  <c r="EY30" i="7"/>
  <c r="AS30" i="7"/>
  <c r="DV30" i="7"/>
  <c r="AF30" i="7"/>
  <c r="DI30" i="7"/>
  <c r="GL30" i="7"/>
  <c r="CV30" i="7"/>
  <c r="FY30" i="7"/>
  <c r="CI30" i="7"/>
  <c r="FL30" i="7"/>
  <c r="BF30" i="7"/>
  <c r="FO30" i="7"/>
  <c r="BI30" i="7"/>
  <c r="EL30" i="7"/>
  <c r="AV30" i="7"/>
  <c r="DY30" i="7"/>
  <c r="AI30" i="7"/>
  <c r="DL30" i="7"/>
  <c r="GO30" i="7"/>
  <c r="CY30" i="7"/>
  <c r="GB30" i="7"/>
  <c r="BV30" i="7"/>
  <c r="GE30" i="7"/>
  <c r="BY30" i="7"/>
  <c r="FB30" i="7"/>
  <c r="BL30" i="7"/>
  <c r="EO30" i="7"/>
  <c r="AY30" i="7"/>
  <c r="EB30" i="7"/>
  <c r="AL30" i="7"/>
  <c r="DO30" i="7"/>
  <c r="GR30" i="7"/>
  <c r="CL30" i="7"/>
  <c r="GU30" i="7"/>
  <c r="CO30" i="7"/>
  <c r="FR30" i="7"/>
  <c r="CB30" i="7"/>
  <c r="FE30" i="7"/>
  <c r="BO30" i="7"/>
  <c r="ER30" i="7"/>
  <c r="BB30" i="7"/>
  <c r="EE30" i="7"/>
  <c r="AO30" i="7"/>
  <c r="DB30" i="7"/>
  <c r="AB30" i="7"/>
  <c r="DE30" i="7"/>
  <c r="GH30" i="7"/>
  <c r="CR30" i="7"/>
  <c r="FU30" i="7"/>
  <c r="CE30" i="7"/>
  <c r="FH30" i="7"/>
  <c r="BR30" i="7"/>
  <c r="EU30" i="7"/>
  <c r="BE30" i="7"/>
  <c r="DR30" i="7"/>
  <c r="AR30" i="7"/>
  <c r="DU30" i="7"/>
  <c r="AE30" i="7"/>
  <c r="DH30" i="7"/>
  <c r="GK30" i="7"/>
  <c r="CU30" i="7"/>
  <c r="FX30" i="7"/>
  <c r="CH30" i="7"/>
  <c r="FK30" i="7"/>
  <c r="BU30" i="7"/>
  <c r="EH30" i="7"/>
  <c r="DW30" i="7"/>
  <c r="FM30" i="7"/>
  <c r="BH30" i="7"/>
  <c r="EK30" i="7"/>
  <c r="AU30" i="7"/>
  <c r="DX30" i="7"/>
  <c r="AH30" i="7"/>
  <c r="DK30" i="7"/>
  <c r="GN30" i="7"/>
  <c r="CX30" i="7"/>
  <c r="GA30" i="7"/>
  <c r="CK30" i="7"/>
  <c r="EX30" i="7"/>
  <c r="DJ30" i="7"/>
  <c r="BX30" i="7"/>
  <c r="FA30" i="7"/>
  <c r="BK30" i="7"/>
  <c r="EN30" i="7"/>
  <c r="AX30" i="7"/>
  <c r="EA30" i="7"/>
  <c r="AK30" i="7"/>
  <c r="DN30" i="7"/>
  <c r="GQ30" i="7"/>
  <c r="DA30" i="7"/>
  <c r="FN30" i="7"/>
  <c r="EJ30" i="7"/>
  <c r="FZ30" i="7"/>
  <c r="J61" i="7"/>
  <c r="J23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3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3" i="7"/>
  <c r="ER61" i="7"/>
  <c r="DY61" i="7"/>
  <c r="GG61" i="7"/>
  <c r="GT61" i="7"/>
  <c r="EF61" i="7"/>
  <c r="K23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3" i="7"/>
  <c r="DC23" i="7"/>
  <c r="X23" i="7"/>
  <c r="BO23" i="7"/>
  <c r="FG23" i="7"/>
  <c r="FL23" i="7"/>
  <c r="ED23" i="7"/>
  <c r="DD23" i="7"/>
  <c r="CD23" i="7"/>
  <c r="AR23" i="7"/>
  <c r="GM23" i="7"/>
  <c r="FS23" i="7"/>
  <c r="Q23" i="7"/>
  <c r="DI23" i="7"/>
  <c r="AD23" i="7"/>
  <c r="BU23" i="7"/>
  <c r="FM23" i="7"/>
  <c r="FT23" i="7"/>
  <c r="EL23" i="7"/>
  <c r="DM23" i="7"/>
  <c r="CN23" i="7"/>
  <c r="BJ23" i="7"/>
  <c r="GS23" i="7"/>
  <c r="FZ23" i="7"/>
  <c r="W23" i="7"/>
  <c r="DO23" i="7"/>
  <c r="AJ23" i="7"/>
  <c r="CA23" i="7"/>
  <c r="N23" i="7"/>
  <c r="GA23" i="7"/>
  <c r="EV23" i="7"/>
  <c r="DV23" i="7"/>
  <c r="CV23" i="7"/>
  <c r="BW23" i="7"/>
  <c r="AA23" i="7"/>
  <c r="GG23" i="7"/>
  <c r="AC23" i="7"/>
  <c r="DU23" i="7"/>
  <c r="AP23" i="7"/>
  <c r="CG23" i="7"/>
  <c r="AF23" i="7"/>
  <c r="GH23" i="7"/>
  <c r="FD23" i="7"/>
  <c r="EE23" i="7"/>
  <c r="DF23" i="7"/>
  <c r="CF23" i="7"/>
  <c r="AS23" i="7"/>
  <c r="GN23" i="7"/>
  <c r="AI23" i="7"/>
  <c r="EA23" i="7"/>
  <c r="AV23" i="7"/>
  <c r="CM23" i="7"/>
  <c r="AX23" i="7"/>
  <c r="GO23" i="7"/>
  <c r="FN23" i="7"/>
  <c r="EN23" i="7"/>
  <c r="DN23" i="7"/>
  <c r="CO23" i="7"/>
  <c r="BK23" i="7"/>
  <c r="GT23" i="7"/>
  <c r="AO23" i="7"/>
  <c r="EG23" i="7"/>
  <c r="BB23" i="7"/>
  <c r="CS23" i="7"/>
  <c r="BP23" i="7"/>
  <c r="GU23" i="7"/>
  <c r="FU23" i="7"/>
  <c r="EW23" i="7"/>
  <c r="DX23" i="7"/>
  <c r="CX23" i="7"/>
  <c r="BX23" i="7"/>
  <c r="AU23" i="7"/>
  <c r="EM23" i="7"/>
  <c r="BH23" i="7"/>
  <c r="CY23" i="7"/>
  <c r="BZ23" i="7"/>
  <c r="O23" i="7"/>
  <c r="GB23" i="7"/>
  <c r="FF23" i="7"/>
  <c r="EF23" i="7"/>
  <c r="DG23" i="7"/>
  <c r="CH23" i="7"/>
  <c r="P23" i="7"/>
  <c r="BA23" i="7"/>
  <c r="ES23" i="7"/>
  <c r="BN23" i="7"/>
  <c r="DE23" i="7"/>
  <c r="CI23" i="7"/>
  <c r="AG23" i="7"/>
  <c r="GJ23" i="7"/>
  <c r="FO23" i="7"/>
  <c r="EP23" i="7"/>
  <c r="DP23" i="7"/>
  <c r="CP23" i="7"/>
  <c r="V23" i="7"/>
  <c r="BG23" i="7"/>
  <c r="EY23" i="7"/>
  <c r="S23" i="7"/>
  <c r="DK23" i="7"/>
  <c r="CR23" i="7"/>
  <c r="AY23" i="7"/>
  <c r="GP23" i="7"/>
  <c r="FV23" i="7"/>
  <c r="EX23" i="7"/>
  <c r="DY23" i="7"/>
  <c r="CZ23" i="7"/>
  <c r="AB23" i="7"/>
  <c r="BM23" i="7"/>
  <c r="FE23" i="7"/>
  <c r="Y23" i="7"/>
  <c r="DQ23" i="7"/>
  <c r="DA23" i="7"/>
  <c r="BQ23" i="7"/>
  <c r="T23" i="7"/>
  <c r="GD23" i="7"/>
  <c r="FH23" i="7"/>
  <c r="EH23" i="7"/>
  <c r="DH23" i="7"/>
  <c r="AH23" i="7"/>
  <c r="BS23" i="7"/>
  <c r="FK23" i="7"/>
  <c r="AE23" i="7"/>
  <c r="DW23" i="7"/>
  <c r="DJ23" i="7"/>
  <c r="CB23" i="7"/>
  <c r="AL23" i="7"/>
  <c r="GK23" i="7"/>
  <c r="FP23" i="7"/>
  <c r="EQ23" i="7"/>
  <c r="DR23" i="7"/>
  <c r="AN23" i="7"/>
  <c r="BY23" i="7"/>
  <c r="FQ23" i="7"/>
  <c r="AK23" i="7"/>
  <c r="EC23" i="7"/>
  <c r="DS23" i="7"/>
  <c r="CJ23" i="7"/>
  <c r="BD23" i="7"/>
  <c r="GQ23" i="7"/>
  <c r="FX23" i="7"/>
  <c r="EZ23" i="7"/>
  <c r="DZ23" i="7"/>
  <c r="AT23" i="7"/>
  <c r="CE23" i="7"/>
  <c r="FW23" i="7"/>
  <c r="AQ23" i="7"/>
  <c r="EI23" i="7"/>
  <c r="EB23" i="7"/>
  <c r="CT23" i="7"/>
  <c r="BT23" i="7"/>
  <c r="U23" i="7"/>
  <c r="GE23" i="7"/>
  <c r="FI23" i="7"/>
  <c r="EJ23" i="7"/>
  <c r="AZ23" i="7"/>
  <c r="CK23" i="7"/>
  <c r="GC23" i="7"/>
  <c r="AW23" i="7"/>
  <c r="EO23" i="7"/>
  <c r="EK23" i="7"/>
  <c r="DB23" i="7"/>
  <c r="CC23" i="7"/>
  <c r="AM23" i="7"/>
  <c r="GL23" i="7"/>
  <c r="FR23" i="7"/>
  <c r="ER23" i="7"/>
  <c r="BF23" i="7"/>
  <c r="CQ23" i="7"/>
  <c r="GI23" i="7"/>
  <c r="BC23" i="7"/>
  <c r="EU23" i="7"/>
  <c r="ET23" i="7"/>
  <c r="DL23" i="7"/>
  <c r="CL23" i="7"/>
  <c r="BE23" i="7"/>
  <c r="GR23" i="7"/>
  <c r="FY23" i="7"/>
  <c r="FB23" i="7"/>
  <c r="BL23" i="7"/>
  <c r="CW23" i="7"/>
  <c r="R23" i="7"/>
  <c r="BI23" i="7"/>
  <c r="FA23" i="7"/>
  <c r="FC23" i="7"/>
  <c r="DT23" i="7"/>
  <c r="CU23" i="7"/>
  <c r="BV23" i="7"/>
  <c r="Z23" i="7"/>
  <c r="GF23" i="7"/>
  <c r="FJ23" i="7"/>
  <c r="L47" i="7"/>
  <c r="L16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6" i="7"/>
  <c r="EA16" i="7"/>
  <c r="AP16" i="7"/>
  <c r="EH16" i="7"/>
  <c r="BC16" i="7"/>
  <c r="EU16" i="7"/>
  <c r="BJ16" i="7"/>
  <c r="FB16" i="7"/>
  <c r="BQ16" i="7"/>
  <c r="FI16" i="7"/>
  <c r="BX16" i="7"/>
  <c r="FP16" i="7"/>
  <c r="AO16" i="7"/>
  <c r="EG16" i="7"/>
  <c r="AV16" i="7"/>
  <c r="EN16" i="7"/>
  <c r="BI16" i="7"/>
  <c r="FA16" i="7"/>
  <c r="BP16" i="7"/>
  <c r="FH16" i="7"/>
  <c r="AU16" i="7"/>
  <c r="EM16" i="7"/>
  <c r="BB16" i="7"/>
  <c r="ET16" i="7"/>
  <c r="BO16" i="7"/>
  <c r="FG16" i="7"/>
  <c r="BV16" i="7"/>
  <c r="FN16" i="7"/>
  <c r="CC16" i="7"/>
  <c r="FU16" i="7"/>
  <c r="CJ16" i="7"/>
  <c r="GB16" i="7"/>
  <c r="BA16" i="7"/>
  <c r="ES16" i="7"/>
  <c r="BH16" i="7"/>
  <c r="EZ16" i="7"/>
  <c r="BU16" i="7"/>
  <c r="FM16" i="7"/>
  <c r="BG16" i="7"/>
  <c r="EY16" i="7"/>
  <c r="BN16" i="7"/>
  <c r="FF16" i="7"/>
  <c r="CA16" i="7"/>
  <c r="FS16" i="7"/>
  <c r="CH16" i="7"/>
  <c r="FZ16" i="7"/>
  <c r="CO16" i="7"/>
  <c r="GG16" i="7"/>
  <c r="CV16" i="7"/>
  <c r="GN16" i="7"/>
  <c r="BM16" i="7"/>
  <c r="FE16" i="7"/>
  <c r="BT16" i="7"/>
  <c r="FL16" i="7"/>
  <c r="CG16" i="7"/>
  <c r="FY16" i="7"/>
  <c r="CN16" i="7"/>
  <c r="GF16" i="7"/>
  <c r="CU16" i="7"/>
  <c r="GM16" i="7"/>
  <c r="DB16" i="7"/>
  <c r="GT16" i="7"/>
  <c r="BS16" i="7"/>
  <c r="FK16" i="7"/>
  <c r="BZ16" i="7"/>
  <c r="FR16" i="7"/>
  <c r="CM16" i="7"/>
  <c r="GE16" i="7"/>
  <c r="CT16" i="7"/>
  <c r="GL16" i="7"/>
  <c r="DA16" i="7"/>
  <c r="GS16" i="7"/>
  <c r="DH16" i="7"/>
  <c r="BY16" i="7"/>
  <c r="FQ16" i="7"/>
  <c r="CF16" i="7"/>
  <c r="FX16" i="7"/>
  <c r="CS16" i="7"/>
  <c r="GK16" i="7"/>
  <c r="CZ16" i="7"/>
  <c r="GR16" i="7"/>
  <c r="DG16" i="7"/>
  <c r="V16" i="7"/>
  <c r="DN16" i="7"/>
  <c r="CE16" i="7"/>
  <c r="FW16" i="7"/>
  <c r="CL16" i="7"/>
  <c r="GD16" i="7"/>
  <c r="CY16" i="7"/>
  <c r="GQ16" i="7"/>
  <c r="DF16" i="7"/>
  <c r="CK16" i="7"/>
  <c r="GC16" i="7"/>
  <c r="CR16" i="7"/>
  <c r="GJ16" i="7"/>
  <c r="DE16" i="7"/>
  <c r="T16" i="7"/>
  <c r="DL16" i="7"/>
  <c r="AA16" i="7"/>
  <c r="DS16" i="7"/>
  <c r="AH16" i="7"/>
  <c r="DZ16" i="7"/>
  <c r="CQ16" i="7"/>
  <c r="GI16" i="7"/>
  <c r="CX16" i="7"/>
  <c r="GP16" i="7"/>
  <c r="DK16" i="7"/>
  <c r="Z16" i="7"/>
  <c r="DR16" i="7"/>
  <c r="AG16" i="7"/>
  <c r="DY16" i="7"/>
  <c r="AN16" i="7"/>
  <c r="EF16" i="7"/>
  <c r="CW16" i="7"/>
  <c r="GO16" i="7"/>
  <c r="DD16" i="7"/>
  <c r="Y16" i="7"/>
  <c r="DQ16" i="7"/>
  <c r="AF16" i="7"/>
  <c r="DX16" i="7"/>
  <c r="AM16" i="7"/>
  <c r="EE16" i="7"/>
  <c r="AT16" i="7"/>
  <c r="EL16" i="7"/>
  <c r="DC16" i="7"/>
  <c r="GU16" i="7"/>
  <c r="DJ16" i="7"/>
  <c r="AE16" i="7"/>
  <c r="DW16" i="7"/>
  <c r="AL16" i="7"/>
  <c r="ED16" i="7"/>
  <c r="AS16" i="7"/>
  <c r="EK16" i="7"/>
  <c r="AZ16" i="7"/>
  <c r="ER16" i="7"/>
  <c r="DI16" i="7"/>
  <c r="X16" i="7"/>
  <c r="DP16" i="7"/>
  <c r="AK16" i="7"/>
  <c r="EC16" i="7"/>
  <c r="AR16" i="7"/>
  <c r="EJ16" i="7"/>
  <c r="AY16" i="7"/>
  <c r="EQ16" i="7"/>
  <c r="AC16" i="7"/>
  <c r="DU16" i="7"/>
  <c r="AJ16" i="7"/>
  <c r="EB16" i="7"/>
  <c r="AW16" i="7"/>
  <c r="EO16" i="7"/>
  <c r="BD16" i="7"/>
  <c r="EV16" i="7"/>
  <c r="BK16" i="7"/>
  <c r="FC16" i="7"/>
  <c r="BR16" i="7"/>
  <c r="FJ16" i="7"/>
  <c r="FT16" i="7"/>
  <c r="FD16" i="7"/>
  <c r="N16" i="7"/>
  <c r="U16" i="7"/>
  <c r="FV16" i="7"/>
  <c r="O16" i="7"/>
  <c r="BE16" i="7"/>
  <c r="GH16" i="7"/>
  <c r="P16" i="7"/>
  <c r="BW16" i="7"/>
  <c r="CI16" i="7"/>
  <c r="DM16" i="7"/>
  <c r="EW16" i="7"/>
  <c r="W16" i="7"/>
  <c r="FO16" i="7"/>
  <c r="DO16" i="7"/>
  <c r="GA16" i="7"/>
  <c r="AD16" i="7"/>
  <c r="AB16" i="7"/>
  <c r="DV16" i="7"/>
  <c r="BF16" i="7"/>
  <c r="AQ16" i="7"/>
  <c r="BL16" i="7"/>
  <c r="EI16" i="7"/>
  <c r="CD16" i="7"/>
  <c r="Q16" i="7"/>
  <c r="AX16" i="7"/>
  <c r="CP16" i="7"/>
  <c r="R16" i="7"/>
  <c r="CB16" i="7"/>
  <c r="DT16" i="7"/>
  <c r="M16" i="7"/>
  <c r="EP16" i="7"/>
  <c r="EX16" i="7"/>
  <c r="S16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31" i="7"/>
  <c r="W31" i="7"/>
  <c r="DO31" i="7"/>
  <c r="X31" i="7"/>
  <c r="DP31" i="7"/>
  <c r="AE31" i="7"/>
  <c r="DW31" i="7"/>
  <c r="AL31" i="7"/>
  <c r="ED31" i="7"/>
  <c r="AT31" i="7"/>
  <c r="EL31" i="7"/>
  <c r="AY31" i="7"/>
  <c r="AG31" i="7"/>
  <c r="AC31" i="7"/>
  <c r="DU31" i="7"/>
  <c r="AD31" i="7"/>
  <c r="DV31" i="7"/>
  <c r="AK31" i="7"/>
  <c r="EC31" i="7"/>
  <c r="AR31" i="7"/>
  <c r="EJ31" i="7"/>
  <c r="AZ31" i="7"/>
  <c r="ER31" i="7"/>
  <c r="CI31" i="7"/>
  <c r="BQ31" i="7"/>
  <c r="AI31" i="7"/>
  <c r="EA31" i="7"/>
  <c r="AJ31" i="7"/>
  <c r="EB31" i="7"/>
  <c r="AQ31" i="7"/>
  <c r="EI31" i="7"/>
  <c r="AX31" i="7"/>
  <c r="EP31" i="7"/>
  <c r="BF31" i="7"/>
  <c r="EX31" i="7"/>
  <c r="DS31" i="7"/>
  <c r="DA31" i="7"/>
  <c r="Q31" i="7"/>
  <c r="AO31" i="7"/>
  <c r="EG31" i="7"/>
  <c r="AP31" i="7"/>
  <c r="EH31" i="7"/>
  <c r="AW31" i="7"/>
  <c r="EO31" i="7"/>
  <c r="BD31" i="7"/>
  <c r="EV31" i="7"/>
  <c r="BL31" i="7"/>
  <c r="FD31" i="7"/>
  <c r="FC31" i="7"/>
  <c r="EK31" i="7"/>
  <c r="AU31" i="7"/>
  <c r="EM31" i="7"/>
  <c r="AV31" i="7"/>
  <c r="EN31" i="7"/>
  <c r="BC31" i="7"/>
  <c r="EU31" i="7"/>
  <c r="BJ31" i="7"/>
  <c r="FB31" i="7"/>
  <c r="BR31" i="7"/>
  <c r="FJ31" i="7"/>
  <c r="GM31" i="7"/>
  <c r="FU31" i="7"/>
  <c r="BA31" i="7"/>
  <c r="ES31" i="7"/>
  <c r="BB31" i="7"/>
  <c r="ET31" i="7"/>
  <c r="BI31" i="7"/>
  <c r="FA31" i="7"/>
  <c r="BP31" i="7"/>
  <c r="FH31" i="7"/>
  <c r="BX31" i="7"/>
  <c r="FP31" i="7"/>
  <c r="U31" i="7"/>
  <c r="AM31" i="7"/>
  <c r="BG31" i="7"/>
  <c r="EY31" i="7"/>
  <c r="BH31" i="7"/>
  <c r="EZ31" i="7"/>
  <c r="BO31" i="7"/>
  <c r="FG31" i="7"/>
  <c r="BV31" i="7"/>
  <c r="FN31" i="7"/>
  <c r="CD31" i="7"/>
  <c r="FV31" i="7"/>
  <c r="BE31" i="7"/>
  <c r="BW31" i="7"/>
  <c r="BM31" i="7"/>
  <c r="FE31" i="7"/>
  <c r="BN31" i="7"/>
  <c r="FF31" i="7"/>
  <c r="BU31" i="7"/>
  <c r="FM31" i="7"/>
  <c r="CB31" i="7"/>
  <c r="FT31" i="7"/>
  <c r="CJ31" i="7"/>
  <c r="GB31" i="7"/>
  <c r="CO31" i="7"/>
  <c r="DG31" i="7"/>
  <c r="BS31" i="7"/>
  <c r="FK31" i="7"/>
  <c r="BT31" i="7"/>
  <c r="FL31" i="7"/>
  <c r="CA31" i="7"/>
  <c r="FS31" i="7"/>
  <c r="CH31" i="7"/>
  <c r="FZ31" i="7"/>
  <c r="CP31" i="7"/>
  <c r="GH31" i="7"/>
  <c r="DY31" i="7"/>
  <c r="EQ31" i="7"/>
  <c r="BY31" i="7"/>
  <c r="FQ31" i="7"/>
  <c r="BZ31" i="7"/>
  <c r="FR31" i="7"/>
  <c r="CG31" i="7"/>
  <c r="FY31" i="7"/>
  <c r="CN31" i="7"/>
  <c r="GF31" i="7"/>
  <c r="CV31" i="7"/>
  <c r="GN31" i="7"/>
  <c r="FI31" i="7"/>
  <c r="GA31" i="7"/>
  <c r="CE31" i="7"/>
  <c r="FW31" i="7"/>
  <c r="CF31" i="7"/>
  <c r="FX31" i="7"/>
  <c r="CM31" i="7"/>
  <c r="GE31" i="7"/>
  <c r="CT31" i="7"/>
  <c r="GL31" i="7"/>
  <c r="DB31" i="7"/>
  <c r="GT31" i="7"/>
  <c r="GS31" i="7"/>
  <c r="P31" i="7"/>
  <c r="CK31" i="7"/>
  <c r="GC31" i="7"/>
  <c r="CL31" i="7"/>
  <c r="GD31" i="7"/>
  <c r="CS31" i="7"/>
  <c r="GK31" i="7"/>
  <c r="CZ31" i="7"/>
  <c r="GR31" i="7"/>
  <c r="DH31" i="7"/>
  <c r="AS31" i="7"/>
  <c r="AA31" i="7"/>
  <c r="CQ31" i="7"/>
  <c r="GI31" i="7"/>
  <c r="CR31" i="7"/>
  <c r="GJ31" i="7"/>
  <c r="CY31" i="7"/>
  <c r="GQ31" i="7"/>
  <c r="DF31" i="7"/>
  <c r="V31" i="7"/>
  <c r="DN31" i="7"/>
  <c r="CC31" i="7"/>
  <c r="BK31" i="7"/>
  <c r="CW31" i="7"/>
  <c r="GO31" i="7"/>
  <c r="CX31" i="7"/>
  <c r="GP31" i="7"/>
  <c r="DE31" i="7"/>
  <c r="T31" i="7"/>
  <c r="DL31" i="7"/>
  <c r="AB31" i="7"/>
  <c r="DT31" i="7"/>
  <c r="DM31" i="7"/>
  <c r="CU31" i="7"/>
  <c r="DC31" i="7"/>
  <c r="GU31" i="7"/>
  <c r="DD31" i="7"/>
  <c r="S31" i="7"/>
  <c r="DK31" i="7"/>
  <c r="Z31" i="7"/>
  <c r="DR31" i="7"/>
  <c r="AH31" i="7"/>
  <c r="DZ31" i="7"/>
  <c r="EW31" i="7"/>
  <c r="EE31" i="7"/>
  <c r="DI31" i="7"/>
  <c r="R31" i="7"/>
  <c r="DJ31" i="7"/>
  <c r="Y31" i="7"/>
  <c r="DQ31" i="7"/>
  <c r="AF31" i="7"/>
  <c r="DX31" i="7"/>
  <c r="AN31" i="7"/>
  <c r="EF31" i="7"/>
  <c r="GG31" i="7"/>
  <c r="FO31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7" i="7"/>
  <c r="EN7" i="7"/>
  <c r="AW7" i="7"/>
  <c r="EO7" i="7"/>
  <c r="AX7" i="7"/>
  <c r="EP7" i="7"/>
  <c r="AY7" i="7"/>
  <c r="EQ7" i="7"/>
  <c r="AT7" i="7"/>
  <c r="EL7" i="7"/>
  <c r="AO7" i="7"/>
  <c r="EG7" i="7"/>
  <c r="BB7" i="7"/>
  <c r="ET7" i="7"/>
  <c r="BC7" i="7"/>
  <c r="EU7" i="7"/>
  <c r="BD7" i="7"/>
  <c r="EV7" i="7"/>
  <c r="BE7" i="7"/>
  <c r="EW7" i="7"/>
  <c r="AZ7" i="7"/>
  <c r="ER7" i="7"/>
  <c r="AU7" i="7"/>
  <c r="EM7" i="7"/>
  <c r="BH7" i="7"/>
  <c r="EZ7" i="7"/>
  <c r="BI7" i="7"/>
  <c r="FA7" i="7"/>
  <c r="BJ7" i="7"/>
  <c r="FB7" i="7"/>
  <c r="BK7" i="7"/>
  <c r="FC7" i="7"/>
  <c r="BF7" i="7"/>
  <c r="EX7" i="7"/>
  <c r="BA7" i="7"/>
  <c r="ES7" i="7"/>
  <c r="BN7" i="7"/>
  <c r="FF7" i="7"/>
  <c r="BO7" i="7"/>
  <c r="FG7" i="7"/>
  <c r="BP7" i="7"/>
  <c r="FH7" i="7"/>
  <c r="BQ7" i="7"/>
  <c r="FI7" i="7"/>
  <c r="BL7" i="7"/>
  <c r="FD7" i="7"/>
  <c r="BG7" i="7"/>
  <c r="EY7" i="7"/>
  <c r="BT7" i="7"/>
  <c r="FL7" i="7"/>
  <c r="BU7" i="7"/>
  <c r="FM7" i="7"/>
  <c r="BV7" i="7"/>
  <c r="FN7" i="7"/>
  <c r="BW7" i="7"/>
  <c r="FO7" i="7"/>
  <c r="BR7" i="7"/>
  <c r="FJ7" i="7"/>
  <c r="BM7" i="7"/>
  <c r="FE7" i="7"/>
  <c r="BZ7" i="7"/>
  <c r="FR7" i="7"/>
  <c r="CA7" i="7"/>
  <c r="FS7" i="7"/>
  <c r="CB7" i="7"/>
  <c r="FT7" i="7"/>
  <c r="CC7" i="7"/>
  <c r="FU7" i="7"/>
  <c r="BX7" i="7"/>
  <c r="FP7" i="7"/>
  <c r="BS7" i="7"/>
  <c r="FK7" i="7"/>
  <c r="CF7" i="7"/>
  <c r="FX7" i="7"/>
  <c r="CG7" i="7"/>
  <c r="FY7" i="7"/>
  <c r="CH7" i="7"/>
  <c r="FZ7" i="7"/>
  <c r="CI7" i="7"/>
  <c r="GA7" i="7"/>
  <c r="CD7" i="7"/>
  <c r="FV7" i="7"/>
  <c r="BY7" i="7"/>
  <c r="FQ7" i="7"/>
  <c r="CL7" i="7"/>
  <c r="GD7" i="7"/>
  <c r="CM7" i="7"/>
  <c r="GE7" i="7"/>
  <c r="CN7" i="7"/>
  <c r="GF7" i="7"/>
  <c r="CO7" i="7"/>
  <c r="GG7" i="7"/>
  <c r="CJ7" i="7"/>
  <c r="GB7" i="7"/>
  <c r="CE7" i="7"/>
  <c r="FW7" i="7"/>
  <c r="CR7" i="7"/>
  <c r="GJ7" i="7"/>
  <c r="CS7" i="7"/>
  <c r="GK7" i="7"/>
  <c r="CT7" i="7"/>
  <c r="GL7" i="7"/>
  <c r="CU7" i="7"/>
  <c r="GM7" i="7"/>
  <c r="CP7" i="7"/>
  <c r="GH7" i="7"/>
  <c r="CK7" i="7"/>
  <c r="GC7" i="7"/>
  <c r="CX7" i="7"/>
  <c r="GP7" i="7"/>
  <c r="CY7" i="7"/>
  <c r="GQ7" i="7"/>
  <c r="CZ7" i="7"/>
  <c r="GR7" i="7"/>
  <c r="DA7" i="7"/>
  <c r="GS7" i="7"/>
  <c r="CV7" i="7"/>
  <c r="GN7" i="7"/>
  <c r="CQ7" i="7"/>
  <c r="GI7" i="7"/>
  <c r="L7" i="7"/>
  <c r="DD7" i="7"/>
  <c r="M7" i="7"/>
  <c r="DE7" i="7"/>
  <c r="N7" i="7"/>
  <c r="DF7" i="7"/>
  <c r="O7" i="7"/>
  <c r="DG7" i="7"/>
  <c r="DB7" i="7"/>
  <c r="GT7" i="7"/>
  <c r="CW7" i="7"/>
  <c r="GO7" i="7"/>
  <c r="R7" i="7"/>
  <c r="DJ7" i="7"/>
  <c r="S7" i="7"/>
  <c r="DK7" i="7"/>
  <c r="T7" i="7"/>
  <c r="DL7" i="7"/>
  <c r="U7" i="7"/>
  <c r="DM7" i="7"/>
  <c r="P7" i="7"/>
  <c r="DH7" i="7"/>
  <c r="DC7" i="7"/>
  <c r="GU7" i="7"/>
  <c r="X7" i="7"/>
  <c r="DP7" i="7"/>
  <c r="Y7" i="7"/>
  <c r="DQ7" i="7"/>
  <c r="Z7" i="7"/>
  <c r="DR7" i="7"/>
  <c r="AA7" i="7"/>
  <c r="DS7" i="7"/>
  <c r="V7" i="7"/>
  <c r="DN7" i="7"/>
  <c r="Q7" i="7"/>
  <c r="DI7" i="7"/>
  <c r="AD7" i="7"/>
  <c r="DV7" i="7"/>
  <c r="AE7" i="7"/>
  <c r="DW7" i="7"/>
  <c r="AF7" i="7"/>
  <c r="DX7" i="7"/>
  <c r="AG7" i="7"/>
  <c r="DY7" i="7"/>
  <c r="AB7" i="7"/>
  <c r="DT7" i="7"/>
  <c r="W7" i="7"/>
  <c r="DO7" i="7"/>
  <c r="AJ7" i="7"/>
  <c r="EB7" i="7"/>
  <c r="AK7" i="7"/>
  <c r="EC7" i="7"/>
  <c r="AL7" i="7"/>
  <c r="ED7" i="7"/>
  <c r="AM7" i="7"/>
  <c r="EE7" i="7"/>
  <c r="AH7" i="7"/>
  <c r="DZ7" i="7"/>
  <c r="AC7" i="7"/>
  <c r="DU7" i="7"/>
  <c r="AP7" i="7"/>
  <c r="EH7" i="7"/>
  <c r="AQ7" i="7"/>
  <c r="EI7" i="7"/>
  <c r="AR7" i="7"/>
  <c r="EJ7" i="7"/>
  <c r="AS7" i="7"/>
  <c r="EK7" i="7"/>
  <c r="AN7" i="7"/>
  <c r="EF7" i="7"/>
  <c r="AI7" i="7"/>
  <c r="EA7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1" i="2"/>
  <c r="BN2" i="2"/>
  <c r="BN28" i="2"/>
  <c r="BN15" i="2"/>
  <c r="BN31" i="2"/>
  <c r="BN17" i="2"/>
  <c r="BN3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8" i="2"/>
  <c r="H36" i="2"/>
  <c r="H35" i="2"/>
  <c r="H37" i="2"/>
  <c r="V35" i="2"/>
  <c r="V37" i="2"/>
  <c r="V36" i="2"/>
  <c r="T37" i="2"/>
  <c r="T36" i="2"/>
  <c r="T35" i="2"/>
  <c r="O37" i="2"/>
  <c r="O36" i="2"/>
  <c r="O35" i="2"/>
  <c r="G8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15" i="2"/>
  <c r="BL17" i="2"/>
  <c r="AD225" i="1"/>
  <c r="AD164" i="1"/>
  <c r="AD168" i="1"/>
  <c r="AC170" i="1"/>
  <c r="AC156" i="1"/>
  <c r="AJ26" i="2"/>
  <c r="AC231" i="1"/>
  <c r="BL11" i="2"/>
  <c r="AD239" i="1"/>
  <c r="AC236" i="1"/>
  <c r="AC150" i="1"/>
  <c r="AC122" i="1"/>
  <c r="AD123" i="1"/>
  <c r="AC102" i="1"/>
  <c r="BL28" i="2"/>
  <c r="BL31" i="2"/>
  <c r="BL3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8" i="2"/>
  <c r="AH17" i="2"/>
  <c r="BO29" i="2"/>
  <c r="BO6" i="2"/>
  <c r="BO19" i="2"/>
  <c r="AJ9" i="2"/>
  <c r="AJ15" i="2"/>
  <c r="AH15" i="2"/>
  <c r="AH28" i="2"/>
  <c r="BO26" i="2"/>
  <c r="AJ21" i="2"/>
  <c r="AJ28" i="2"/>
  <c r="BO9" i="2"/>
  <c r="BN20" i="2"/>
  <c r="AJ6" i="2"/>
  <c r="AG10" i="2"/>
  <c r="BO53" i="5"/>
  <c r="CY6" i="2"/>
  <c r="CY5" i="2"/>
  <c r="AE20" i="2"/>
  <c r="AI17" i="2"/>
  <c r="AI7" i="2"/>
  <c r="BO46" i="5"/>
  <c r="AI3" i="2"/>
  <c r="AH5" i="2"/>
  <c r="AJ20" i="2"/>
  <c r="BO16" i="2"/>
  <c r="AE29" i="2"/>
  <c r="AF13" i="2"/>
  <c r="AF20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6" i="2"/>
  <c r="BO10" i="5"/>
  <c r="AF2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1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10" i="2"/>
  <c r="AH16" i="2"/>
  <c r="AF24" i="2"/>
  <c r="BN8" i="2"/>
  <c r="BO23" i="2"/>
  <c r="BO42" i="5"/>
  <c r="BO5" i="2"/>
  <c r="BO12" i="2"/>
  <c r="BO21" i="5"/>
  <c r="AJ31" i="2"/>
  <c r="AI33" i="2"/>
  <c r="AG11" i="2"/>
  <c r="AI26" i="2"/>
  <c r="AE4" i="2"/>
  <c r="AI19" i="2"/>
  <c r="AI27" i="2"/>
  <c r="AG33" i="2"/>
  <c r="AC30" i="2"/>
  <c r="AC12" i="2"/>
  <c r="AC15" i="2"/>
  <c r="AG17" i="2"/>
  <c r="AI30" i="2"/>
  <c r="AI12" i="2"/>
  <c r="AG30" i="2"/>
  <c r="AC26" i="2"/>
  <c r="AE5" i="2"/>
  <c r="AE13" i="2"/>
  <c r="AI2" i="2"/>
  <c r="AI22" i="2"/>
  <c r="AE32" i="2"/>
  <c r="AC4" i="2"/>
  <c r="AC10" i="2"/>
  <c r="AC23" i="2"/>
  <c r="AE15" i="2"/>
  <c r="AE2" i="2"/>
  <c r="AI18" i="2"/>
  <c r="AF28" i="2"/>
  <c r="AE8" i="2"/>
  <c r="AI29" i="2"/>
  <c r="AE9" i="2"/>
  <c r="AG31" i="2"/>
  <c r="AG27" i="2"/>
  <c r="AE16" i="2"/>
  <c r="AI6" i="2"/>
  <c r="AC3" i="2"/>
  <c r="AE26" i="2"/>
  <c r="AC33" i="2"/>
  <c r="AI8" i="2"/>
  <c r="AG32" i="2"/>
  <c r="AE7" i="2"/>
  <c r="AE11" i="2"/>
  <c r="AE18" i="2"/>
  <c r="AI9" i="2"/>
  <c r="AF17" i="2"/>
  <c r="AE19" i="2"/>
  <c r="AI14" i="2"/>
  <c r="AE22" i="2"/>
  <c r="AC20" i="2"/>
  <c r="AC5" i="2"/>
  <c r="AE30" i="2"/>
  <c r="AE28" i="2"/>
  <c r="AI10" i="2"/>
  <c r="AI16" i="2"/>
  <c r="AE17" i="2"/>
  <c r="AE10" i="2"/>
  <c r="AF15" i="2"/>
  <c r="AC18" i="2"/>
  <c r="AG13" i="2"/>
  <c r="AI31" i="2"/>
  <c r="AI23" i="2"/>
  <c r="AG15" i="2"/>
  <c r="AC11" i="2"/>
  <c r="AI13" i="2"/>
  <c r="AE23" i="2"/>
  <c r="AE27" i="2"/>
  <c r="AG18" i="2"/>
  <c r="AI21" i="2"/>
  <c r="AE31" i="2"/>
  <c r="AE14" i="2"/>
  <c r="AC16" i="2"/>
  <c r="AI32" i="2"/>
  <c r="AI4" i="2"/>
  <c r="AC7" i="2"/>
  <c r="AI5" i="2"/>
  <c r="AE12" i="2"/>
  <c r="AG5" i="2"/>
  <c r="AI20" i="2"/>
  <c r="AC8" i="2"/>
  <c r="AC2" i="2"/>
  <c r="AC9" i="2"/>
  <c r="AC29" i="2"/>
  <c r="AG2" i="2"/>
  <c r="AI15" i="2"/>
  <c r="AI24" i="2"/>
  <c r="AC21" i="2"/>
  <c r="AC25" i="2"/>
  <c r="AC24" i="2"/>
  <c r="AG21" i="2"/>
  <c r="AG19" i="2"/>
  <c r="AI28" i="2"/>
  <c r="AC27" i="2"/>
  <c r="AE3" i="2"/>
  <c r="AG9" i="2"/>
  <c r="AG4" i="2"/>
  <c r="AG16" i="2"/>
  <c r="AC14" i="2"/>
  <c r="AC32" i="2"/>
  <c r="AG3" i="2"/>
  <c r="AE33" i="2"/>
  <c r="AG14" i="2"/>
  <c r="AE21" i="2"/>
  <c r="AG26" i="2"/>
  <c r="AG25" i="2"/>
  <c r="AG22" i="2"/>
  <c r="AC6" i="2"/>
  <c r="AC28" i="2"/>
  <c r="AC13" i="2"/>
  <c r="AC31" i="2"/>
  <c r="AE6" i="2"/>
  <c r="AG23" i="2"/>
  <c r="AG28" i="2"/>
  <c r="AG29" i="2"/>
  <c r="AE25" i="2"/>
  <c r="AH8" i="2"/>
  <c r="AG20" i="2"/>
  <c r="AC17" i="2"/>
  <c r="AC19" i="2"/>
  <c r="AC22" i="2"/>
  <c r="AJ2" i="2"/>
  <c r="AG8" i="2"/>
  <c r="AG12" i="2"/>
  <c r="AG7" i="2"/>
  <c r="AI25" i="2"/>
  <c r="AG24" i="2"/>
  <c r="AE24" i="2"/>
  <c r="AH22" i="2"/>
  <c r="BX13" i="2"/>
  <c r="J4" i="2"/>
  <c r="G4" i="2"/>
  <c r="J19" i="2"/>
  <c r="G19" i="2"/>
  <c r="J20" i="2"/>
  <c r="BX11" i="2"/>
  <c r="J11" i="2"/>
  <c r="BV16" i="2"/>
  <c r="X11" i="2"/>
  <c r="BX16" i="2"/>
  <c r="BX17" i="2"/>
  <c r="J28" i="2"/>
  <c r="X28" i="2"/>
  <c r="X19" i="2"/>
  <c r="X27" i="2"/>
  <c r="BV17" i="2"/>
  <c r="J2" i="2"/>
  <c r="BV27" i="2"/>
  <c r="BX27" i="2"/>
  <c r="X23" i="2"/>
  <c r="BV32" i="2"/>
  <c r="X9" i="2"/>
  <c r="X21" i="2"/>
  <c r="BX7" i="2"/>
  <c r="BW13" i="2"/>
  <c r="AH14" i="2"/>
  <c r="BX29" i="2"/>
  <c r="X29" i="2"/>
  <c r="BW25" i="2"/>
  <c r="X22" i="2"/>
  <c r="BV25" i="2"/>
  <c r="BX22" i="2"/>
  <c r="BX21" i="2"/>
  <c r="BX32" i="2"/>
  <c r="X4" i="2"/>
  <c r="X24" i="2"/>
  <c r="BO10" i="2"/>
  <c r="X31" i="2"/>
  <c r="BX15" i="2"/>
  <c r="BX10" i="2"/>
  <c r="BX25" i="2"/>
  <c r="X30" i="2"/>
  <c r="BX26" i="2"/>
  <c r="BX30" i="2"/>
  <c r="BX4" i="2"/>
  <c r="X10" i="2"/>
  <c r="J17" i="2"/>
  <c r="X13" i="2"/>
  <c r="X32" i="2"/>
  <c r="BV24" i="2"/>
  <c r="BX24" i="2"/>
  <c r="BW27" i="2"/>
  <c r="BV9" i="2"/>
  <c r="BV15" i="2"/>
  <c r="BW15" i="2"/>
  <c r="BV29" i="2"/>
  <c r="BV26" i="2"/>
  <c r="BV21" i="2"/>
  <c r="X6" i="2"/>
  <c r="BX9" i="2"/>
  <c r="BV4" i="2"/>
  <c r="X15" i="2"/>
  <c r="X16" i="2"/>
  <c r="BW10" i="2"/>
  <c r="BX31" i="2"/>
  <c r="BX14" i="2"/>
  <c r="BX28" i="2"/>
  <c r="BV28" i="2"/>
  <c r="BV2" i="2"/>
  <c r="X26" i="2"/>
  <c r="BX20" i="2"/>
  <c r="X20" i="2"/>
  <c r="BX19" i="2"/>
  <c r="BX5" i="2"/>
  <c r="J14" i="2"/>
  <c r="E14" i="2" s="1"/>
  <c r="X33" i="2"/>
  <c r="BV10" i="2"/>
  <c r="AF22" i="2"/>
  <c r="AF25" i="2"/>
  <c r="AJ11" i="2"/>
  <c r="AF11" i="2"/>
  <c r="AF31" i="2"/>
  <c r="BN21" i="2"/>
  <c r="AF3" i="2"/>
  <c r="AH23" i="2"/>
  <c r="BV13" i="2"/>
  <c r="P31" i="2"/>
  <c r="BV30" i="2"/>
  <c r="BV5" i="2"/>
  <c r="X18" i="2"/>
  <c r="BX18" i="2"/>
  <c r="J25" i="2"/>
  <c r="X25" i="2"/>
  <c r="J8" i="2"/>
  <c r="X12" i="2"/>
  <c r="BX12" i="2"/>
  <c r="X8" i="2"/>
  <c r="P25" i="2"/>
  <c r="BW11" i="2"/>
  <c r="BX8" i="2"/>
  <c r="P19" i="2"/>
  <c r="X14" i="2"/>
  <c r="P24" i="2"/>
  <c r="X17" i="2"/>
  <c r="P29" i="2"/>
  <c r="P30" i="2"/>
  <c r="P9" i="2"/>
  <c r="X2" i="2"/>
  <c r="P23" i="2"/>
  <c r="P5" i="2"/>
  <c r="X5" i="2"/>
  <c r="P18" i="2"/>
  <c r="P21" i="2"/>
  <c r="BV14" i="2"/>
  <c r="BV11" i="2"/>
  <c r="BV12" i="2"/>
  <c r="BV31" i="2"/>
  <c r="BV8" i="2"/>
  <c r="BV33" i="2"/>
  <c r="BX2" i="2"/>
  <c r="BW19" i="2"/>
  <c r="BV23" i="2"/>
  <c r="BV20" i="2"/>
  <c r="BV22" i="2"/>
  <c r="BW26" i="2"/>
  <c r="BW16" i="2"/>
  <c r="BV19" i="2"/>
  <c r="BW6" i="2"/>
  <c r="BV6" i="2"/>
  <c r="BV18" i="2"/>
  <c r="BW32" i="2"/>
  <c r="BW22" i="2"/>
  <c r="BW7" i="2"/>
  <c r="BV7" i="2"/>
  <c r="BX6" i="2"/>
  <c r="AH29" i="2"/>
  <c r="X7" i="2"/>
  <c r="P12" i="2"/>
  <c r="BX23" i="2"/>
  <c r="J9" i="2"/>
  <c r="BW31" i="2"/>
  <c r="J27" i="2"/>
  <c r="P22" i="2"/>
  <c r="BX33" i="2"/>
  <c r="BW28" i="2"/>
  <c r="P28" i="2"/>
  <c r="J18" i="2"/>
  <c r="BW18" i="2"/>
  <c r="BW24" i="2"/>
  <c r="J6" i="2"/>
  <c r="P6" i="2"/>
  <c r="BW20" i="2"/>
  <c r="P20" i="2"/>
  <c r="J22" i="2"/>
  <c r="J13" i="2"/>
  <c r="J30" i="2"/>
  <c r="BW17" i="2"/>
  <c r="J32" i="2"/>
  <c r="P32" i="2"/>
  <c r="P11" i="2"/>
  <c r="BW5" i="2"/>
  <c r="BW30" i="2"/>
  <c r="J10" i="2"/>
  <c r="J23" i="2"/>
  <c r="J24" i="2"/>
  <c r="P13" i="2"/>
  <c r="P17" i="2"/>
  <c r="BW9" i="2"/>
  <c r="J33" i="2"/>
  <c r="BW12" i="2"/>
  <c r="J29" i="2"/>
  <c r="P10" i="2"/>
  <c r="BW4" i="2"/>
  <c r="P14" i="2"/>
  <c r="J7" i="2"/>
  <c r="J12" i="2"/>
  <c r="J5" i="2"/>
  <c r="P7" i="2"/>
  <c r="J21" i="2"/>
  <c r="J15" i="2"/>
  <c r="J26" i="2"/>
  <c r="BW14" i="2"/>
  <c r="P27" i="2"/>
  <c r="BW21" i="2"/>
  <c r="P4" i="2"/>
  <c r="J31" i="2"/>
  <c r="P16" i="2"/>
  <c r="P26" i="2"/>
  <c r="P8" i="2"/>
  <c r="P2" i="2"/>
  <c r="BW2" i="2"/>
  <c r="J16" i="2"/>
  <c r="BW23" i="2"/>
  <c r="BW8" i="2"/>
  <c r="P33" i="2"/>
  <c r="BW29" i="2"/>
  <c r="BW33" i="2"/>
  <c r="P15" i="2"/>
  <c r="BH4" i="2"/>
  <c r="BH23" i="2"/>
  <c r="BH12" i="2"/>
  <c r="BH25" i="2"/>
  <c r="BH18" i="2"/>
  <c r="BH14" i="2"/>
  <c r="BH7" i="2"/>
  <c r="BH30" i="2"/>
  <c r="BH13" i="2"/>
  <c r="BH20" i="2"/>
  <c r="BH31" i="2"/>
  <c r="BH10" i="2"/>
  <c r="BH6" i="2"/>
  <c r="BH22" i="2"/>
  <c r="BH28" i="2"/>
  <c r="BH2" i="2"/>
  <c r="BH9" i="2"/>
  <c r="BH16" i="2"/>
  <c r="BH26" i="2"/>
  <c r="BH11" i="2"/>
  <c r="BH27" i="2"/>
  <c r="BH21" i="2"/>
  <c r="BH17" i="2"/>
  <c r="BH8" i="2"/>
  <c r="BH19" i="2"/>
  <c r="BH5" i="2"/>
  <c r="BH32" i="2"/>
  <c r="BH29" i="2"/>
  <c r="BH33" i="2"/>
  <c r="BH15" i="2"/>
  <c r="BH24" i="2"/>
  <c r="AJ3" i="2"/>
  <c r="AH3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O796" i="1" l="1"/>
  <c r="AP33" i="2"/>
  <c r="AO802" i="1"/>
  <c r="AJ17" i="2"/>
  <c r="AL17" i="2" s="1"/>
  <c r="AH11" i="2"/>
  <c r="AL11" i="2" s="1"/>
  <c r="BO14" i="2"/>
  <c r="BL22" i="2"/>
  <c r="BN22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3" i="2"/>
  <c r="AL2" i="2"/>
  <c r="AL28" i="2"/>
  <c r="AL15" i="2"/>
  <c r="AP1009" i="1"/>
  <c r="AP990" i="1"/>
  <c r="AP855" i="1"/>
  <c r="AP989" i="1"/>
  <c r="AP1012" i="1"/>
  <c r="BZ29" i="2"/>
  <c r="AO1113" i="1"/>
  <c r="BZ28" i="2"/>
  <c r="BZ7" i="2"/>
  <c r="BZ8" i="2"/>
  <c r="BZ4" i="2"/>
  <c r="BZ12" i="2"/>
  <c r="BZ26" i="2"/>
  <c r="CJ31" i="2"/>
  <c r="CJ24" i="2"/>
  <c r="CJ15" i="2"/>
  <c r="BZ11" i="2"/>
  <c r="BZ2" i="2"/>
  <c r="BZ20" i="2"/>
  <c r="CI11" i="2"/>
  <c r="CI19" i="2"/>
  <c r="CJ32" i="2"/>
  <c r="BZ23" i="2"/>
  <c r="BZ24" i="2"/>
  <c r="BZ6" i="2"/>
  <c r="BZ16" i="2"/>
  <c r="BZ31" i="2"/>
  <c r="BZ17" i="2"/>
  <c r="BZ13" i="2"/>
  <c r="BZ19" i="2"/>
  <c r="BZ14" i="2"/>
  <c r="BZ15" i="2"/>
  <c r="BZ27" i="2"/>
  <c r="BZ33" i="2"/>
  <c r="BZ10" i="2"/>
  <c r="BZ9" i="2"/>
  <c r="BZ18" i="2"/>
  <c r="BZ22" i="2"/>
  <c r="BZ30" i="2"/>
  <c r="BZ21" i="2"/>
  <c r="BZ5" i="2"/>
  <c r="BZ32" i="2"/>
  <c r="BZ25" i="2"/>
  <c r="AO958" i="1"/>
  <c r="CJ20" i="2"/>
  <c r="CI28" i="2"/>
  <c r="CI8" i="2"/>
  <c r="CJ26" i="2"/>
  <c r="CI5" i="2"/>
  <c r="CJ4" i="2"/>
  <c r="CJ29" i="2"/>
  <c r="CI31" i="2"/>
  <c r="CI4" i="2"/>
  <c r="CI3" i="2"/>
  <c r="CI20" i="2"/>
  <c r="CJ22" i="2"/>
  <c r="CJ28" i="2"/>
  <c r="CJ11" i="2"/>
  <c r="CI16" i="2"/>
  <c r="CI14" i="2"/>
  <c r="CI17" i="2"/>
  <c r="CJ10" i="2"/>
  <c r="CJ7" i="2"/>
  <c r="CJ8" i="2"/>
  <c r="AP762" i="1"/>
  <c r="CI6" i="2"/>
  <c r="CI30" i="2"/>
  <c r="CJ2" i="2"/>
  <c r="CJ17" i="2"/>
  <c r="CI12" i="2"/>
  <c r="CI29" i="2"/>
  <c r="CJ12" i="2"/>
  <c r="CI22" i="2"/>
  <c r="CI27" i="2"/>
  <c r="CJ25" i="2"/>
  <c r="CI7" i="2"/>
  <c r="CI33" i="2"/>
  <c r="CI18" i="2"/>
  <c r="CJ19" i="2"/>
  <c r="CI9" i="2"/>
  <c r="CJ21" i="2"/>
  <c r="CJ18" i="2"/>
  <c r="CI15" i="2"/>
  <c r="CI2" i="2"/>
  <c r="CJ6" i="2"/>
  <c r="CI13" i="2"/>
  <c r="CI23" i="2"/>
  <c r="CJ23" i="2"/>
  <c r="CI10" i="2"/>
  <c r="CJ33" i="2"/>
  <c r="CJ27" i="2"/>
  <c r="CI26" i="2"/>
  <c r="CJ5" i="2"/>
  <c r="CI21" i="2"/>
  <c r="CJ9" i="2"/>
  <c r="CJ16" i="2"/>
  <c r="CJ30" i="2"/>
  <c r="CI32" i="2"/>
  <c r="CI25" i="2"/>
  <c r="CI24" i="2"/>
  <c r="CJ3" i="2"/>
  <c r="CJ14" i="2"/>
  <c r="CJ13" i="2"/>
  <c r="E32" i="2"/>
  <c r="BK20" i="2"/>
  <c r="E17" i="2"/>
  <c r="E21" i="2"/>
  <c r="E13" i="2"/>
  <c r="BK19" i="2"/>
  <c r="E12" i="2"/>
  <c r="E23" i="2"/>
  <c r="E22" i="2"/>
  <c r="E27" i="2"/>
  <c r="E26" i="2"/>
  <c r="E7" i="2"/>
  <c r="E10" i="2"/>
  <c r="E9" i="2"/>
  <c r="E2" i="2"/>
  <c r="E16" i="2"/>
  <c r="E31" i="2"/>
  <c r="E15" i="2"/>
  <c r="E30" i="2"/>
  <c r="E6" i="2"/>
  <c r="E5" i="2"/>
  <c r="E29" i="2"/>
  <c r="E24" i="2"/>
  <c r="E18" i="2"/>
  <c r="E11" i="2"/>
  <c r="BK4" i="2"/>
  <c r="BK28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8" i="2"/>
  <c r="AK2" i="2"/>
  <c r="AK15" i="2"/>
  <c r="AK3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3" i="2"/>
  <c r="BN4" i="2"/>
  <c r="BN7" i="2"/>
  <c r="BO7" i="2"/>
  <c r="BN13" i="2"/>
  <c r="BN6" i="2"/>
  <c r="BN19" i="2"/>
  <c r="BO27" i="2"/>
  <c r="BN24" i="2"/>
  <c r="BO20" i="2"/>
  <c r="BN18" i="2"/>
  <c r="BN26" i="2"/>
  <c r="BO31" i="2"/>
  <c r="BO32" i="2"/>
  <c r="BN32" i="2"/>
  <c r="BN33" i="2"/>
  <c r="BO4" i="2"/>
  <c r="BN25" i="2"/>
  <c r="BN27" i="2"/>
  <c r="BN9" i="2"/>
  <c r="BO13" i="2"/>
  <c r="BO30" i="2"/>
  <c r="BO18" i="2"/>
  <c r="BO25" i="2"/>
  <c r="BN12" i="2"/>
  <c r="BN30" i="2"/>
  <c r="BO24" i="2"/>
  <c r="BO21" i="2"/>
  <c r="BN16" i="2"/>
  <c r="BO11" i="2"/>
  <c r="BO3" i="2"/>
  <c r="BN10" i="2"/>
  <c r="BO22" i="2"/>
  <c r="BN5" i="2"/>
  <c r="BN23" i="2"/>
  <c r="BN29" i="2"/>
  <c r="BO2" i="2"/>
  <c r="BO17" i="2"/>
  <c r="BO28" i="2"/>
  <c r="BO15" i="2"/>
  <c r="BN14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8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8" i="2"/>
  <c r="BM8" i="2"/>
  <c r="AP26" i="2"/>
  <c r="BL26" i="2"/>
  <c r="BM20" i="2"/>
  <c r="BL12" i="2"/>
  <c r="BL14" i="2"/>
  <c r="BM26" i="2"/>
  <c r="BM29" i="2"/>
  <c r="BM12" i="2"/>
  <c r="BL10" i="2"/>
  <c r="BL30" i="2"/>
  <c r="BM32" i="2"/>
  <c r="BL21" i="2"/>
  <c r="BM23" i="2"/>
  <c r="BM5" i="2"/>
  <c r="BL16" i="2"/>
  <c r="BM27" i="2"/>
  <c r="BM21" i="2"/>
  <c r="BM19" i="2"/>
  <c r="BL7" i="2"/>
  <c r="BM10" i="2"/>
  <c r="BM24" i="2"/>
  <c r="BM6" i="2"/>
  <c r="BL32" i="2"/>
  <c r="BM25" i="2"/>
  <c r="BL5" i="2"/>
  <c r="BL18" i="2"/>
  <c r="BL29" i="2"/>
  <c r="BM30" i="2"/>
  <c r="BM4" i="2"/>
  <c r="BM9" i="2"/>
  <c r="BM13" i="2"/>
  <c r="BM14" i="2"/>
  <c r="BL27" i="2"/>
  <c r="BL9" i="2"/>
  <c r="BM7" i="2"/>
  <c r="BL23" i="2"/>
  <c r="BM33" i="2"/>
  <c r="BL33" i="2"/>
  <c r="BL4" i="2"/>
  <c r="BM16" i="2"/>
  <c r="BL19" i="2"/>
  <c r="BL6" i="2"/>
  <c r="BM18" i="2"/>
  <c r="BM31" i="2"/>
  <c r="BM22" i="2"/>
  <c r="BL8" i="2"/>
  <c r="BL25" i="2"/>
  <c r="BM11" i="2"/>
  <c r="BL24" i="2"/>
  <c r="BM17" i="2"/>
  <c r="BM3" i="2"/>
  <c r="BM2" i="2"/>
  <c r="BM28" i="2"/>
  <c r="BL20" i="2"/>
  <c r="BL13" i="2"/>
  <c r="BM15" i="2"/>
  <c r="AP8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7" i="2"/>
  <c r="AF6" i="2"/>
  <c r="AH25" i="2"/>
  <c r="AP17" i="2"/>
  <c r="AF9" i="2"/>
  <c r="AO26" i="2"/>
  <c r="AF19" i="2"/>
  <c r="AH9" i="2"/>
  <c r="AK9" i="2" s="1"/>
  <c r="AF18" i="2"/>
  <c r="AP28" i="2"/>
  <c r="AH6" i="2"/>
  <c r="AK6" i="2" s="1"/>
  <c r="AF14" i="2"/>
  <c r="AO28" i="2"/>
  <c r="AJ29" i="2"/>
  <c r="AK29" i="2" s="1"/>
  <c r="AJ14" i="2"/>
  <c r="AK14" i="2" s="1"/>
  <c r="AP15" i="2"/>
  <c r="AF26" i="2"/>
  <c r="AO25" i="2"/>
  <c r="AP21" i="2"/>
  <c r="AO19" i="2"/>
  <c r="AJ19" i="2"/>
  <c r="AO15" i="2"/>
  <c r="AH26" i="2"/>
  <c r="AK26" i="2" s="1"/>
  <c r="AH4" i="2"/>
  <c r="AF21" i="2"/>
  <c r="AO9" i="2"/>
  <c r="AO6" i="2"/>
  <c r="AP6" i="2"/>
  <c r="AP9" i="2"/>
  <c r="AJ13" i="2"/>
  <c r="BP47" i="5"/>
  <c r="BP13" i="5"/>
  <c r="AO13" i="2"/>
  <c r="BP45" i="5"/>
  <c r="BP53" i="5"/>
  <c r="AF32" i="2"/>
  <c r="AF7" i="2"/>
  <c r="AJ24" i="2"/>
  <c r="AJ32" i="2"/>
  <c r="AW28" i="2"/>
  <c r="AW15" i="2"/>
  <c r="AW2" i="2"/>
  <c r="AW3" i="2"/>
  <c r="AH32" i="2"/>
  <c r="AF5" i="2"/>
  <c r="AP20" i="2"/>
  <c r="BP61" i="5"/>
  <c r="BP7" i="5"/>
  <c r="BP19" i="5"/>
  <c r="BP35" i="5"/>
  <c r="BP33" i="5"/>
  <c r="BP29" i="5"/>
  <c r="AO2" i="2"/>
  <c r="BP15" i="5"/>
  <c r="BP59" i="5"/>
  <c r="AP13" i="2"/>
  <c r="BP57" i="5"/>
  <c r="AH7" i="2"/>
  <c r="AF4" i="2"/>
  <c r="AJ8" i="2"/>
  <c r="AK8" i="2" s="1"/>
  <c r="BP21" i="5"/>
  <c r="E33" i="2"/>
  <c r="CY2" i="2"/>
  <c r="CZ5" i="2" s="1"/>
  <c r="AO8" i="2"/>
  <c r="AH13" i="2"/>
  <c r="AD23" i="2"/>
  <c r="BP23" i="2" s="1"/>
  <c r="AJ30" i="2"/>
  <c r="AH19" i="2"/>
  <c r="AP19" i="2"/>
  <c r="AH12" i="2"/>
  <c r="AP24" i="2"/>
  <c r="AJ23" i="2"/>
  <c r="AK23" i="2" s="1"/>
  <c r="DA5" i="2"/>
  <c r="DA6" i="2"/>
  <c r="AF29" i="2"/>
  <c r="AF30" i="2"/>
  <c r="CY3" i="2"/>
  <c r="DA3" i="2" s="1"/>
  <c r="AP2" i="2"/>
  <c r="AJ18" i="2"/>
  <c r="AF27" i="2"/>
  <c r="AJ16" i="2"/>
  <c r="AK16" i="2" s="1"/>
  <c r="AF23" i="2"/>
  <c r="AO5" i="2"/>
  <c r="AO18" i="2"/>
  <c r="AH18" i="2"/>
  <c r="AP18" i="2"/>
  <c r="AO16" i="2"/>
  <c r="AH30" i="2"/>
  <c r="AP16" i="2"/>
  <c r="AJ5" i="2"/>
  <c r="AK5" i="2" s="1"/>
  <c r="BP27" i="5"/>
  <c r="BP3" i="5"/>
  <c r="BP11" i="5"/>
  <c r="BP25" i="5"/>
  <c r="AD18" i="2"/>
  <c r="BP18" i="2" s="1"/>
  <c r="AF10" i="2"/>
  <c r="AF12" i="2"/>
  <c r="AO24" i="2"/>
  <c r="AO20" i="2"/>
  <c r="AH20" i="2"/>
  <c r="AW20" i="2" s="1"/>
  <c r="CS8" i="2"/>
  <c r="CS7" i="2"/>
  <c r="AF16" i="2"/>
  <c r="AJ4" i="2"/>
  <c r="AJ7" i="2"/>
  <c r="BP5" i="5"/>
  <c r="BP17" i="5"/>
  <c r="BP37" i="5"/>
  <c r="BP9" i="5"/>
  <c r="AH27" i="2"/>
  <c r="BP55" i="5"/>
  <c r="BP23" i="5"/>
  <c r="BP63" i="5"/>
  <c r="BP51" i="5"/>
  <c r="BP65" i="5"/>
  <c r="BP31" i="5"/>
  <c r="BP41" i="5"/>
  <c r="AO12" i="2"/>
  <c r="BP43" i="5"/>
  <c r="BP49" i="5"/>
  <c r="AH24" i="2"/>
  <c r="BP39" i="5"/>
  <c r="AP5" i="2"/>
  <c r="E25" i="2"/>
  <c r="BK6" i="2"/>
  <c r="BK25" i="2"/>
  <c r="BK22" i="2"/>
  <c r="BK9" i="2"/>
  <c r="BK12" i="2"/>
  <c r="BK11" i="2"/>
  <c r="BK5" i="2"/>
  <c r="BK7" i="2"/>
  <c r="BK23" i="2"/>
  <c r="BK21" i="2"/>
  <c r="BK29" i="2"/>
  <c r="BK13" i="2"/>
  <c r="BK33" i="2"/>
  <c r="BK24" i="2"/>
  <c r="BK10" i="2"/>
  <c r="BK2" i="2"/>
  <c r="BK31" i="2"/>
  <c r="BK27" i="2"/>
  <c r="BK26" i="2"/>
  <c r="BK30" i="2"/>
  <c r="BK15" i="2"/>
  <c r="BK8" i="2"/>
  <c r="BK18" i="2"/>
  <c r="BK16" i="2"/>
  <c r="BK14" i="2"/>
  <c r="BK32" i="2"/>
  <c r="BK17" i="2"/>
  <c r="K4" i="2"/>
  <c r="E4" i="2"/>
  <c r="BI28" i="2"/>
  <c r="E28" i="2"/>
  <c r="K20" i="2"/>
  <c r="E20" i="2"/>
  <c r="K19" i="2"/>
  <c r="E19" i="2"/>
  <c r="BJ19" i="2"/>
  <c r="AD20" i="2"/>
  <c r="BP20" i="2" s="1"/>
  <c r="BI4" i="2"/>
  <c r="BJ4" i="2"/>
  <c r="AD33" i="2"/>
  <c r="BP33" i="2" s="1"/>
  <c r="AD16" i="2"/>
  <c r="BP16" i="2" s="1"/>
  <c r="AF33" i="2"/>
  <c r="AD15" i="2"/>
  <c r="BP15" i="2" s="1"/>
  <c r="AD32" i="2"/>
  <c r="BP32" i="2" s="1"/>
  <c r="AD26" i="2"/>
  <c r="BP26" i="2" s="1"/>
  <c r="AO27" i="2"/>
  <c r="AD19" i="2"/>
  <c r="BP19" i="2" s="1"/>
  <c r="AD25" i="2"/>
  <c r="BP25" i="2" s="1"/>
  <c r="AD29" i="2"/>
  <c r="BP29" i="2" s="1"/>
  <c r="AH33" i="2"/>
  <c r="AD9" i="2"/>
  <c r="BP9" i="2" s="1"/>
  <c r="AD28" i="2"/>
  <c r="BP28" i="2" s="1"/>
  <c r="AD14" i="2"/>
  <c r="BP14" i="2" s="1"/>
  <c r="AD6" i="2"/>
  <c r="BP6" i="2" s="1"/>
  <c r="AD24" i="2"/>
  <c r="BP24" i="2" s="1"/>
  <c r="AD4" i="2"/>
  <c r="BP4" i="2" s="1"/>
  <c r="AD17" i="2"/>
  <c r="BP17" i="2" s="1"/>
  <c r="AD2" i="2"/>
  <c r="BP2" i="2" s="1"/>
  <c r="AD7" i="2"/>
  <c r="BP7" i="2" s="1"/>
  <c r="AD13" i="2"/>
  <c r="BP13" i="2" s="1"/>
  <c r="AD22" i="2"/>
  <c r="BP22" i="2" s="1"/>
  <c r="AD21" i="2"/>
  <c r="BP21" i="2" s="1"/>
  <c r="AD30" i="2"/>
  <c r="BP30" i="2" s="1"/>
  <c r="AD10" i="2"/>
  <c r="BP10" i="2" s="1"/>
  <c r="AD11" i="2"/>
  <c r="BP11" i="2" s="1"/>
  <c r="AD27" i="2"/>
  <c r="BP27" i="2" s="1"/>
  <c r="AD31" i="2"/>
  <c r="BP31" i="2" s="1"/>
  <c r="AJ33" i="2"/>
  <c r="AP31" i="2"/>
  <c r="AH31" i="2"/>
  <c r="AW31" i="2" s="1"/>
  <c r="AJ25" i="2"/>
  <c r="AO22" i="2"/>
  <c r="AJ22" i="2"/>
  <c r="AW22" i="2" s="1"/>
  <c r="AD5" i="2"/>
  <c r="BP5" i="2" s="1"/>
  <c r="AO10" i="2"/>
  <c r="AJ10" i="2"/>
  <c r="AK10" i="2" s="1"/>
  <c r="AJ12" i="2"/>
  <c r="AD12" i="2"/>
  <c r="BP12" i="2" s="1"/>
  <c r="AJ27" i="2"/>
  <c r="AD8" i="2"/>
  <c r="BP8" i="2" s="1"/>
  <c r="AH21" i="2"/>
  <c r="AK21" i="2" s="1"/>
  <c r="BI19" i="2"/>
  <c r="BY11" i="2"/>
  <c r="BY13" i="2"/>
  <c r="BJ20" i="2"/>
  <c r="BI20" i="2"/>
  <c r="BI30" i="2"/>
  <c r="K30" i="2"/>
  <c r="BI6" i="2"/>
  <c r="K6" i="2"/>
  <c r="BJ5" i="2"/>
  <c r="K5" i="2"/>
  <c r="BJ29" i="2"/>
  <c r="K29" i="2"/>
  <c r="BJ13" i="2"/>
  <c r="K13" i="2"/>
  <c r="BI8" i="2"/>
  <c r="K8" i="2"/>
  <c r="BI21" i="2"/>
  <c r="K21" i="2"/>
  <c r="BI9" i="2"/>
  <c r="K9" i="2"/>
  <c r="BI11" i="2"/>
  <c r="K11" i="2"/>
  <c r="BJ11" i="2"/>
  <c r="BI16" i="2"/>
  <c r="K16" i="2"/>
  <c r="BJ26" i="2"/>
  <c r="K26" i="2"/>
  <c r="BI7" i="2"/>
  <c r="K7" i="2"/>
  <c r="BJ23" i="2"/>
  <c r="K23" i="2"/>
  <c r="BI32" i="2"/>
  <c r="K32" i="2"/>
  <c r="BJ18" i="2"/>
  <c r="K18" i="2"/>
  <c r="BJ25" i="2"/>
  <c r="K25" i="2"/>
  <c r="BJ17" i="2"/>
  <c r="K17" i="2"/>
  <c r="BJ28" i="2"/>
  <c r="K28" i="2"/>
  <c r="BJ12" i="2"/>
  <c r="K12" i="2"/>
  <c r="BI24" i="2"/>
  <c r="K24" i="2"/>
  <c r="BJ22" i="2"/>
  <c r="K22" i="2"/>
  <c r="BJ27" i="2"/>
  <c r="K27" i="2"/>
  <c r="BJ31" i="2"/>
  <c r="K31" i="2"/>
  <c r="BI15" i="2"/>
  <c r="K15" i="2"/>
  <c r="BJ33" i="2"/>
  <c r="K33" i="2"/>
  <c r="BJ10" i="2"/>
  <c r="K10" i="2"/>
  <c r="BI14" i="2"/>
  <c r="K14" i="2"/>
  <c r="BJ2" i="2"/>
  <c r="K2" i="2"/>
  <c r="BI2" i="2"/>
  <c r="BY16" i="2"/>
  <c r="BY17" i="2"/>
  <c r="BY27" i="2"/>
  <c r="BI17" i="2"/>
  <c r="BY22" i="2"/>
  <c r="AP7" i="2"/>
  <c r="BY15" i="2"/>
  <c r="BY21" i="2"/>
  <c r="BY7" i="2"/>
  <c r="AP14" i="2"/>
  <c r="AO14" i="2"/>
  <c r="BY26" i="2"/>
  <c r="AP12" i="2"/>
  <c r="BY29" i="2"/>
  <c r="BJ14" i="2"/>
  <c r="AP4" i="2"/>
  <c r="BY5" i="2"/>
  <c r="AO32" i="2"/>
  <c r="AO4" i="2"/>
  <c r="BY30" i="2"/>
  <c r="AP22" i="2"/>
  <c r="BY4" i="2"/>
  <c r="BY32" i="2"/>
  <c r="BY25" i="2"/>
  <c r="AP10" i="2"/>
  <c r="BY10" i="2"/>
  <c r="BY24" i="2"/>
  <c r="BY20" i="2"/>
  <c r="BY28" i="2"/>
  <c r="BY9" i="2"/>
  <c r="BY14" i="2"/>
  <c r="BY19" i="2"/>
  <c r="BY31" i="2"/>
  <c r="BI25" i="2"/>
  <c r="BY18" i="2"/>
  <c r="AO30" i="2"/>
  <c r="AP25" i="2"/>
  <c r="AO33" i="2"/>
  <c r="AP23" i="2"/>
  <c r="AO23" i="2"/>
  <c r="AO11" i="2"/>
  <c r="BY12" i="2"/>
  <c r="AP30" i="2"/>
  <c r="BY8" i="2"/>
  <c r="AP32" i="2"/>
  <c r="AO21" i="2"/>
  <c r="AO7" i="2"/>
  <c r="AO31" i="2"/>
  <c r="AP29" i="2"/>
  <c r="AP3" i="2"/>
  <c r="AP27" i="2"/>
  <c r="AP11" i="2"/>
  <c r="BJ9" i="2"/>
  <c r="BJ8" i="2"/>
  <c r="BY2" i="2"/>
  <c r="BJ24" i="2"/>
  <c r="AO29" i="2"/>
  <c r="BY6" i="2"/>
  <c r="BY23" i="2"/>
  <c r="BI27" i="2"/>
  <c r="BI18" i="2"/>
  <c r="BI33" i="2"/>
  <c r="BI23" i="2"/>
  <c r="BJ6" i="2"/>
  <c r="BJ30" i="2"/>
  <c r="BY33" i="2"/>
  <c r="BI22" i="2"/>
  <c r="AO3" i="2"/>
  <c r="D2" i="9" s="1"/>
  <c r="U7" i="9" s="1"/>
  <c r="BI13" i="2"/>
  <c r="BJ32" i="2"/>
  <c r="BJ21" i="2"/>
  <c r="BI10" i="2"/>
  <c r="BI26" i="2"/>
  <c r="BI29" i="2"/>
  <c r="BJ16" i="2"/>
  <c r="BJ15" i="2"/>
  <c r="BJ7" i="2"/>
  <c r="BI12" i="2"/>
  <c r="BI5" i="2"/>
  <c r="BI31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3" i="2"/>
  <c r="BA3" i="2"/>
  <c r="BE3" i="2"/>
  <c r="P3" i="2"/>
  <c r="P36" i="2" s="1"/>
  <c r="J3" i="2"/>
  <c r="BG3" i="2"/>
  <c r="X3" i="2"/>
  <c r="X36" i="2" s="1"/>
  <c r="BW3" i="2"/>
  <c r="BV3" i="2"/>
  <c r="BX3" i="2"/>
  <c r="BX36" i="2" s="1"/>
  <c r="AW11" i="2" l="1"/>
  <c r="AK11" i="2"/>
  <c r="AW17" i="2"/>
  <c r="AK17" i="2"/>
  <c r="AM17" i="2"/>
  <c r="AN17" i="2"/>
  <c r="AM15" i="2"/>
  <c r="AN15" i="2"/>
  <c r="AM28" i="2"/>
  <c r="AN28" i="2"/>
  <c r="AM11" i="2"/>
  <c r="AN11" i="2"/>
  <c r="AM2" i="2"/>
  <c r="AN2" i="2"/>
  <c r="AM3" i="2"/>
  <c r="AN3" i="2"/>
  <c r="AB4" i="2"/>
  <c r="AB20" i="2"/>
  <c r="AB13" i="2"/>
  <c r="AB30" i="2"/>
  <c r="AB18" i="2"/>
  <c r="AB8" i="2"/>
  <c r="AB28" i="2"/>
  <c r="AB33" i="2"/>
  <c r="AB11" i="2"/>
  <c r="AB29" i="2"/>
  <c r="AB14" i="2"/>
  <c r="AB22" i="2"/>
  <c r="AB5" i="2"/>
  <c r="AB9" i="2"/>
  <c r="AB24" i="2"/>
  <c r="AB31" i="2"/>
  <c r="AB32" i="2"/>
  <c r="AB7" i="2"/>
  <c r="AB25" i="2"/>
  <c r="AB16" i="2"/>
  <c r="AB12" i="2"/>
  <c r="AB6" i="2"/>
  <c r="AB15" i="2"/>
  <c r="AB23" i="2"/>
  <c r="AB2" i="2"/>
  <c r="AB17" i="2"/>
  <c r="AB26" i="2"/>
  <c r="AB19" i="2"/>
  <c r="AB10" i="2"/>
  <c r="AB27" i="2"/>
  <c r="AB21" i="2"/>
  <c r="CW11" i="2"/>
  <c r="AL24" i="2"/>
  <c r="AL30" i="2"/>
  <c r="AL19" i="2"/>
  <c r="AL33" i="2"/>
  <c r="AL13" i="2"/>
  <c r="AL25" i="2"/>
  <c r="AL32" i="2"/>
  <c r="AL12" i="2"/>
  <c r="AL4" i="2"/>
  <c r="AL18" i="2"/>
  <c r="AL27" i="2"/>
  <c r="AL7" i="2"/>
  <c r="AL29" i="2"/>
  <c r="AL9" i="2"/>
  <c r="AL31" i="2"/>
  <c r="AL14" i="2"/>
  <c r="AL10" i="2"/>
  <c r="AL16" i="2"/>
  <c r="AL26" i="2"/>
  <c r="AL6" i="2"/>
  <c r="AL23" i="2"/>
  <c r="AL20" i="2"/>
  <c r="AL21" i="2"/>
  <c r="AL5" i="2"/>
  <c r="AL22" i="2"/>
  <c r="AL8" i="2"/>
  <c r="BO36" i="2"/>
  <c r="BN35" i="2"/>
  <c r="BO35" i="2"/>
  <c r="BR16" i="2"/>
  <c r="BS16" i="2" s="1"/>
  <c r="BR12" i="2"/>
  <c r="BS12" i="2" s="1"/>
  <c r="BR6" i="2"/>
  <c r="BS6" i="2" s="1"/>
  <c r="BR33" i="2"/>
  <c r="BS33" i="2" s="1"/>
  <c r="BR32" i="2"/>
  <c r="BS32" i="2" s="1"/>
  <c r="BN37" i="2"/>
  <c r="BR28" i="2"/>
  <c r="BS28" i="2" s="1"/>
  <c r="BR26" i="2"/>
  <c r="BS26" i="2" s="1"/>
  <c r="BR19" i="2"/>
  <c r="BS19" i="2" s="1"/>
  <c r="BR5" i="2"/>
  <c r="BS5" i="2" s="1"/>
  <c r="BR30" i="2"/>
  <c r="BS30" i="2" s="1"/>
  <c r="BN36" i="2"/>
  <c r="BR22" i="2"/>
  <c r="BS22" i="2" s="1"/>
  <c r="BR4" i="2"/>
  <c r="BS4" i="2" s="1"/>
  <c r="BR20" i="2"/>
  <c r="BS20" i="2" s="1"/>
  <c r="BR7" i="2"/>
  <c r="BS7" i="2" s="1"/>
  <c r="BR11" i="2"/>
  <c r="BS11" i="2" s="1"/>
  <c r="BR23" i="2"/>
  <c r="BS23" i="2" s="1"/>
  <c r="BR18" i="2"/>
  <c r="BS18" i="2" s="1"/>
  <c r="BR8" i="2"/>
  <c r="BS8" i="2" s="1"/>
  <c r="BR2" i="2"/>
  <c r="BR9" i="2"/>
  <c r="BS9" i="2" s="1"/>
  <c r="BO37" i="2"/>
  <c r="BR15" i="2"/>
  <c r="BS15" i="2" s="1"/>
  <c r="BR29" i="2"/>
  <c r="BS29" i="2" s="1"/>
  <c r="BR14" i="2"/>
  <c r="BS14" i="2" s="1"/>
  <c r="BR21" i="2"/>
  <c r="BS21" i="2" s="1"/>
  <c r="BR25" i="2"/>
  <c r="BS25" i="2" s="1"/>
  <c r="BR10" i="2"/>
  <c r="BS10" i="2" s="1"/>
  <c r="BR13" i="2"/>
  <c r="BS13" i="2" s="1"/>
  <c r="BR24" i="2"/>
  <c r="BS24" i="2" s="1"/>
  <c r="BR31" i="2"/>
  <c r="BS31" i="2" s="1"/>
  <c r="BR27" i="2"/>
  <c r="BS27" i="2" s="1"/>
  <c r="BR17" i="2"/>
  <c r="BS17" i="2" s="1"/>
  <c r="BL35" i="2"/>
  <c r="BL36" i="2"/>
  <c r="BL37" i="2"/>
  <c r="BM35" i="2"/>
  <c r="BM36" i="2"/>
  <c r="BM37" i="2"/>
  <c r="CK24" i="2"/>
  <c r="CL24" i="2" s="1"/>
  <c r="CK31" i="2"/>
  <c r="CL31" i="2" s="1"/>
  <c r="CK19" i="2"/>
  <c r="CL19" i="2" s="1"/>
  <c r="CK15" i="2"/>
  <c r="CL15" i="2" s="1"/>
  <c r="CK5" i="2"/>
  <c r="CL5" i="2" s="1"/>
  <c r="CK11" i="2"/>
  <c r="CL11" i="2" s="1"/>
  <c r="CK32" i="2"/>
  <c r="CL32" i="2" s="1"/>
  <c r="CK2" i="2"/>
  <c r="CL2" i="2" s="1"/>
  <c r="BV37" i="2"/>
  <c r="BZ3" i="2"/>
  <c r="BZ37" i="2" s="1"/>
  <c r="CK26" i="2"/>
  <c r="CL26" i="2" s="1"/>
  <c r="CK22" i="2"/>
  <c r="CL22" i="2" s="1"/>
  <c r="CK29" i="2"/>
  <c r="CL29" i="2" s="1"/>
  <c r="CK28" i="2"/>
  <c r="CL28" i="2" s="1"/>
  <c r="CK8" i="2"/>
  <c r="CL8" i="2" s="1"/>
  <c r="CK17" i="2"/>
  <c r="CL17" i="2" s="1"/>
  <c r="CK20" i="2"/>
  <c r="CL20" i="2" s="1"/>
  <c r="CK4" i="2"/>
  <c r="CL4" i="2" s="1"/>
  <c r="CK14" i="2"/>
  <c r="CL14" i="2" s="1"/>
  <c r="CK3" i="2"/>
  <c r="CL3" i="2" s="1"/>
  <c r="CK16" i="2"/>
  <c r="CL16" i="2" s="1"/>
  <c r="CK9" i="2"/>
  <c r="CL9" i="2" s="1"/>
  <c r="CK12" i="2"/>
  <c r="CL12" i="2" s="1"/>
  <c r="CK23" i="2"/>
  <c r="CL23" i="2" s="1"/>
  <c r="CK18" i="2"/>
  <c r="CL18" i="2" s="1"/>
  <c r="CK27" i="2"/>
  <c r="CL27" i="2" s="1"/>
  <c r="CK10" i="2"/>
  <c r="CL10" i="2" s="1"/>
  <c r="CK33" i="2"/>
  <c r="CL33" i="2" s="1"/>
  <c r="CK7" i="2"/>
  <c r="CL7" i="2" s="1"/>
  <c r="CK25" i="2"/>
  <c r="CL25" i="2" s="1"/>
  <c r="CK13" i="2"/>
  <c r="CL13" i="2" s="1"/>
  <c r="CK6" i="2"/>
  <c r="CL6" i="2" s="1"/>
  <c r="CK21" i="2"/>
  <c r="CL21" i="2" s="1"/>
  <c r="CK30" i="2"/>
  <c r="CL30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18" i="2"/>
  <c r="AK24" i="2"/>
  <c r="AK13" i="2"/>
  <c r="AK25" i="2"/>
  <c r="AK30" i="2"/>
  <c r="AK12" i="2"/>
  <c r="AK7" i="2"/>
  <c r="AK4" i="2"/>
  <c r="AK27" i="2"/>
  <c r="AK19" i="2"/>
  <c r="AK32" i="2"/>
  <c r="AK33" i="2"/>
  <c r="AK20" i="2"/>
  <c r="AK22" i="2"/>
  <c r="AK31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12" i="2"/>
  <c r="AV12" i="2" s="1"/>
  <c r="AR16" i="2"/>
  <c r="AV16" i="2" s="1"/>
  <c r="AQ6" i="2"/>
  <c r="AQ21" i="2"/>
  <c r="AR13" i="2"/>
  <c r="AV13" i="2" s="1"/>
  <c r="AQ9" i="2"/>
  <c r="AR28" i="2"/>
  <c r="AV28" i="2" s="1"/>
  <c r="AR30" i="2"/>
  <c r="AV30" i="2" s="1"/>
  <c r="AQ14" i="2"/>
  <c r="AQ10" i="2"/>
  <c r="AQ16" i="2"/>
  <c r="AR24" i="2"/>
  <c r="AV24" i="2" s="1"/>
  <c r="AQ27" i="2"/>
  <c r="AR6" i="2"/>
  <c r="AV6" i="2" s="1"/>
  <c r="AR32" i="2"/>
  <c r="AV32" i="2" s="1"/>
  <c r="AR14" i="2"/>
  <c r="AV14" i="2" s="1"/>
  <c r="AQ12" i="2"/>
  <c r="AR18" i="2"/>
  <c r="AV18" i="2" s="1"/>
  <c r="AR8" i="2"/>
  <c r="AQ29" i="2"/>
  <c r="AQ11" i="2"/>
  <c r="AR10" i="2"/>
  <c r="AV10" i="2" s="1"/>
  <c r="AR19" i="2"/>
  <c r="AV19" i="2" s="1"/>
  <c r="AQ2" i="2"/>
  <c r="AQ18" i="2"/>
  <c r="AQ15" i="2"/>
  <c r="AQ26" i="2"/>
  <c r="AQ20" i="2"/>
  <c r="AQ5" i="2"/>
  <c r="AQ22" i="2"/>
  <c r="AQ24" i="2"/>
  <c r="AQ19" i="2"/>
  <c r="AR17" i="2"/>
  <c r="AV17" i="2" s="1"/>
  <c r="AR33" i="2"/>
  <c r="AV33" i="2" s="1"/>
  <c r="AR25" i="2"/>
  <c r="AV25" i="2" s="1"/>
  <c r="AR22" i="2"/>
  <c r="AV22" i="2" s="1"/>
  <c r="AR31" i="2"/>
  <c r="AV31" i="2" s="1"/>
  <c r="AR21" i="2"/>
  <c r="AV21" i="2" s="1"/>
  <c r="AQ33" i="2"/>
  <c r="AQ30" i="2"/>
  <c r="AQ25" i="2"/>
  <c r="AR27" i="2"/>
  <c r="AV27" i="2" s="1"/>
  <c r="AQ13" i="2"/>
  <c r="AQ17" i="2"/>
  <c r="AR2" i="2"/>
  <c r="AV2" i="2" s="1"/>
  <c r="AR20" i="2"/>
  <c r="AV20" i="2" s="1"/>
  <c r="AR15" i="2"/>
  <c r="AV15" i="2" s="1"/>
  <c r="AQ23" i="2"/>
  <c r="AR23" i="2"/>
  <c r="AV23" i="2" s="1"/>
  <c r="AR7" i="2"/>
  <c r="AV7" i="2" s="1"/>
  <c r="AR11" i="2"/>
  <c r="AV11" i="2" s="1"/>
  <c r="AQ8" i="2"/>
  <c r="BQ8" i="2" s="1"/>
  <c r="AQ4" i="2"/>
  <c r="AQ32" i="2"/>
  <c r="AR29" i="2"/>
  <c r="AV29" i="2" s="1"/>
  <c r="AR26" i="2"/>
  <c r="AV26" i="2" s="1"/>
  <c r="AQ31" i="2"/>
  <c r="AR4" i="2"/>
  <c r="AV4" i="2" s="1"/>
  <c r="AQ7" i="2"/>
  <c r="AR5" i="2"/>
  <c r="AV5" i="2" s="1"/>
  <c r="AR9" i="2"/>
  <c r="AV9" i="2" s="1"/>
  <c r="AQ28" i="2"/>
  <c r="AW8" i="2"/>
  <c r="AR3" i="2"/>
  <c r="AW29" i="2"/>
  <c r="AW9" i="2"/>
  <c r="AW6" i="2"/>
  <c r="AW25" i="2"/>
  <c r="AW26" i="2"/>
  <c r="AW19" i="2"/>
  <c r="AW14" i="2"/>
  <c r="AT21" i="2"/>
  <c r="AS19" i="2"/>
  <c r="AW21" i="2"/>
  <c r="AW13" i="2"/>
  <c r="AW24" i="2"/>
  <c r="AW18" i="2"/>
  <c r="AW32" i="2"/>
  <c r="AW7" i="2"/>
  <c r="AW33" i="2"/>
  <c r="AW4" i="2"/>
  <c r="AW5" i="2"/>
  <c r="AW27" i="2"/>
  <c r="AW16" i="2"/>
  <c r="AW12" i="2"/>
  <c r="AW10" i="2"/>
  <c r="AW23" i="2"/>
  <c r="AW30" i="2"/>
  <c r="CR18" i="2"/>
  <c r="CZ6" i="2"/>
  <c r="CY4" i="2"/>
  <c r="DA4" i="2" s="1"/>
  <c r="AS20" i="2"/>
  <c r="BP67" i="5"/>
  <c r="AT4" i="2"/>
  <c r="AT19" i="2"/>
  <c r="BK3" i="2"/>
  <c r="BK36" i="2" s="1"/>
  <c r="AT20" i="2"/>
  <c r="K3" i="2"/>
  <c r="E3" i="2"/>
  <c r="E35" i="2" s="1"/>
  <c r="AT31" i="2"/>
  <c r="AD3" i="2"/>
  <c r="AS4" i="2"/>
  <c r="AQ3" i="2"/>
  <c r="AT23" i="2"/>
  <c r="AT29" i="2"/>
  <c r="AT30" i="2"/>
  <c r="AS13" i="2"/>
  <c r="AT13" i="2"/>
  <c r="AS2" i="2"/>
  <c r="AT2" i="2"/>
  <c r="AS27" i="2"/>
  <c r="AT27" i="2"/>
  <c r="AS25" i="2"/>
  <c r="AT25" i="2"/>
  <c r="AS16" i="2"/>
  <c r="AT16" i="2"/>
  <c r="AS15" i="2"/>
  <c r="AT15" i="2"/>
  <c r="AS28" i="2"/>
  <c r="AT28" i="2"/>
  <c r="AT7" i="2"/>
  <c r="AT11" i="2"/>
  <c r="AS8" i="2"/>
  <c r="AT8" i="2"/>
  <c r="AS5" i="2"/>
  <c r="AT5" i="2"/>
  <c r="AS9" i="2"/>
  <c r="AT9" i="2"/>
  <c r="AS6" i="2"/>
  <c r="AT6" i="2"/>
  <c r="AT33" i="2"/>
  <c r="AS12" i="2"/>
  <c r="AT12" i="2"/>
  <c r="AT14" i="2"/>
  <c r="AS22" i="2"/>
  <c r="AT22" i="2"/>
  <c r="AS18" i="2"/>
  <c r="AT18" i="2"/>
  <c r="AS10" i="2"/>
  <c r="AT10" i="2"/>
  <c r="AS24" i="2"/>
  <c r="AT24" i="2"/>
  <c r="AS17" i="2"/>
  <c r="AT17" i="2"/>
  <c r="AT32" i="2"/>
  <c r="AS26" i="2"/>
  <c r="AT26" i="2"/>
  <c r="AS29" i="2"/>
  <c r="AS30" i="2"/>
  <c r="AS14" i="2"/>
  <c r="AS7" i="2"/>
  <c r="AS11" i="2"/>
  <c r="AS21" i="2"/>
  <c r="AS31" i="2"/>
  <c r="AS32" i="2"/>
  <c r="AS33" i="2"/>
  <c r="AS23" i="2"/>
  <c r="BI3" i="2"/>
  <c r="BI35" i="2" s="1"/>
  <c r="BJ3" i="2"/>
  <c r="BJ36" i="2" s="1"/>
  <c r="BQ67" i="4"/>
  <c r="BQ68" i="4" s="1"/>
  <c r="BP67" i="4"/>
  <c r="BP68" i="4" s="1"/>
  <c r="BY3" i="2"/>
  <c r="BY37" i="2" s="1"/>
  <c r="BH3" i="2"/>
  <c r="AM6" i="2" l="1"/>
  <c r="AN6" i="2"/>
  <c r="AM33" i="2"/>
  <c r="AN33" i="2"/>
  <c r="AM16" i="2"/>
  <c r="AN16" i="2"/>
  <c r="AM30" i="2"/>
  <c r="AN30" i="2"/>
  <c r="AM10" i="2"/>
  <c r="AN10" i="2"/>
  <c r="AM24" i="2"/>
  <c r="AN24" i="2"/>
  <c r="AM14" i="2"/>
  <c r="AN14" i="2"/>
  <c r="AM19" i="2"/>
  <c r="AN19" i="2"/>
  <c r="AM31" i="2"/>
  <c r="AN31" i="2"/>
  <c r="AM9" i="2"/>
  <c r="AN9" i="2"/>
  <c r="AM29" i="2"/>
  <c r="AN29" i="2"/>
  <c r="AM7" i="2"/>
  <c r="AN7" i="2"/>
  <c r="AM27" i="2"/>
  <c r="AN27" i="2"/>
  <c r="AM26" i="2"/>
  <c r="AN26" i="2"/>
  <c r="AM8" i="2"/>
  <c r="AN8" i="2"/>
  <c r="AM18" i="2"/>
  <c r="AN18" i="2"/>
  <c r="AM22" i="2"/>
  <c r="AN22" i="2"/>
  <c r="AM4" i="2"/>
  <c r="AN4" i="2"/>
  <c r="AM5" i="2"/>
  <c r="AN5" i="2"/>
  <c r="AM12" i="2"/>
  <c r="AN12" i="2"/>
  <c r="AM21" i="2"/>
  <c r="AN21" i="2"/>
  <c r="AM32" i="2"/>
  <c r="AN32" i="2"/>
  <c r="AM20" i="2"/>
  <c r="AN20" i="2"/>
  <c r="AM25" i="2"/>
  <c r="AN25" i="2"/>
  <c r="AM23" i="2"/>
  <c r="AN23" i="2"/>
  <c r="AM13" i="2"/>
  <c r="AN13" i="2"/>
  <c r="BR3" i="2"/>
  <c r="BR37" i="2" s="1"/>
  <c r="AB3" i="2"/>
  <c r="CX7" i="2"/>
  <c r="CW9" i="2" s="1"/>
  <c r="CX10" i="2" s="1"/>
  <c r="BS2" i="2"/>
  <c r="BP3" i="2"/>
  <c r="BZ35" i="2"/>
  <c r="BZ36" i="2"/>
  <c r="CS11" i="2"/>
  <c r="CS15" i="2"/>
  <c r="CS13" i="2"/>
  <c r="AT3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3" i="2"/>
  <c r="AU23" i="2"/>
  <c r="BQ23" i="2"/>
  <c r="AU19" i="2"/>
  <c r="BQ19" i="2"/>
  <c r="AU28" i="2"/>
  <c r="BQ28" i="2"/>
  <c r="AU22" i="2"/>
  <c r="BQ22" i="2"/>
  <c r="AU17" i="2"/>
  <c r="BQ17" i="2"/>
  <c r="AU20" i="2"/>
  <c r="BQ20" i="2"/>
  <c r="AU7" i="2"/>
  <c r="BQ7" i="2"/>
  <c r="AU13" i="2"/>
  <c r="BQ13" i="2"/>
  <c r="AU26" i="2"/>
  <c r="BQ26" i="2"/>
  <c r="AU16" i="2"/>
  <c r="BQ16" i="2"/>
  <c r="AU15" i="2"/>
  <c r="BQ15" i="2"/>
  <c r="AU10" i="2"/>
  <c r="BQ10" i="2"/>
  <c r="AU31" i="2"/>
  <c r="BQ31" i="2"/>
  <c r="AU25" i="2"/>
  <c r="BQ25" i="2"/>
  <c r="AU18" i="2"/>
  <c r="BQ18" i="2"/>
  <c r="AU14" i="2"/>
  <c r="BQ14" i="2"/>
  <c r="AU30" i="2"/>
  <c r="BQ30" i="2"/>
  <c r="AU2" i="2"/>
  <c r="BQ2" i="2"/>
  <c r="AU33" i="2"/>
  <c r="BQ33" i="2"/>
  <c r="AU27" i="2"/>
  <c r="BQ27" i="2"/>
  <c r="AU32" i="2"/>
  <c r="BQ32" i="2"/>
  <c r="AU9" i="2"/>
  <c r="BQ9" i="2"/>
  <c r="AU4" i="2"/>
  <c r="BQ4" i="2"/>
  <c r="AU11" i="2"/>
  <c r="BQ11" i="2"/>
  <c r="AU29" i="2"/>
  <c r="BQ29" i="2"/>
  <c r="AU21" i="2"/>
  <c r="BQ21" i="2"/>
  <c r="AU5" i="2"/>
  <c r="BQ5" i="2"/>
  <c r="AU6" i="2"/>
  <c r="BQ6" i="2"/>
  <c r="AU24" i="2"/>
  <c r="BQ24" i="2"/>
  <c r="AU12" i="2"/>
  <c r="BQ12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8" i="2"/>
  <c r="AR35" i="2"/>
  <c r="AR37" i="2"/>
  <c r="AR36" i="2"/>
  <c r="AU8" i="2"/>
  <c r="AQ35" i="2"/>
  <c r="AQ37" i="2"/>
  <c r="AQ36" i="2"/>
  <c r="K35" i="2"/>
  <c r="AV3" i="2"/>
  <c r="AU3" i="2"/>
  <c r="DA7" i="2"/>
  <c r="DB4" i="2" s="1"/>
  <c r="AS3" i="2"/>
  <c r="AS37" i="2" s="1"/>
  <c r="BS3" i="2" l="1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<sst xmlns="http://schemas.openxmlformats.org/spreadsheetml/2006/main" count="5718" uniqueCount="763">
  <si>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</si>
  <si>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</si>
  <si>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</si>
  <si>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</si>
  <si>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</si>
  <si>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</si>
  <si>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</si>
  <si>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</si>
  <si>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</si>
  <si>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</si>
  <si>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</si>
  <si>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</si>
  <si>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</si>
  <si>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</si>
  <si>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</si>
  <si>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</si>
  <si>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</si>
  <si>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</si>
  <si>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</si>
  <si>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</si>
  <si>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</si>
  <si>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</si>
  <si>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</si>
  <si>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</si>
  <si>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</si>
  <si>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</si>
  <si>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</si>
  <si>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</si>
  <si>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</si>
  <si>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</si>
  <si>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</si>
  <si>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</si>
  <si>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</si>
  <si>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</si>
  <si>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</si>
  <si>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</si>
  <si>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</si>
  <si>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</si>
  <si>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</si>
  <si>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</si>
  <si>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</si>
  <si>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</si>
  <si>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</si>
  <si>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</si>
  <si>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</si>
  <si>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</si>
  <si>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</si>
  <si>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</si>
  <si>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</si>
  <si>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</si>
  <si>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</si>
  <si>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</si>
  <si>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</si>
  <si>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</si>
  <si>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</si>
  <si>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</si>
  <si>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</si>
  <si>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</si>
  <si>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</si>
  <si>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</si>
  <si>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</si>
  <si>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</si>
  <si>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</si>
  <si>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</si>
  <si>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</si>
  <si>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</si>
  <si>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</si>
  <si>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</si>
  <si>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</si>
  <si>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</si>
  <si>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</si>
  <si>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</si>
  <si>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</si>
  <si>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</si>
  <si>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</si>
  <si>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</si>
  <si>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</si>
  <si>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</si>
  <si>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</si>
  <si>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</si>
  <si>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</si>
  <si>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</si>
  <si>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</si>
  <si>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</si>
  <si>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</si>
  <si>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</si>
  <si>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</si>
  <si>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</si>
  <si>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</si>
  <si>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</si>
  <si>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</si>
  <si>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</si>
  <si>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</si>
  <si>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</si>
  <si>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</si>
  <si>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</si>
  <si>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</si>
  <si>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</si>
  <si>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</si>
  <si>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</si>
  <si>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</si>
  <si>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</si>
  <si>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</si>
  <si>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</si>
  <si>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</si>
  <si>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</si>
  <si>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</si>
  <si>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</si>
  <si>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</si>
  <si>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</si>
  <si>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</si>
  <si>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</si>
  <si>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</si>
  <si>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</si>
  <si>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</si>
  <si>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</si>
  <si>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</si>
  <si>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</si>
  <si>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</si>
  <si>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</si>
  <si>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</si>
  <si>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</si>
  <si>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</si>
  <si>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</si>
  <si>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</si>
  <si>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</si>
  <si>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</si>
  <si>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</si>
  <si>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</si>
  <si>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</si>
  <si>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</si>
  <si>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</si>
  <si>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</si>
  <si>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</si>
  <si>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</si>
  <si>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</si>
  <si>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</si>
  <si>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</si>
  <si>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</si>
  <si>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</si>
  <si>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</si>
  <si>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</si>
  <si>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</si>
  <si>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</si>
  <si>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</si>
  <si>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</si>
  <si>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</si>
  <si>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</si>
  <si>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</si>
  <si>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</si>
  <si>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</si>
  <si>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</si>
  <si>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</si>
  <si>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</si>
  <si>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</si>
  <si>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</si>
  <si>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</si>
  <si>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</si>
  <si>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</si>
  <si>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</si>
  <si>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</si>
  <si>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</si>
  <si>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</si>
  <si>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</si>
  <si>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</si>
  <si>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</si>
  <si>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</si>
  <si>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</si>
  <si>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</si>
  <si>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</si>
  <si>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</si>
  <si>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</si>
  <si>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</si>
  <si>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</si>
  <si>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</si>
  <si>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</si>
  <si>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</si>
  <si>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</si>
  <si>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</si>
  <si>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</si>
  <si>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</si>
  <si>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</si>
  <si>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</si>
  <si>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</si>
  <si>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</si>
  <si>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</si>
  <si>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</si>
  <si>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</si>
  <si>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</si>
  <si>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</si>
  <si>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</si>
  <si>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</si>
  <si>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</si>
  <si>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</si>
  <si>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</si>
  <si>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</si>
  <si>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</si>
  <si>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</si>
  <si>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</si>
  <si>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</si>
  <si>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</si>
  <si>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</si>
  <si>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</si>
  <si>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</si>
  <si>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</si>
  <si>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</si>
  <si>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</si>
  <si>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</si>
  <si>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</si>
  <si>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</si>
  <si>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</si>
  <si>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</si>
  <si>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</si>
  <si>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</si>
  <si>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</si>
  <si>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</si>
  <si>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</si>
  <si>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</si>
  <si>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</si>
  <si>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</si>
  <si>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</si>
  <si>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</si>
  <si>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</si>
  <si>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</si>
  <si>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</si>
  <si>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</si>
  <si>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</si>
  <si>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</si>
  <si>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</si>
  <si>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</si>
  <si>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</si>
  <si>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</si>
  <si>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</si>
  <si>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</si>
  <si>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</si>
  <si>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</si>
  <si>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</si>
  <si>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</si>
  <si>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</si>
  <si>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</si>
  <si>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</si>
  <si>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</si>
  <si>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</si>
  <si>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</si>
  <si>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</si>
  <si>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</si>
  <si>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</si>
  <si>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</si>
  <si>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</si>
  <si>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</si>
  <si>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</si>
  <si>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</si>
  <si>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</si>
  <si>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</si>
  <si>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</si>
  <si>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</si>
  <si>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</si>
  <si>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</si>
  <si>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</si>
  <si>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</si>
  <si>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</si>
  <si>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</si>
  <si>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</si>
  <si>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</si>
  <si>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</si>
  <si>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</si>
  <si>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</si>
  <si>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</si>
  <si>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</si>
  <si>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</si>
  <si>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</si>
  <si>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</si>
  <si>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</si>
  <si>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</si>
  <si>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</si>
  <si>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</si>
  <si>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</si>
  <si>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</si>
  <si>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</si>
  <si>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</si>
  <si>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</si>
  <si>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</si>
  <si>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</si>
  <si>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</si>
  <si>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</si>
  <si>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</si>
  <si>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</si>
  <si>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</si>
  <si>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</si>
  <si>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</si>
  <si>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</si>
  <si>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</si>
  <si>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</si>
  <si>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</si>
  <si>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</si>
  <si>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</si>
  <si>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</si>
  <si>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</si>
  <si>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</si>
  <si>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</si>
  <si>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</si>
  <si>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</si>
  <si>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</si>
  <si>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</si>
  <si>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</si>
  <si>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</si>
  <si>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</si>
  <si>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</si>
  <si>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</si>
  <si>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</si>
  <si>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</si>
  <si>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</si>
  <si>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</si>
  <si>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</si>
  <si>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</si>
  <si>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</si>
  <si>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</si>
  <si>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</si>
  <si>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</si>
  <si>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</si>
  <si>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</si>
  <si>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</si>
  <si>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</si>
  <si>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</si>
  <si>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</si>
  <si>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</si>
  <si>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</si>
  <si>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</si>
  <si>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</si>
  <si>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</si>
  <si>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</si>
  <si>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</si>
  <si>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</si>
  <si>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</si>
  <si>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</si>
  <si>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</si>
  <si>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</si>
  <si>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</si>
  <si>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</si>
  <si>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</si>
  <si>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</si>
  <si>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</si>
  <si>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</si>
  <si>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</si>
  <si>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</si>
  <si>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</si>
  <si>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</si>
  <si>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</si>
  <si>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</si>
  <si>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</si>
  <si>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</si>
  <si>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</si>
  <si>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</si>
  <si>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</si>
  <si>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</si>
  <si>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</si>
  <si>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</si>
  <si>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</si>
  <si>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</si>
  <si>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</si>
  <si>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</si>
  <si>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</si>
  <si>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</si>
  <si>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</si>
  <si>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</si>
  <si>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</si>
  <si>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</si>
  <si>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</si>
  <si>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</si>
  <si>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</si>
  <si>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</si>
  <si>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</si>
  <si>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</si>
  <si>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</si>
  <si>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</si>
  <si>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</si>
  <si>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</si>
  <si>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</si>
  <si>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</si>
  <si>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</si>
  <si>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</si>
  <si>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</si>
  <si>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</si>
  <si>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</si>
  <si>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</si>
  <si>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</si>
  <si>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</si>
  <si>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</si>
  <si>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</si>
  <si>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</si>
  <si>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</si>
  <si>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</si>
  <si>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</si>
  <si>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</si>
  <si>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</si>
  <si>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</si>
  <si>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</si>
  <si>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</si>
  <si>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</si>
  <si>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</si>
  <si>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</si>
  <si>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</si>
  <si>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</si>
  <si>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</si>
  <si>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</si>
  <si>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</si>
  <si>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</si>
  <si>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</si>
  <si>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</si>
  <si>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</si>
  <si>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</si>
  <si>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</si>
  <si>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</si>
  <si>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</si>
  <si>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</si>
  <si>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</si>
  <si>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</si>
  <si>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</si>
  <si>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</si>
  <si>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</si>
  <si>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</si>
  <si>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</si>
  <si>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</si>
  <si>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</si>
  <si>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</si>
  <si>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</si>
  <si>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</si>
  <si>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</si>
  <si>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</si>
  <si>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</si>
  <si>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</si>
  <si>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</si>
  <si>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</si>
  <si>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</si>
  <si>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</si>
  <si>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</si>
  <si>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</si>
  <si>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</si>
  <si>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</si>
  <si>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</si>
  <si>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</si>
  <si>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</si>
  <si>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</si>
  <si>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</si>
  <si>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</si>
  <si>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</si>
  <si>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</si>
  <si>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</si>
  <si>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</si>
  <si>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</si>
  <si>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</si>
  <si>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</si>
  <si>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</si>
  <si>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</si>
  <si>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</si>
  <si>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</si>
  <si>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</si>
  <si>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</si>
  <si>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</si>
  <si>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</si>
  <si>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</si>
  <si>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</si>
  <si>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</si>
  <si>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</si>
  <si>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</si>
  <si>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</si>
  <si>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</si>
  <si>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</si>
  <si>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</si>
  <si>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</si>
  <si>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</si>
  <si>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</si>
  <si>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</si>
  <si>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</si>
  <si>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</si>
  <si>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</si>
  <si>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</si>
  <si>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</si>
  <si>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</si>
  <si>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</si>
  <si>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</si>
  <si>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</si>
  <si>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</si>
  <si>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</si>
  <si>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</si>
  <si>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</si>
  <si>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</si>
  <si>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</si>
  <si>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</si>
  <si>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</si>
  <si>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</si>
  <si>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</si>
  <si>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</si>
  <si>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</si>
  <si>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</si>
  <si>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</si>
  <si>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</si>
  <si>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</si>
  <si>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</si>
  <si>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</si>
  <si>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</si>
  <si>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</si>
  <si>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</si>
  <si>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</si>
  <si>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</si>
  <si>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</si>
  <si>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</si>
  <si>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</si>
  <si>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</si>
  <si>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</si>
  <si>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</si>
  <si>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</si>
  <si>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</si>
  <si>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</si>
  <si>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</si>
  <si>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</si>
  <si>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</si>
  <si>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</si>
  <si>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</si>
  <si>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</si>
  <si>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</si>
  <si>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</si>
  <si>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</si>
  <si>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</si>
  <si>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</si>
  <si>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</si>
  <si>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</si>
  <si>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</si>
  <si>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</si>
  <si>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</si>
  <si>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</si>
  <si>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</si>
  <si>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</si>
  <si>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</si>
  <si>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</si>
  <si>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</si>
  <si>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</si>
  <si>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</si>
  <si>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</si>
  <si>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</si>
  <si>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</si>
  <si>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</si>
  <si>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</si>
  <si>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</si>
  <si>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</si>
  <si>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</si>
  <si>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</si>
  <si>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</si>
  <si>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</si>
  <si>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</si>
  <si>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</si>
  <si>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</si>
  <si>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</si>
  <si>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</si>
  <si>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</si>
  <si>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</si>
  <si>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</si>
  <si>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</si>
  <si>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</si>
  <si>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</si>
  <si>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</si>
  <si>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</si>
  <si>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</si>
  <si>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</si>
  <si>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</si>
  <si>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</si>
  <si>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</si>
  <si>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</si>
  <si>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</si>
  <si>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</si>
  <si>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</si>
  <si>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</si>
  <si>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</si>
  <si>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</si>
  <si>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</si>
  <si>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</si>
  <si>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</si>
  <si>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</si>
  <si>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</si>
  <si>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</si>
  <si>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</si>
  <si>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</si>
  <si>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</si>
  <si>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</si>
  <si>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</si>
  <si>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</si>
  <si>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</si>
  <si>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</si>
  <si>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</si>
  <si>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</si>
  <si>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</si>
  <si>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</si>
  <si>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</si>
  <si>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</si>
  <si>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</si>
  <si>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</si>
  <si>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</si>
  <si>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</si>
  <si>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</si>
  <si>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</si>
  <si>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</si>
  <si>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</si>
  <si>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</si>
  <si>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</si>
  <si>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</si>
  <si>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</si>
  <si>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</si>
  <si>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</si>
  <si>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</si>
  <si>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</si>
  <si>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</si>
  <si>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</si>
  <si>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</si>
  <si>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</si>
  <si>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</si>
  <si>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</si>
  <si>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</si>
  <si>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</si>
  <si>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</si>
  <si>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</si>
  <si>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</si>
  <si>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</si>
  <si>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</si>
  <si>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</si>
  <si>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</si>
  <si>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</si>
  <si>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</si>
  <si>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</si>
  <si>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</si>
  <si>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</si>
  <si>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</si>
  <si>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</si>
  <si>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</si>
  <si>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</si>
  <si>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</si>
  <si>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</si>
  <si>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</si>
  <si>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</si>
  <si>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</si>
  <si>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</si>
  <si>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</si>
  <si>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</si>
  <si>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</si>
  <si>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</si>
  <si>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</si>
  <si>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</si>
  <si>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</si>
  <si>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</si>
  <si>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</si>
  <si>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</si>
  <si>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</si>
  <si>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</si>
  <si>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</si>
  <si>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</si>
  <si>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</si>
  <si>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</si>
  <si>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</si>
  <si>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</si>
  <si>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</si>
  <si>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</si>
  <si>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</si>
  <si>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</si>
  <si>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</si>
  <si>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</si>
  <si>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</si>
  <si>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</si>
  <si>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</si>
  <si>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</si>
  <si>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</si>
  <si>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</si>
  <si>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</si>
  <si>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</si>
  <si>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</si>
  <si>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</si>
  <si>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</si>
  <si>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</si>
  <si>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</si>
  <si>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</si>
  <si>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</si>
  <si>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</si>
  <si>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</si>
  <si>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</si>
  <si>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</si>
  <si>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</si>
  <si>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</si>
  <si>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</si>
  <si>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</si>
  <si>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</si>
  <si>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</si>
  <si>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</si>
  <si>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</si>
  <si>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</si>
  <si>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</si>
  <si>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</si>
  <si>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</si>
  <si>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</si>
  <si>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</si>
  <si>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</si>
  <si>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</si>
  <si>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</si>
  <si>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</si>
  <si>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</si>
  <si>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</si>
  <si>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</si>
  <si>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</si>
  <si>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</si>
  <si>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</si>
  <si>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</si>
  <si>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</si>
  <si>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</si>
  <si>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</si>
  <si>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</si>
  <si>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</si>
  <si>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</si>
  <si>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</si>
  <si>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</si>
  <si>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</si>
  <si>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</si>
  <si>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</si>
  <si>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</si>
  <si>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</si>
  <si>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</si>
  <si>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</si>
  <si>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</si>
  <si>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</si>
  <si>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</si>
  <si>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</si>
  <si>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</si>
  <si>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</si>
  <si>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</si>
  <si>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</si>
  <si>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</si>
  <si>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</si>
  <si>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</si>
  <si>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</si>
  <si>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</si>
  <si>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</si>
  <si>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</si>
  <si>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</si>
  <si>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</si>
  <si>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</si>
  <si>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</si>
  <si>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</si>
  <si>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</si>
  <si>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</si>
  <si>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</si>
  <si>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</si>
  <si>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</si>
  <si>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</si>
  <si>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</si>
  <si>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</si>
  <si>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</si>
  <si>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</si>
  <si>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</si>
  <si>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</si>
  <si>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</si>
  <si>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</si>
  <si>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</si>
  <si>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</si>
  <si>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</si>
  <si>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cgy</t>
  </si>
  <si>
    <t>Frozen Frenzy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</si>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</sst>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-2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-1</c:v>
                </c:pt>
                <c:pt idx="268">
                  <c:v>-1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269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269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-2</c:v>
                </c:pt>
                <c:pt idx="266">
                  <c:v>-2</c:v>
                </c:pt>
                <c:pt idx="267">
                  <c:v>-2</c:v>
                </c:pt>
                <c:pt idx="268">
                  <c:v>-2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0.16917293233082706</c:v>
                </c:pt>
                <c:pt idx="1">
                  <c:v>0.38721804511278196</c:v>
                </c:pt>
                <c:pt idx="2">
                  <c:v>0.21804511278195488</c:v>
                </c:pt>
                <c:pt idx="3">
                  <c:v>0.16917293233082706</c:v>
                </c:pt>
                <c:pt idx="4">
                  <c:v>4.1353383458646614E-2</c:v>
                </c:pt>
                <c:pt idx="5">
                  <c:v>7.5187969924812026E-3</c:v>
                </c:pt>
                <c:pt idx="6">
                  <c:v>1.1278195488721804E-2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0.16165413533834586</c:v>
                </c:pt>
                <c:pt idx="1">
                  <c:v>0.38345864661654133</c:v>
                </c:pt>
                <c:pt idx="2">
                  <c:v>0.25939849624060152</c:v>
                </c:pt>
                <c:pt idx="3">
                  <c:v>0.12406015037593984</c:v>
                </c:pt>
                <c:pt idx="4">
                  <c:v>6.3909774436090222E-2</c:v>
                </c:pt>
                <c:pt idx="5">
                  <c:v>7.5187969924812026E-3</c:v>
                </c:pt>
                <c:pt idx="6">
                  <c:v>3.7593984962406013E-3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0.16541353383458646</c:v>
                </c:pt>
                <c:pt idx="1">
                  <c:v>0.38533834586466165</c:v>
                </c:pt>
                <c:pt idx="2">
                  <c:v>0.2387218045112782</c:v>
                </c:pt>
                <c:pt idx="3">
                  <c:v>0.14661654135338345</c:v>
                </c:pt>
                <c:pt idx="4">
                  <c:v>5.2631578947368418E-2</c:v>
                </c:pt>
                <c:pt idx="5">
                  <c:v>7.5187969924812026E-3</c:v>
                </c:pt>
                <c:pt idx="6">
                  <c:v>7.5187969924812026E-3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27</c:v>
                </c:pt>
                <c:pt idx="41">
                  <c:v>27</c:v>
                </c:pt>
                <c:pt idx="42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2:AQ33"/>
    <sortCondition ref="AR2:AR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247" workbookViewId="0">
      <selection activeCell="K270" sqref="K270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266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101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139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92</v>
      </c>
      <c r="BP5" s="57"/>
      <c r="BR5" s="2">
        <v>0</v>
      </c>
      <c r="BS5" s="110" cm="1">
        <f t="array" ref="BS5">SUM(--(ABS($F$3:$F$1315 - $J$3:$J$1315) = 0)) -(((32*82)/2) - $BD$4)</f>
        <v>45</v>
      </c>
      <c r="BT5" s="111">
        <f>$BS5/$BD$4</f>
        <v>0.16917293233082706</v>
      </c>
      <c r="BU5" s="112" cm="1">
        <f t="array" ref="BU5">SUM(--(ABS($G$3:$G$1315 - $K$3:$K$1315) = 0)) -(((32*82)/2) - $BD$4)</f>
        <v>43</v>
      </c>
      <c r="BV5" s="113">
        <f>$BU5/$BD$4</f>
        <v>0.16165413533834586</v>
      </c>
      <c r="BW5" s="109">
        <f t="shared" ref="BW5:BW15" si="5">BS5+BU5</f>
        <v>88</v>
      </c>
      <c r="BX5" s="114">
        <f t="shared" ref="BX5:BX15" si="6">(BS5+BU5)/($BD$4*2)</f>
        <v>0.16541353383458646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0-1-0</v>
      </c>
      <c r="AP6" s="2" t="str">
        <f>INDEX(Sheet5!$B$2:$AG$33, MATCH(Table2[[#This Row],[HomeTeam]],Sheet5!$A$2:$A$33, 0), MATCH(Table2[[#This Row],[AwayTeam]],Sheet5!$A$2:$A$33, 0))</f>
        <v>1-0-0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127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29</v>
      </c>
      <c r="BP6" s="57"/>
      <c r="BR6" s="2">
        <v>1</v>
      </c>
      <c r="BS6" s="110" cm="1">
        <f t="array" ref="BS6">SUM(--(ABS($F$3:$F$1315 - $J$3:$J$1315) = $BR6))</f>
        <v>103</v>
      </c>
      <c r="BT6" s="111">
        <f t="shared" ref="BT6:BT15" si="7">$BS6/$BD$4</f>
        <v>0.38721804511278196</v>
      </c>
      <c r="BU6" s="112" cm="1">
        <f t="array" ref="BU6">SUM(--(ABS($G$3:$G$1315 - $K$3:$K$1315) = $BR6))</f>
        <v>102</v>
      </c>
      <c r="BV6" s="113">
        <f t="shared" ref="BV6:BV15" si="8">$BU6/$BD$4</f>
        <v>0.38345864661654133</v>
      </c>
      <c r="BW6" s="109">
        <f t="shared" si="5"/>
        <v>205</v>
      </c>
      <c r="BX6" s="114">
        <f t="shared" si="6"/>
        <v>0.38533834586466165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0.52255639097744366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21</v>
      </c>
      <c r="BP7" s="57"/>
      <c r="BR7" s="2">
        <v>2</v>
      </c>
      <c r="BS7" s="110" cm="1">
        <f t="array" ref="BS7">SUM(--(ABS($F$3:$F$1315 - $J$3:$J$1315) = $BR7))</f>
        <v>58</v>
      </c>
      <c r="BT7" s="111">
        <f t="shared" si="7"/>
        <v>0.21804511278195488</v>
      </c>
      <c r="BU7" s="112" cm="1">
        <f t="array" ref="BU7">SUM(--(ABS($G$3:$G$1315 - $K$3:$K$1315) = $BR7))</f>
        <v>69</v>
      </c>
      <c r="BV7" s="113">
        <f t="shared" si="8"/>
        <v>0.25939849624060152</v>
      </c>
      <c r="BW7" s="109">
        <f t="shared" si="5"/>
        <v>127</v>
      </c>
      <c r="BX7" s="114">
        <f t="shared" si="6"/>
        <v>0.2387218045112782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9</v>
      </c>
      <c r="BP8" s="57"/>
      <c r="BR8" s="2">
        <v>3</v>
      </c>
      <c r="BS8" s="110" cm="1">
        <f t="array" ref="BS8">SUM(--(ABS($F$3:$F$1315 - $J$3:$J$1315) = $BR8))</f>
        <v>45</v>
      </c>
      <c r="BT8" s="111">
        <f t="shared" si="7"/>
        <v>0.16917293233082706</v>
      </c>
      <c r="BU8" s="112" cm="1">
        <f t="array" ref="BU8">SUM(--(ABS($G$3:$G$1315 - $K$3:$K$1315) = $BR8))</f>
        <v>33</v>
      </c>
      <c r="BV8" s="113">
        <f t="shared" si="8"/>
        <v>0.12406015037593984</v>
      </c>
      <c r="BW8" s="109">
        <f t="shared" si="5"/>
        <v>78</v>
      </c>
      <c r="BX8" s="114">
        <f t="shared" si="6"/>
        <v>0.14661654135338345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120.09999999999982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14</v>
      </c>
      <c r="BP9" s="57"/>
      <c r="BR9" s="2">
        <v>4</v>
      </c>
      <c r="BS9" s="110" cm="1">
        <f t="array" ref="BS9">SUM(--(ABS($F$3:$F$1315 - $J$3:$J$1315) = $BR9))</f>
        <v>11</v>
      </c>
      <c r="BT9" s="111">
        <f t="shared" si="7"/>
        <v>4.1353383458646614E-2</v>
      </c>
      <c r="BU9" s="112" cm="1">
        <f t="array" ref="BU9">SUM(--(ABS($G$3:$G$1315 - $K$3:$K$1315) = $BR9))</f>
        <v>17</v>
      </c>
      <c r="BV9" s="113">
        <f t="shared" si="8"/>
        <v>6.3909774436090222E-2</v>
      </c>
      <c r="BW9" s="109">
        <f t="shared" si="5"/>
        <v>28</v>
      </c>
      <c r="BX9" s="114">
        <f t="shared" si="6"/>
        <v>5.2631578947368418E-2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0.45150375939849557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2</v>
      </c>
      <c r="BT10" s="111">
        <f t="shared" si="7"/>
        <v>7.5187969924812026E-3</v>
      </c>
      <c r="BU10" s="112" cm="1">
        <f t="array" ref="BU10">SUM(--(ABS($G$3:$G$1315 - $K$3:$K$1315) = $BR10))</f>
        <v>2</v>
      </c>
      <c r="BV10" s="113">
        <f t="shared" si="8"/>
        <v>7.5187969924812026E-3</v>
      </c>
      <c r="BW10" s="109">
        <f t="shared" si="5"/>
        <v>4</v>
      </c>
      <c r="BX10" s="114">
        <f t="shared" si="6"/>
        <v>7.5187969924812026E-3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111.2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139-92-35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3</v>
      </c>
      <c r="BT11" s="111">
        <f t="shared" si="7"/>
        <v>1.1278195488721804E-2</v>
      </c>
      <c r="BU11" s="112" cm="1">
        <f t="array" ref="BU11">SUM(--(ABS($G$3:$G$1315 - $K$3:$K$1315) = $BR11))</f>
        <v>1</v>
      </c>
      <c r="BV11" s="113">
        <f t="shared" si="8"/>
        <v>3.7593984962406013E-3</v>
      </c>
      <c r="BW11" s="109">
        <f t="shared" si="5"/>
        <v>4</v>
      </c>
      <c r="BX11" s="114">
        <f t="shared" si="6"/>
        <v>7.5187969924812026E-3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45</v>
      </c>
      <c r="BF12">
        <f>10/100</f>
        <v>0.1</v>
      </c>
      <c r="BK12" s="57"/>
      <c r="BL12" s="158" t="str">
        <f>_xlfn.CONCAT(TEXT(BM4, "0"),"-",TEXT(BM5, "0"),"-",TEXT(BM7+BM9+BM6+BM8, "0"))</f>
        <v>101-92-73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4.4000000000000004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1-1-0</v>
      </c>
      <c r="AP14" s="2" t="str">
        <f>INDEX(Sheet5!$B$2:$AG$33, MATCH(Table2[[#This Row],[HomeTeam]],Sheet5!$A$2:$A$33, 0), MATCH(Table2[[#This Row],[AwayTeam]],Sheet5!$A$2:$A$33, 0))</f>
        <v>1-1-0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1.601503759398496</v>
      </c>
      <c r="BT16" s="157"/>
      <c r="BU16" s="157">
        <f>((BR5*BV5)+(BV6*BR6)+(BV7*BR7)+(BV8*BR8)+(BV9*BR9)+(BV10*BR10)+(BV11*BR11)+(BV12*BR12)+(BV13*BR13)+(BV14*BR14)+(BV15*BR15))</f>
        <v>1.5902255639097742</v>
      </c>
      <c r="BV16" s="157"/>
      <c r="BX16">
        <f>((BR5*BX5)+(BX6*BR6)+(BX7*BR7)+(BX8*BR8)+(BX9*BR9)+(BX10*BR10)+(BX11*BR11)+(BX12*BR12)+(BX13*BR13)+(BX14*BR14)+(BX15*BR15))</f>
        <v>1.5958646616541352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135.09999999999994</v>
      </c>
      <c r="BH17" t="s">
        <v>486</v>
      </c>
      <c r="BI17">
        <f>COUNTIFS($N$3:$N$1315,1,$AC$3:$AC$1315,1)</f>
        <v>13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0.50789473684210507</v>
      </c>
      <c r="BH18" t="s">
        <v>759</v>
      </c>
      <c r="BI18" s="10">
        <f>BI17/BD4</f>
        <v>4.8872180451127817E-2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9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0-1-0</v>
      </c>
      <c r="AP21" s="2" t="str">
        <f>INDEX(Sheet5!$B$2:$AG$33, MATCH(Table2[[#This Row],[HomeTeam]],Sheet5!$A$2:$A$33, 0), MATCH(Table2[[#This Row],[AwayTeam]],Sheet5!$A$2:$A$33, 0))</f>
        <v>1-0-0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5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1-0-0</v>
      </c>
      <c r="AP22" s="2" t="str">
        <f>INDEX(Sheet5!$B$2:$AG$33, MATCH(Table2[[#This Row],[HomeTeam]],Sheet5!$A$2:$A$33, 0), MATCH(Table2[[#This Row],[AwayTeam]],Sheet5!$A$2:$A$33, 0))</f>
        <v>0-0-1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3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1-0-0</v>
      </c>
      <c r="AP28" s="2" t="str">
        <f>INDEX(Sheet5!$B$2:$AG$33, MATCH(Table2[[#This Row],[HomeTeam]],Sheet5!$A$2:$A$33, 0), MATCH(Table2[[#This Row],[AwayTeam]],Sheet5!$A$2:$A$33, 0))</f>
        <v>0-1-0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2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3.6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1-1-0</v>
      </c>
      <c r="AP30" s="2" t="str">
        <f>INDEX(Sheet5!$B$2:$AG$33, MATCH(Table2[[#This Row],[HomeTeam]],Sheet5!$A$2:$A$33, 0), MATCH(Table2[[#This Row],[AwayTeam]],Sheet5!$A$2:$A$33, 0))</f>
        <v>1-1-0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1-0-0</v>
      </c>
      <c r="AP41" s="2" t="str">
        <f>INDEX(Sheet5!$B$2:$AG$33, MATCH(Table2[[#This Row],[HomeTeam]],Sheet5!$A$2:$A$33, 0), MATCH(Table2[[#This Row],[AwayTeam]],Sheet5!$A$2:$A$33, 0))</f>
        <v>0-1-0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1-1-0</v>
      </c>
      <c r="AP46" s="2" t="str">
        <f>INDEX(Sheet5!$B$2:$AG$33, MATCH(Table2[[#This Row],[HomeTeam]],Sheet5!$A$2:$A$33, 0), MATCH(Table2[[#This Row],[AwayTeam]],Sheet5!$A$2:$A$33, 0))</f>
        <v>1-1-0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1-0-1</v>
      </c>
      <c r="AP54" s="2" t="str">
        <f>INDEX(Sheet5!$B$2:$AG$33, MATCH(Table2[[#This Row],[HomeTeam]],Sheet5!$A$2:$A$33, 0), MATCH(Table2[[#This Row],[AwayTeam]],Sheet5!$A$2:$A$33, 0))</f>
        <v>1-1-0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0-1-0</v>
      </c>
      <c r="AP66" s="2" t="str">
        <f>INDEX(Sheet5!$B$2:$AG$33, MATCH(Table2[[#This Row],[HomeTeam]],Sheet5!$A$2:$A$33, 0), MATCH(Table2[[#This Row],[AwayTeam]],Sheet5!$A$2:$A$33, 0))</f>
        <v>1-0-0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1-0-0</v>
      </c>
      <c r="AP70" s="2" t="str">
        <f>INDEX(Sheet5!$B$2:$AG$33, MATCH(Table2[[#This Row],[HomeTeam]],Sheet5!$A$2:$A$33, 0), MATCH(Table2[[#This Row],[AwayTeam]],Sheet5!$A$2:$A$33, 0))</f>
        <v>0-1-0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0-0-1</v>
      </c>
      <c r="AP74" s="2" t="str">
        <f>INDEX(Sheet5!$B$2:$AG$33, MATCH(Table2[[#This Row],[HomeTeam]],Sheet5!$A$2:$A$33, 0), MATCH(Table2[[#This Row],[AwayTeam]],Sheet5!$A$2:$A$33, 0))</f>
        <v>1-0-0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0-1-0</v>
      </c>
      <c r="AP77" s="143" t="str">
        <f>INDEX(Sheet5!$B$2:$AG$33, MATCH(Table2[[#This Row],[HomeTeam]],Sheet5!$A$2:$A$33, 0), MATCH(Table2[[#This Row],[AwayTeam]],Sheet5!$A$2:$A$33, 0))</f>
        <v>1-0-0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0-1-0</v>
      </c>
      <c r="AP86" s="2" t="str">
        <f>INDEX(Sheet5!$B$2:$AG$33, MATCH(Table2[[#This Row],[HomeTeam]],Sheet5!$A$2:$A$33, 0), MATCH(Table2[[#This Row],[AwayTeam]],Sheet5!$A$2:$A$33, 0))</f>
        <v>1-0-0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0-0-1</v>
      </c>
      <c r="AP93" s="2" t="str">
        <f>INDEX(Sheet5!$B$2:$AG$33, MATCH(Table2[[#This Row],[HomeTeam]],Sheet5!$A$2:$A$33, 0), MATCH(Table2[[#This Row],[AwayTeam]],Sheet5!$A$2:$A$33, 0))</f>
        <v>1-0-0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2-0-0</v>
      </c>
      <c r="AP98" s="2" t="str">
        <f>INDEX(Sheet5!$B$2:$AG$33, MATCH(Table2[[#This Row],[HomeTeam]],Sheet5!$A$2:$A$33, 0), MATCH(Table2[[#This Row],[AwayTeam]],Sheet5!$A$2:$A$33, 0))</f>
        <v>0-2-0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0-1-0</v>
      </c>
      <c r="AP111" s="2" t="str">
        <f>INDEX(Sheet5!$B$2:$AG$33, MATCH(Table2[[#This Row],[HomeTeam]],Sheet5!$A$2:$A$33, 0), MATCH(Table2[[#This Row],[AwayTeam]],Sheet5!$A$2:$A$33, 0))</f>
        <v>1-0-0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1-0-0</v>
      </c>
      <c r="AP113" s="2" t="str">
        <f>INDEX(Sheet5!$B$2:$AG$33, MATCH(Table2[[#This Row],[HomeTeam]],Sheet5!$A$2:$A$33, 0), MATCH(Table2[[#This Row],[AwayTeam]],Sheet5!$A$2:$A$33, 0))</f>
        <v>0-1-0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0-1-0</v>
      </c>
      <c r="AP117" s="2" t="str">
        <f>INDEX(Sheet5!$B$2:$AG$33, MATCH(Table2[[#This Row],[HomeTeam]],Sheet5!$A$2:$A$33, 0), MATCH(Table2[[#This Row],[AwayTeam]],Sheet5!$A$2:$A$33, 0))</f>
        <v>1-0-0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1-0-0</v>
      </c>
      <c r="AP119" s="2" t="str">
        <f>INDEX(Sheet5!$B$2:$AG$33, MATCH(Table2[[#This Row],[HomeTeam]],Sheet5!$A$2:$A$33, 0), MATCH(Table2[[#This Row],[AwayTeam]],Sheet5!$A$2:$A$33, 0))</f>
        <v>0-1-0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1-0-0</v>
      </c>
      <c r="AP122" s="2" t="str">
        <f>INDEX(Sheet5!$B$2:$AG$33, MATCH(Table2[[#This Row],[HomeTeam]],Sheet5!$A$2:$A$33, 0), MATCH(Table2[[#This Row],[AwayTeam]],Sheet5!$A$2:$A$33, 0))</f>
        <v>0-1-0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1-0-0</v>
      </c>
      <c r="AP127" s="2" t="str">
        <f>INDEX(Sheet5!$B$2:$AG$33, MATCH(Table2[[#This Row],[HomeTeam]],Sheet5!$A$2:$A$33, 0), MATCH(Table2[[#This Row],[AwayTeam]],Sheet5!$A$2:$A$33, 0))</f>
        <v>0-1-0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0-2-0</v>
      </c>
      <c r="AP128" s="143" t="str">
        <f>INDEX(Sheet5!$B$2:$AG$33, MATCH(Table2[[#This Row],[HomeTeam]],Sheet5!$A$2:$A$33, 0), MATCH(Table2[[#This Row],[AwayTeam]],Sheet5!$A$2:$A$33, 0))</f>
        <v>2-0-0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0-0-1</v>
      </c>
      <c r="AP129" s="2" t="str">
        <f>INDEX(Sheet5!$B$2:$AG$33, MATCH(Table2[[#This Row],[HomeTeam]],Sheet5!$A$2:$A$33, 0), MATCH(Table2[[#This Row],[AwayTeam]],Sheet5!$A$2:$A$33, 0))</f>
        <v>1-0-0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1-0-0</v>
      </c>
      <c r="AP136" s="2" t="str">
        <f>INDEX(Sheet5!$B$2:$AG$33, MATCH(Table2[[#This Row],[HomeTeam]],Sheet5!$A$2:$A$33, 0), MATCH(Table2[[#This Row],[AwayTeam]],Sheet5!$A$2:$A$33, 0))</f>
        <v>0-0-1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0-1-0</v>
      </c>
      <c r="AP141" s="143" t="str">
        <f>INDEX(Sheet5!$B$2:$AG$33, MATCH(Table2[[#This Row],[HomeTeam]],Sheet5!$A$2:$A$33, 0), MATCH(Table2[[#This Row],[AwayTeam]],Sheet5!$A$2:$A$33, 0))</f>
        <v>1-0-0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1-1-0</v>
      </c>
      <c r="AP151" s="143" t="str">
        <f>INDEX(Sheet5!$B$2:$AG$33, MATCH(Table2[[#This Row],[HomeTeam]],Sheet5!$A$2:$A$33, 0), MATCH(Table2[[#This Row],[AwayTeam]],Sheet5!$A$2:$A$33, 0))</f>
        <v>1-0-1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761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761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761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761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761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0-1-1</v>
      </c>
      <c r="AP156" s="2" t="str">
        <f>INDEX(Sheet5!$B$2:$AG$33, MATCH(Table2[[#This Row],[HomeTeam]],Sheet5!$A$2:$A$33, 0), MATCH(Table2[[#This Row],[AwayTeam]],Sheet5!$A$2:$A$33, 0))</f>
        <v>2-0-0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761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761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761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1-0-0</v>
      </c>
      <c r="AP159" s="2" t="str">
        <f>INDEX(Sheet5!$B$2:$AG$33, MATCH(Table2[[#This Row],[HomeTeam]],Sheet5!$A$2:$A$33, 0), MATCH(Table2[[#This Row],[AwayTeam]],Sheet5!$A$2:$A$33, 0))</f>
        <v>0-0-1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761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761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761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761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761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761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761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761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1-0-0</v>
      </c>
      <c r="AP167" s="143" t="str">
        <f>INDEX(Sheet5!$B$2:$AG$33, MATCH(Table2[[#This Row],[HomeTeam]],Sheet5!$A$2:$A$33, 0), MATCH(Table2[[#This Row],[AwayTeam]],Sheet5!$A$2:$A$33, 0))</f>
        <v>0-1-0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0-1-0</v>
      </c>
      <c r="AP168" s="153" t="str">
        <f>INDEX(Sheet5!$B$2:$AG$33, MATCH(Table2[[#This Row],[HomeTeam]],Sheet5!$A$2:$A$33, 0), MATCH(Table2[[#This Row],[AwayTeam]],Sheet5!$A$2:$A$33, 0))</f>
        <v>1-0-0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1-0-0</v>
      </c>
      <c r="AP175" s="2" t="str">
        <f>INDEX(Sheet5!$B$2:$AG$33, MATCH(Table2[[#This Row],[HomeTeam]],Sheet5!$A$2:$A$33, 0), MATCH(Table2[[#This Row],[AwayTeam]],Sheet5!$A$2:$A$33, 0))</f>
        <v>0-1-0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1-1-0</v>
      </c>
      <c r="AP181" s="2" t="str">
        <f>INDEX(Sheet5!$B$2:$AG$33, MATCH(Table2[[#This Row],[HomeTeam]],Sheet5!$A$2:$A$33, 0), MATCH(Table2[[#This Row],[AwayTeam]],Sheet5!$A$2:$A$33, 0))</f>
        <v>1-1-0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0-1-0</v>
      </c>
      <c r="AP182" s="143" t="str">
        <f>INDEX(Sheet5!$B$2:$AG$33, MATCH(Table2[[#This Row],[HomeTeam]],Sheet5!$A$2:$A$33, 0), MATCH(Table2[[#This Row],[AwayTeam]],Sheet5!$A$2:$A$33, 0))</f>
        <v>1-0-0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0-1-0</v>
      </c>
      <c r="AP183" s="2" t="str">
        <f>INDEX(Sheet5!$B$2:$AG$33, MATCH(Table2[[#This Row],[HomeTeam]],Sheet5!$A$2:$A$33, 0), MATCH(Table2[[#This Row],[AwayTeam]],Sheet5!$A$2:$A$33, 0))</f>
        <v>1-0-0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0-0-1</v>
      </c>
      <c r="AP186" s="2" t="str">
        <f>INDEX(Sheet5!$B$2:$AG$33, MATCH(Table2[[#This Row],[HomeTeam]],Sheet5!$A$2:$A$33, 0), MATCH(Table2[[#This Row],[AwayTeam]],Sheet5!$A$2:$A$33, 0))</f>
        <v>1-0-0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0-1-0</v>
      </c>
      <c r="AP201" s="2" t="str">
        <f>INDEX(Sheet5!$B$2:$AG$33, MATCH(Table2[[#This Row],[HomeTeam]],Sheet5!$A$2:$A$33, 0), MATCH(Table2[[#This Row],[AwayTeam]],Sheet5!$A$2:$A$33, 0))</f>
        <v>1-0-0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0-1-0</v>
      </c>
      <c r="AP204" s="143" t="str">
        <f>INDEX(Sheet5!$B$2:$AG$33, MATCH(Table2[[#This Row],[HomeTeam]],Sheet5!$A$2:$A$33, 0), MATCH(Table2[[#This Row],[AwayTeam]],Sheet5!$A$2:$A$33, 0))</f>
        <v>1-0-0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1-0-0</v>
      </c>
      <c r="AP205" s="2" t="str">
        <f>INDEX(Sheet5!$B$2:$AG$33, MATCH(Table2[[#This Row],[HomeTeam]],Sheet5!$A$2:$A$33, 0), MATCH(Table2[[#This Row],[AwayTeam]],Sheet5!$A$2:$A$33, 0))</f>
        <v>0-0-1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2-0-0</v>
      </c>
      <c r="AP207" s="2" t="str">
        <f>INDEX(Sheet5!$B$2:$AG$33, MATCH(Table2[[#This Row],[HomeTeam]],Sheet5!$A$2:$A$33, 0), MATCH(Table2[[#This Row],[AwayTeam]],Sheet5!$A$2:$A$33, 0))</f>
        <v>0-1-1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1-0-0</v>
      </c>
      <c r="AP208" s="2" t="str">
        <f>INDEX(Sheet5!$B$2:$AG$33, MATCH(Table2[[#This Row],[HomeTeam]],Sheet5!$A$2:$A$33, 0), MATCH(Table2[[#This Row],[AwayTeam]],Sheet5!$A$2:$A$33, 0))</f>
        <v>0-1-0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0-0-1</v>
      </c>
      <c r="AP209" s="2" t="str">
        <f>INDEX(Sheet5!$B$2:$AG$33, MATCH(Table2[[#This Row],[HomeTeam]],Sheet5!$A$2:$A$33, 0), MATCH(Table2[[#This Row],[AwayTeam]],Sheet5!$A$2:$A$33, 0))</f>
        <v>1-0-0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1-0-0</v>
      </c>
      <c r="AP219" s="143" t="str">
        <f>INDEX(Sheet5!$B$2:$AG$33, MATCH(Table2[[#This Row],[HomeTeam]],Sheet5!$A$2:$A$33, 0), MATCH(Table2[[#This Row],[AwayTeam]],Sheet5!$A$2:$A$33, 0))</f>
        <v>0-1-0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1-0-1</v>
      </c>
      <c r="AP220" s="2" t="str">
        <f>INDEX(Sheet5!$B$2:$AG$33, MATCH(Table2[[#This Row],[HomeTeam]],Sheet5!$A$2:$A$33, 0), MATCH(Table2[[#This Row],[AwayTeam]],Sheet5!$A$2:$A$33, 0))</f>
        <v>1-1-0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0-1-0</v>
      </c>
      <c r="AP224" s="2" t="str">
        <f>INDEX(Sheet5!$B$2:$AG$33, MATCH(Table2[[#This Row],[HomeTeam]],Sheet5!$A$2:$A$33, 0), MATCH(Table2[[#This Row],[AwayTeam]],Sheet5!$A$2:$A$33, 0))</f>
        <v>1-0-0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1-0-0</v>
      </c>
      <c r="AP229" s="2" t="str">
        <f>INDEX(Sheet5!$B$2:$AG$33, MATCH(Table2[[#This Row],[HomeTeam]],Sheet5!$A$2:$A$33, 0), MATCH(Table2[[#This Row],[AwayTeam]],Sheet5!$A$2:$A$33, 0))</f>
        <v>0-1-0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1-0-0</v>
      </c>
      <c r="AP231" s="2" t="str">
        <f>INDEX(Sheet5!$B$2:$AG$33, MATCH(Table2[[#This Row],[HomeTeam]],Sheet5!$A$2:$A$33, 0), MATCH(Table2[[#This Row],[AwayTeam]],Sheet5!$A$2:$A$33, 0))</f>
        <v>0-1-0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0-1-0</v>
      </c>
      <c r="AP237" s="2" t="str">
        <f>INDEX(Sheet5!$B$2:$AG$33, MATCH(Table2[[#This Row],[HomeTeam]],Sheet5!$A$2:$A$33, 0), MATCH(Table2[[#This Row],[AwayTeam]],Sheet5!$A$2:$A$33, 0))</f>
        <v>1-0-0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1-1-0</v>
      </c>
      <c r="AP238" s="2" t="str">
        <f>INDEX(Sheet5!$B$2:$AG$33, MATCH(Table2[[#This Row],[HomeTeam]],Sheet5!$A$2:$A$33, 0), MATCH(Table2[[#This Row],[AwayTeam]],Sheet5!$A$2:$A$33, 0))</f>
        <v>1-0-1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0-1-0</v>
      </c>
      <c r="AP240" s="2" t="str">
        <f>INDEX(Sheet5!$B$2:$AG$33, MATCH(Table2[[#This Row],[HomeTeam]],Sheet5!$A$2:$A$33, 0), MATCH(Table2[[#This Row],[AwayTeam]],Sheet5!$A$2:$A$33, 0))</f>
        <v>1-0-0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1-0-0</v>
      </c>
      <c r="AP244" s="2" t="str">
        <f>INDEX(Sheet5!$B$2:$AG$33, MATCH(Table2[[#This Row],[HomeTeam]],Sheet5!$A$2:$A$33, 0), MATCH(Table2[[#This Row],[AwayTeam]],Sheet5!$A$2:$A$33, 0))</f>
        <v>0-0-1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0-1-0</v>
      </c>
      <c r="AP250" s="2" t="str">
        <f>INDEX(Sheet5!$B$2:$AG$33, MATCH(Table2[[#This Row],[HomeTeam]],Sheet5!$A$2:$A$33, 0), MATCH(Table2[[#This Row],[AwayTeam]],Sheet5!$A$2:$A$33, 0))</f>
        <v>1-0-0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1-0-0</v>
      </c>
      <c r="AP252" s="2" t="str">
        <f>INDEX(Sheet5!$B$2:$AG$33, MATCH(Table2[[#This Row],[HomeTeam]],Sheet5!$A$2:$A$33, 0), MATCH(Table2[[#This Row],[AwayTeam]],Sheet5!$A$2:$A$33, 0))</f>
        <v>0-0-1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0-0-1</v>
      </c>
      <c r="AP256" s="2" t="str">
        <f>INDEX(Sheet5!$B$2:$AG$33, MATCH(Table2[[#This Row],[HomeTeam]],Sheet5!$A$2:$A$33, 0), MATCH(Table2[[#This Row],[AwayTeam]],Sheet5!$A$2:$A$33, 0))</f>
        <v>1-0-0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1-0-0</v>
      </c>
      <c r="AP260" s="2" t="str">
        <f>INDEX(Sheet5!$B$2:$AG$33, MATCH(Table2[[#This Row],[HomeTeam]],Sheet5!$A$2:$A$33, 0), MATCH(Table2[[#This Row],[AwayTeam]],Sheet5!$A$2:$A$33, 0))</f>
        <v>0-0-1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0</v>
      </c>
      <c r="AI267" s="2">
        <f t="shared" si="28"/>
        <v>-2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1-0-0</v>
      </c>
      <c r="AP267" s="2" t="str">
        <f>INDEX(Sheet5!$B$2:$AG$33, MATCH(Table2[[#This Row],[HomeTeam]],Sheet5!$A$2:$A$33, 0), MATCH(Table2[[#This Row],[AwayTeam]],Sheet5!$A$2:$A$33, 0))</f>
        <v>0-1-0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0</v>
      </c>
      <c r="AI268" s="2">
        <f t="shared" si="28"/>
        <v>-2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3</v>
      </c>
      <c r="L269" s="2" t="str">
        <f t="shared" si="25"/>
        <v>UTA</v>
      </c>
      <c r="M269" s="2"/>
      <c r="N269" s="2">
        <f>IF(ISBLANK(Table2[[#This Row],[ActualResult]]), 0, 1)</f>
        <v>0</v>
      </c>
      <c r="O269" s="2" t="str">
        <f>IF(ISBLANK(Table2[[#This Row],[ActualResult]]), "_", IF(Table2[[#This Row],[ActualWinner]]=Table2[[#This Row],[PredictedWinner]], "Y", "N"))</f>
        <v>_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-1</v>
      </c>
      <c r="AH269" s="2">
        <f t="shared" si="27"/>
        <v>0</v>
      </c>
      <c r="AI269" s="2">
        <f t="shared" si="28"/>
        <v>-2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0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0-0-1</v>
      </c>
      <c r="AP269" s="2" t="str">
        <f>INDEX(Sheet5!$B$2:$AG$33, MATCH(Table2[[#This Row],[HomeTeam]],Sheet5!$A$2:$A$33, 0), MATCH(Table2[[#This Row],[AwayTeam]],Sheet5!$A$2:$A$33, 0))</f>
        <v>1-0-0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1</v>
      </c>
      <c r="K270" s="143">
        <v>1</v>
      </c>
      <c r="L270" s="143" t="str">
        <f t="shared" si="25"/>
        <v>_</v>
      </c>
      <c r="M270" s="143"/>
      <c r="N270" s="143">
        <f>IF(ISBLANK(Table2[[#This Row],[ActualResult]]), 0, 1)</f>
        <v>0</v>
      </c>
      <c r="O270" s="143" t="str">
        <f>IF(ISBLANK(Table2[[#This Row],[ActualResult]]), "_", IF(Table2[[#This Row],[ActualWinner]]=Table2[[#This Row],[PredictedWinner]], "Y", "N"))</f>
        <v>_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0" s="143">
        <v>1</v>
      </c>
      <c r="S270" s="143" t="str">
        <f t="shared" si="26"/>
        <v>_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-2</v>
      </c>
      <c r="AG270" s="143">
        <f>Table2[[#This Row],[ActualHomeScore]]-Table2[[#This Row],[PredictedHomeScore]]</f>
        <v>-1</v>
      </c>
      <c r="AH270" s="143">
        <f t="shared" si="27"/>
        <v>0</v>
      </c>
      <c r="AI270" s="143">
        <f t="shared" si="28"/>
        <v>-2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0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0-0-0</v>
      </c>
      <c r="AP270" s="143" t="str">
        <f>INDEX(Sheet5!$B$2:$AG$33, MATCH(Table2[[#This Row],[HomeTeam]],Sheet5!$A$2:$A$33, 0), MATCH(Table2[[#This Row],[AwayTeam]],Sheet5!$A$2:$A$33, 0))</f>
        <v>0-0-0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1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/>
      <c r="B271" s="3">
        <v>45974</v>
      </c>
      <c r="C271" s="5">
        <v>2025020269</v>
      </c>
      <c r="D271" s="2" t="s">
        <v>27</v>
      </c>
      <c r="E271" s="2" t="s">
        <v>17</v>
      </c>
      <c r="F271" s="2"/>
      <c r="G271" s="2"/>
      <c r="H271" s="2" t="str">
        <f t="shared" si="24"/>
        <v>_</v>
      </c>
      <c r="I271" s="2"/>
      <c r="J271" s="2"/>
      <c r="K271" s="2"/>
      <c r="L271" s="2" t="str">
        <f t="shared" si="25"/>
        <v>_</v>
      </c>
      <c r="M271" s="2"/>
      <c r="N271" s="2">
        <f>IF(ISBLANK(Table2[[#This Row],[ActualResult]]), 0, 1)</f>
        <v>0</v>
      </c>
      <c r="O271" s="2" t="str">
        <f>IF(ISBLANK(Table2[[#This Row],[ActualResult]]), "_", IF(Table2[[#This Row],[ActualWinner]]=Table2[[#This Row],[PredictedWinner]], "Y", "N"))</f>
        <v>_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1" s="2"/>
      <c r="S271" s="2" t="str">
        <f t="shared" si="26"/>
        <v>_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0</v>
      </c>
      <c r="AI271" s="2">
        <f t="shared" si="28"/>
        <v>0</v>
      </c>
      <c r="AJ271" s="2"/>
      <c r="AK271" s="2"/>
      <c r="AL271" s="2">
        <f>IF(Table2[[#This Row],[GameIsOver]]=0,0,IF(Table2[[#This Row],[ActualWinner]]=Table2[[#This Row],[AwayTeam]], 1, 0))</f>
        <v>0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0-0-0</v>
      </c>
      <c r="AP271" s="2" t="str">
        <f>INDEX(Sheet5!$B$2:$AG$33, MATCH(Table2[[#This Row],[HomeTeam]],Sheet5!$A$2:$A$33, 0), MATCH(Table2[[#This Row],[AwayTeam]],Sheet5!$A$2:$A$33, 0))</f>
        <v>0-0-0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1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/>
      <c r="B272" s="3">
        <v>45974</v>
      </c>
      <c r="C272" s="5">
        <v>2025020270</v>
      </c>
      <c r="D272" s="2" t="s">
        <v>33</v>
      </c>
      <c r="E272" s="2" t="s">
        <v>18</v>
      </c>
      <c r="F272" s="2"/>
      <c r="G272" s="2"/>
      <c r="H272" s="2" t="str">
        <f t="shared" si="24"/>
        <v>_</v>
      </c>
      <c r="I272" s="2"/>
      <c r="J272" s="2"/>
      <c r="K272" s="2"/>
      <c r="L272" s="2" t="str">
        <f t="shared" si="25"/>
        <v>_</v>
      </c>
      <c r="M272" s="2"/>
      <c r="N272" s="2">
        <f>IF(ISBLANK(Table2[[#This Row],[ActualResult]]), 0, 1)</f>
        <v>0</v>
      </c>
      <c r="O272" s="2" t="str">
        <f>IF(ISBLANK(Table2[[#This Row],[ActualResult]]), "_", IF(Table2[[#This Row],[ActualWinner]]=Table2[[#This Row],[PredictedWinner]], "Y", "N"))</f>
        <v>_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2" s="2"/>
      <c r="S272" s="2" t="str">
        <f t="shared" si="26"/>
        <v>_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0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0</v>
      </c>
      <c r="AG272" s="2">
        <f>Table2[[#This Row],[ActualHomeScore]]-Table2[[#This Row],[PredictedHomeScore]]</f>
        <v>0</v>
      </c>
      <c r="AH272" s="2">
        <f t="shared" si="27"/>
        <v>0</v>
      </c>
      <c r="AI272" s="2">
        <f t="shared" si="28"/>
        <v>0</v>
      </c>
      <c r="AJ272" s="2"/>
      <c r="AK272" s="2"/>
      <c r="AL272" s="2">
        <f>IF(Table2[[#This Row],[GameIsOver]]=0,0,IF(Table2[[#This Row],[ActualWinner]]=Table2[[#This Row],[AwayTeam]], 1, 0))</f>
        <v>0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0-0-0</v>
      </c>
      <c r="AP272" s="2" t="str">
        <f>INDEX(Sheet5!$B$2:$AG$33, MATCH(Table2[[#This Row],[HomeTeam]],Sheet5!$A$2:$A$33, 0), MATCH(Table2[[#This Row],[AwayTeam]],Sheet5!$A$2:$A$33, 0))</f>
        <v>0-0-0</v>
      </c>
      <c r="AQ272" s="2">
        <f>IF(Table2[[#This Row],[GameHasShutOut]], 1, 0)</f>
        <v>0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0</v>
      </c>
      <c r="AT272" s="2">
        <f>IF(Table2[[#This Row],[ActualAwayScore]] + Table2[[#This Row],[ActualHomeScore]] &lt;= 3, 1, 0)</f>
        <v>1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/>
      <c r="B273" s="3">
        <v>45974</v>
      </c>
      <c r="C273" s="5">
        <v>2025020271</v>
      </c>
      <c r="D273" s="2" t="s">
        <v>15</v>
      </c>
      <c r="E273" s="2" t="s">
        <v>29</v>
      </c>
      <c r="F273" s="2"/>
      <c r="G273" s="2"/>
      <c r="H273" s="2" t="str">
        <f t="shared" si="24"/>
        <v>_</v>
      </c>
      <c r="I273" s="2"/>
      <c r="J273" s="2"/>
      <c r="K273" s="2"/>
      <c r="L273" s="2" t="str">
        <f t="shared" si="25"/>
        <v>_</v>
      </c>
      <c r="M273" s="2"/>
      <c r="N273" s="2">
        <f>IF(ISBLANK(Table2[[#This Row],[ActualResult]]), 0, 1)</f>
        <v>0</v>
      </c>
      <c r="O273" s="2" t="str">
        <f>IF(ISBLANK(Table2[[#This Row],[ActualResult]]), "_", IF(Table2[[#This Row],[ActualWinner]]=Table2[[#This Row],[PredictedWinner]], "Y", "N"))</f>
        <v>_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3" s="2"/>
      <c r="S273" s="2" t="str">
        <f t="shared" si="26"/>
        <v>_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0</v>
      </c>
      <c r="AH273" s="2">
        <f t="shared" si="27"/>
        <v>0</v>
      </c>
      <c r="AI273" s="2">
        <f t="shared" si="28"/>
        <v>0</v>
      </c>
      <c r="AJ273" s="2"/>
      <c r="AK273" s="2"/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0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1-1-0</v>
      </c>
      <c r="AP273" s="2" t="str">
        <f>INDEX(Sheet5!$B$2:$AG$33, MATCH(Table2[[#This Row],[HomeTeam]],Sheet5!$A$2:$A$33, 0), MATCH(Table2[[#This Row],[AwayTeam]],Sheet5!$A$2:$A$33, 0))</f>
        <v>1-0-1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1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/>
      <c r="B274" s="3">
        <v>45974</v>
      </c>
      <c r="C274" s="5">
        <v>2025020272</v>
      </c>
      <c r="D274" s="2" t="s">
        <v>44</v>
      </c>
      <c r="E274" s="2" t="s">
        <v>30</v>
      </c>
      <c r="F274" s="2"/>
      <c r="G274" s="2"/>
      <c r="H274" s="2" t="str">
        <f t="shared" si="24"/>
        <v>_</v>
      </c>
      <c r="I274" s="2"/>
      <c r="J274" s="2"/>
      <c r="K274" s="2"/>
      <c r="L274" s="2" t="str">
        <f t="shared" si="25"/>
        <v>_</v>
      </c>
      <c r="M274" s="2"/>
      <c r="N274" s="2">
        <f>IF(ISBLANK(Table2[[#This Row],[ActualResult]]), 0, 1)</f>
        <v>0</v>
      </c>
      <c r="O274" s="2" t="str">
        <f>IF(ISBLANK(Table2[[#This Row],[ActualResult]]), "_", IF(Table2[[#This Row],[ActualWinner]]=Table2[[#This Row],[PredictedWinner]], "Y", "N"))</f>
        <v>_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4" s="2"/>
      <c r="S274" s="2" t="str">
        <f t="shared" si="26"/>
        <v>_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0</v>
      </c>
      <c r="AG274" s="2">
        <f>Table2[[#This Row],[ActualHomeScore]]-Table2[[#This Row],[PredictedHomeScore]]</f>
        <v>0</v>
      </c>
      <c r="AH274" s="2">
        <f t="shared" si="27"/>
        <v>0</v>
      </c>
      <c r="AI274" s="2">
        <f t="shared" si="28"/>
        <v>0</v>
      </c>
      <c r="AJ274" s="2"/>
      <c r="AK274" s="2"/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0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1-0-0</v>
      </c>
      <c r="AP274" s="2" t="str">
        <f>INDEX(Sheet5!$B$2:$AG$33, MATCH(Table2[[#This Row],[HomeTeam]],Sheet5!$A$2:$A$33, 0), MATCH(Table2[[#This Row],[AwayTeam]],Sheet5!$A$2:$A$33, 0))</f>
        <v>0-1-0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1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/>
      <c r="B275" s="3">
        <v>45974</v>
      </c>
      <c r="C275" s="5">
        <v>2025020273</v>
      </c>
      <c r="D275" s="2" t="s">
        <v>43</v>
      </c>
      <c r="E275" s="2" t="s">
        <v>13</v>
      </c>
      <c r="F275" s="2"/>
      <c r="G275" s="2"/>
      <c r="H275" s="2" t="str">
        <f t="shared" si="24"/>
        <v>_</v>
      </c>
      <c r="I275" s="2"/>
      <c r="J275" s="2"/>
      <c r="K275" s="2"/>
      <c r="L275" s="2" t="str">
        <f t="shared" si="25"/>
        <v>_</v>
      </c>
      <c r="M275" s="2"/>
      <c r="N275" s="2">
        <f>IF(ISBLANK(Table2[[#This Row],[ActualResult]]), 0, 1)</f>
        <v>0</v>
      </c>
      <c r="O275" s="2" t="str">
        <f>IF(ISBLANK(Table2[[#This Row],[ActualResult]]), "_", IF(Table2[[#This Row],[ActualWinner]]=Table2[[#This Row],[PredictedWinner]], "Y", "N"))</f>
        <v>_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5" s="2"/>
      <c r="S275" s="2" t="str">
        <f t="shared" si="26"/>
        <v>_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0</v>
      </c>
      <c r="AG275" s="2">
        <f>Table2[[#This Row],[ActualHomeScore]]-Table2[[#This Row],[PredictedHomeScore]]</f>
        <v>0</v>
      </c>
      <c r="AH275" s="2">
        <f t="shared" si="27"/>
        <v>0</v>
      </c>
      <c r="AI275" s="2">
        <f t="shared" si="28"/>
        <v>0</v>
      </c>
      <c r="AJ275" s="2"/>
      <c r="AK275" s="2"/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0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0-0-0</v>
      </c>
      <c r="AP275" s="2" t="str">
        <f>INDEX(Sheet5!$B$2:$AG$33, MATCH(Table2[[#This Row],[HomeTeam]],Sheet5!$A$2:$A$33, 0), MATCH(Table2[[#This Row],[AwayTeam]],Sheet5!$A$2:$A$33, 0))</f>
        <v>0-0-0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1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/>
      <c r="B276" s="3">
        <v>45974</v>
      </c>
      <c r="C276" s="5">
        <v>2025020274</v>
      </c>
      <c r="D276" s="2" t="s">
        <v>22</v>
      </c>
      <c r="E276" s="2" t="s">
        <v>35</v>
      </c>
      <c r="F276" s="2"/>
      <c r="G276" s="2"/>
      <c r="H276" s="2" t="str">
        <f t="shared" si="24"/>
        <v>_</v>
      </c>
      <c r="I276" s="2"/>
      <c r="J276" s="2"/>
      <c r="K276" s="2"/>
      <c r="L276" s="2" t="str">
        <f t="shared" si="25"/>
        <v>_</v>
      </c>
      <c r="M276" s="2"/>
      <c r="N276" s="2">
        <f>IF(ISBLANK(Table2[[#This Row],[ActualResult]]), 0, 1)</f>
        <v>0</v>
      </c>
      <c r="O276" s="2" t="str">
        <f>IF(ISBLANK(Table2[[#This Row],[ActualResult]]), "_", IF(Table2[[#This Row],[ActualWinner]]=Table2[[#This Row],[PredictedWinner]], "Y", "N"))</f>
        <v>_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6" s="2"/>
      <c r="S276" s="2" t="str">
        <f t="shared" si="26"/>
        <v>_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0</v>
      </c>
      <c r="AI276" s="2">
        <f t="shared" si="28"/>
        <v>0</v>
      </c>
      <c r="AJ276" s="2"/>
      <c r="AK276" s="2"/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0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1-0-0</v>
      </c>
      <c r="AP276" s="2" t="str">
        <f>INDEX(Sheet5!$B$2:$AG$33, MATCH(Table2[[#This Row],[HomeTeam]],Sheet5!$A$2:$A$33, 0), MATCH(Table2[[#This Row],[AwayTeam]],Sheet5!$A$2:$A$33, 0))</f>
        <v>0-0-1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1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/>
      <c r="B277" s="3">
        <v>45974</v>
      </c>
      <c r="C277" s="5">
        <v>2025020275</v>
      </c>
      <c r="D277" s="2" t="s">
        <v>28</v>
      </c>
      <c r="E277" s="2" t="s">
        <v>25</v>
      </c>
      <c r="F277" s="2"/>
      <c r="G277" s="2"/>
      <c r="H277" s="2" t="str">
        <f t="shared" si="24"/>
        <v>_</v>
      </c>
      <c r="I277" s="2"/>
      <c r="J277" s="2"/>
      <c r="K277" s="2"/>
      <c r="L277" s="2" t="str">
        <f t="shared" si="25"/>
        <v>_</v>
      </c>
      <c r="M277" s="2"/>
      <c r="N277" s="2">
        <f>IF(ISBLANK(Table2[[#This Row],[ActualResult]]), 0, 1)</f>
        <v>0</v>
      </c>
      <c r="O277" s="2" t="str">
        <f>IF(ISBLANK(Table2[[#This Row],[ActualResult]]), "_", IF(Table2[[#This Row],[ActualWinner]]=Table2[[#This Row],[PredictedWinner]], "Y", "N"))</f>
        <v>_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7" s="2"/>
      <c r="S277" s="2" t="str">
        <f t="shared" si="26"/>
        <v>_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0</v>
      </c>
      <c r="AG277" s="2">
        <f>Table2[[#This Row],[ActualHomeScore]]-Table2[[#This Row],[PredictedHomeScore]]</f>
        <v>0</v>
      </c>
      <c r="AH277" s="2">
        <f t="shared" si="27"/>
        <v>0</v>
      </c>
      <c r="AI277" s="2">
        <f t="shared" si="28"/>
        <v>0</v>
      </c>
      <c r="AJ277" s="2"/>
      <c r="AK277" s="2"/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0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0-1-0</v>
      </c>
      <c r="AP277" s="2" t="str">
        <f>INDEX(Sheet5!$B$2:$AG$33, MATCH(Table2[[#This Row],[HomeTeam]],Sheet5!$A$2:$A$33, 0), MATCH(Table2[[#This Row],[AwayTeam]],Sheet5!$A$2:$A$33, 0))</f>
        <v>1-0-0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1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/>
      <c r="B278" s="3">
        <v>45974</v>
      </c>
      <c r="C278" s="5">
        <v>2025020276</v>
      </c>
      <c r="D278" s="2" t="s">
        <v>37</v>
      </c>
      <c r="E278" s="2" t="s">
        <v>23</v>
      </c>
      <c r="F278" s="2"/>
      <c r="G278" s="2"/>
      <c r="H278" s="2" t="str">
        <f t="shared" si="24"/>
        <v>_</v>
      </c>
      <c r="I278" s="2"/>
      <c r="J278" s="2"/>
      <c r="K278" s="2"/>
      <c r="L278" s="2" t="str">
        <f t="shared" si="25"/>
        <v>_</v>
      </c>
      <c r="M278" s="2"/>
      <c r="N278" s="2">
        <f>IF(ISBLANK(Table2[[#This Row],[ActualResult]]), 0, 1)</f>
        <v>0</v>
      </c>
      <c r="O278" s="2" t="str">
        <f>IF(ISBLANK(Table2[[#This Row],[ActualResult]]), "_", IF(Table2[[#This Row],[ActualWinner]]=Table2[[#This Row],[PredictedWinner]], "Y", "N"))</f>
        <v>_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8" s="2"/>
      <c r="S278" s="2" t="str">
        <f t="shared" si="26"/>
        <v>_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0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0</v>
      </c>
      <c r="AG278" s="2">
        <f>Table2[[#This Row],[ActualHomeScore]]-Table2[[#This Row],[PredictedHomeScore]]</f>
        <v>0</v>
      </c>
      <c r="AH278" s="2">
        <f t="shared" si="27"/>
        <v>0</v>
      </c>
      <c r="AI278" s="2">
        <f t="shared" si="28"/>
        <v>0</v>
      </c>
      <c r="AJ278" s="2"/>
      <c r="AK278" s="2"/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0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0-0-0</v>
      </c>
      <c r="AP278" s="2" t="str">
        <f>INDEX(Sheet5!$B$2:$AG$33, MATCH(Table2[[#This Row],[HomeTeam]],Sheet5!$A$2:$A$33, 0), MATCH(Table2[[#This Row],[AwayTeam]],Sheet5!$A$2:$A$33, 0))</f>
        <v>0-0-0</v>
      </c>
      <c r="AQ278" s="2">
        <f>IF(Table2[[#This Row],[GameHasShutOut]], 1, 0)</f>
        <v>0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/>
      <c r="B279" s="3">
        <v>45974</v>
      </c>
      <c r="C279" s="5">
        <v>2025020277</v>
      </c>
      <c r="D279" s="2" t="s">
        <v>32</v>
      </c>
      <c r="E279" s="2" t="s">
        <v>26</v>
      </c>
      <c r="F279" s="2"/>
      <c r="G279" s="2"/>
      <c r="H279" s="2" t="str">
        <f t="shared" si="24"/>
        <v>_</v>
      </c>
      <c r="I279" s="2"/>
      <c r="J279" s="2"/>
      <c r="K279" s="2"/>
      <c r="L279" s="2" t="str">
        <f t="shared" si="25"/>
        <v>_</v>
      </c>
      <c r="M279" s="2"/>
      <c r="N279" s="2">
        <f>IF(ISBLANK(Table2[[#This Row],[ActualResult]]), 0, 1)</f>
        <v>0</v>
      </c>
      <c r="O279" s="2" t="str">
        <f>IF(ISBLANK(Table2[[#This Row],[ActualResult]]), "_", IF(Table2[[#This Row],[ActualWinner]]=Table2[[#This Row],[PredictedWinner]], "Y", "N"))</f>
        <v>_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9" s="2"/>
      <c r="S279" s="2" t="str">
        <f t="shared" si="26"/>
        <v>_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0</v>
      </c>
      <c r="AG279" s="2">
        <f>Table2[[#This Row],[ActualHomeScore]]-Table2[[#This Row],[PredictedHomeScore]]</f>
        <v>0</v>
      </c>
      <c r="AH279" s="2">
        <f t="shared" si="27"/>
        <v>0</v>
      </c>
      <c r="AI279" s="2">
        <f t="shared" si="28"/>
        <v>0</v>
      </c>
      <c r="AJ279" s="2"/>
      <c r="AK279" s="2"/>
      <c r="AL279" s="2">
        <f>IF(Table2[[#This Row],[GameIsOver]]=0,0,IF(Table2[[#This Row],[ActualWinner]]=Table2[[#This Row],[AwayTeam]], 1, 0))</f>
        <v>0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0-0-0</v>
      </c>
      <c r="AP279" s="2" t="str">
        <f>INDEX(Sheet5!$B$2:$AG$33, MATCH(Table2[[#This Row],[HomeTeam]],Sheet5!$A$2:$A$33, 0), MATCH(Table2[[#This Row],[AwayTeam]],Sheet5!$A$2:$A$33, 0))</f>
        <v>0-0-0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1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/>
      <c r="B280" s="141">
        <v>45974</v>
      </c>
      <c r="C280" s="142">
        <v>2025020278</v>
      </c>
      <c r="D280" s="143" t="s">
        <v>21</v>
      </c>
      <c r="E280" s="143" t="s">
        <v>11</v>
      </c>
      <c r="F280" s="143"/>
      <c r="G280" s="143"/>
      <c r="H280" s="143" t="str">
        <f t="shared" si="24"/>
        <v>_</v>
      </c>
      <c r="I280" s="143"/>
      <c r="J280" s="143"/>
      <c r="K280" s="143"/>
      <c r="L280" s="143" t="str">
        <f t="shared" si="25"/>
        <v>_</v>
      </c>
      <c r="M280" s="143"/>
      <c r="N280" s="143">
        <f>IF(ISBLANK(Table2[[#This Row],[ActualResult]]), 0, 1)</f>
        <v>0</v>
      </c>
      <c r="O280" s="143" t="str">
        <f>IF(ISBLANK(Table2[[#This Row],[ActualResult]]), "_", IF(Table2[[#This Row],[ActualWinner]]=Table2[[#This Row],[PredictedWinner]], "Y", "N"))</f>
        <v>_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0" s="143"/>
      <c r="S280" s="143" t="str">
        <f t="shared" si="26"/>
        <v>_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0</v>
      </c>
      <c r="AH280" s="143">
        <f t="shared" si="27"/>
        <v>0</v>
      </c>
      <c r="AI280" s="143">
        <f t="shared" si="28"/>
        <v>0</v>
      </c>
      <c r="AJ280" s="143"/>
      <c r="AK280" s="143"/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0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0-1-0</v>
      </c>
      <c r="AP280" s="143" t="str">
        <f>INDEX(Sheet5!$B$2:$AG$33, MATCH(Table2[[#This Row],[HomeTeam]],Sheet5!$A$2:$A$33, 0), MATCH(Table2[[#This Row],[AwayTeam]],Sheet5!$A$2:$A$33, 0))</f>
        <v>1-0-0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1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/>
      <c r="B281" s="3">
        <v>45975</v>
      </c>
      <c r="C281" s="5">
        <v>2025020281</v>
      </c>
      <c r="D281" s="2" t="s">
        <v>20</v>
      </c>
      <c r="E281" s="2" t="s">
        <v>34</v>
      </c>
      <c r="F281" s="2"/>
      <c r="G281" s="2"/>
      <c r="H281" s="2" t="str">
        <f t="shared" si="24"/>
        <v>_</v>
      </c>
      <c r="I281" s="2"/>
      <c r="J281" s="2"/>
      <c r="K281" s="2"/>
      <c r="L281" s="2" t="str">
        <f t="shared" si="25"/>
        <v>_</v>
      </c>
      <c r="M281" s="2"/>
      <c r="N281" s="2">
        <f>IF(ISBLANK(Table2[[#This Row],[ActualResult]]), 0, 1)</f>
        <v>0</v>
      </c>
      <c r="O281" s="2" t="str">
        <f>IF(ISBLANK(Table2[[#This Row],[ActualResult]]), "_", IF(Table2[[#This Row],[ActualWinner]]=Table2[[#This Row],[PredictedWinner]], "Y", "N"))</f>
        <v>_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1" s="2"/>
      <c r="S281" s="2" t="str">
        <f t="shared" si="26"/>
        <v>_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/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0</v>
      </c>
      <c r="AG281" s="2">
        <f>Table2[[#This Row],[ActualHomeScore]]-Table2[[#This Row],[PredictedHomeScore]]</f>
        <v>0</v>
      </c>
      <c r="AH281" s="2">
        <f t="shared" si="27"/>
        <v>0</v>
      </c>
      <c r="AI281" s="2">
        <f t="shared" si="28"/>
        <v>0</v>
      </c>
      <c r="AJ281" s="2"/>
      <c r="AK281" s="2"/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0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0-0-0</v>
      </c>
      <c r="AP281" s="2" t="str">
        <f>INDEX(Sheet5!$B$2:$AG$33, MATCH(Table2[[#This Row],[HomeTeam]],Sheet5!$A$2:$A$33, 0), MATCH(Table2[[#This Row],[AwayTeam]],Sheet5!$A$2:$A$33, 0))</f>
        <v>0-0-0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/>
      <c r="B282" s="3">
        <v>45975</v>
      </c>
      <c r="C282" s="5">
        <v>2025020279</v>
      </c>
      <c r="D282" s="2" t="s">
        <v>24</v>
      </c>
      <c r="E282" s="2" t="s">
        <v>41</v>
      </c>
      <c r="F282" s="2"/>
      <c r="G282" s="2"/>
      <c r="H282" s="2" t="str">
        <f t="shared" si="24"/>
        <v>_</v>
      </c>
      <c r="I282" s="2"/>
      <c r="J282" s="2"/>
      <c r="K282" s="2"/>
      <c r="L282" s="2" t="str">
        <f t="shared" si="25"/>
        <v>_</v>
      </c>
      <c r="M282" s="2"/>
      <c r="N282" s="2">
        <f>IF(ISBLANK(Table2[[#This Row],[ActualResult]]), 0, 1)</f>
        <v>0</v>
      </c>
      <c r="O282" s="2" t="str">
        <f>IF(ISBLANK(Table2[[#This Row],[ActualResult]]), "_", IF(Table2[[#This Row],[ActualWinner]]=Table2[[#This Row],[PredictedWinner]], "Y", "N"))</f>
        <v>_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2" s="2"/>
      <c r="S282" s="2" t="str">
        <f t="shared" si="26"/>
        <v>_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0</v>
      </c>
      <c r="AG282" s="2">
        <f>Table2[[#This Row],[ActualHomeScore]]-Table2[[#This Row],[PredictedHomeScore]]</f>
        <v>0</v>
      </c>
      <c r="AH282" s="2">
        <f t="shared" si="27"/>
        <v>0</v>
      </c>
      <c r="AI282" s="2">
        <f t="shared" si="28"/>
        <v>0</v>
      </c>
      <c r="AJ282" s="2"/>
      <c r="AK282" s="2"/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0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0-0-0</v>
      </c>
      <c r="AP282" s="2" t="str">
        <f>INDEX(Sheet5!$B$2:$AG$33, MATCH(Table2[[#This Row],[HomeTeam]],Sheet5!$A$2:$A$33, 0), MATCH(Table2[[#This Row],[AwayTeam]],Sheet5!$A$2:$A$33, 0))</f>
        <v>0-0-0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1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/>
      <c r="B283" s="3">
        <v>45975</v>
      </c>
      <c r="C283" s="5">
        <v>2025020280</v>
      </c>
      <c r="D283" s="2" t="s">
        <v>42</v>
      </c>
      <c r="E283" s="2" t="s">
        <v>12</v>
      </c>
      <c r="F283" s="2"/>
      <c r="G283" s="2"/>
      <c r="H283" s="2" t="str">
        <f t="shared" si="24"/>
        <v>_</v>
      </c>
      <c r="I283" s="2"/>
      <c r="J283" s="2"/>
      <c r="K283" s="2"/>
      <c r="L283" s="2" t="str">
        <f t="shared" si="25"/>
        <v>_</v>
      </c>
      <c r="M283" s="2"/>
      <c r="N283" s="2">
        <f>IF(ISBLANK(Table2[[#This Row],[ActualResult]]), 0, 1)</f>
        <v>0</v>
      </c>
      <c r="O283" s="2" t="str">
        <f>IF(ISBLANK(Table2[[#This Row],[ActualResult]]), "_", IF(Table2[[#This Row],[ActualWinner]]=Table2[[#This Row],[PredictedWinner]], "Y", "N"))</f>
        <v>_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3" s="2"/>
      <c r="S283" s="2" t="str">
        <f t="shared" si="26"/>
        <v>_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0</v>
      </c>
      <c r="AH283" s="2">
        <f t="shared" si="27"/>
        <v>0</v>
      </c>
      <c r="AI283" s="2">
        <f t="shared" si="28"/>
        <v>0</v>
      </c>
      <c r="AJ283" s="2"/>
      <c r="AK283" s="2"/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0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0-0-0</v>
      </c>
      <c r="AP283" s="2" t="str">
        <f>INDEX(Sheet5!$B$2:$AG$33, MATCH(Table2[[#This Row],[HomeTeam]],Sheet5!$A$2:$A$33, 0), MATCH(Table2[[#This Row],[AwayTeam]],Sheet5!$A$2:$A$33, 0))</f>
        <v>0-0-0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0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1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/>
      <c r="B284" s="141">
        <v>45975</v>
      </c>
      <c r="C284" s="142">
        <v>2025020282</v>
      </c>
      <c r="D284" s="143" t="s">
        <v>32</v>
      </c>
      <c r="E284" s="143" t="s">
        <v>14</v>
      </c>
      <c r="F284" s="143"/>
      <c r="G284" s="143"/>
      <c r="H284" s="143" t="str">
        <f t="shared" si="24"/>
        <v>_</v>
      </c>
      <c r="I284" s="143"/>
      <c r="J284" s="143"/>
      <c r="K284" s="143"/>
      <c r="L284" s="143" t="str">
        <f t="shared" si="25"/>
        <v>_</v>
      </c>
      <c r="M284" s="143"/>
      <c r="N284" s="143">
        <f>IF(ISBLANK(Table2[[#This Row],[ActualResult]]), 0, 1)</f>
        <v>0</v>
      </c>
      <c r="O284" s="143" t="str">
        <f>IF(ISBLANK(Table2[[#This Row],[ActualResult]]), "_", IF(Table2[[#This Row],[ActualWinner]]=Table2[[#This Row],[PredictedWinner]], "Y", "N"))</f>
        <v>_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4" s="143"/>
      <c r="S284" s="143" t="str">
        <f t="shared" si="26"/>
        <v>_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0</v>
      </c>
      <c r="AG284" s="143">
        <f>Table2[[#This Row],[ActualHomeScore]]-Table2[[#This Row],[PredictedHomeScore]]</f>
        <v>0</v>
      </c>
      <c r="AH284" s="143">
        <f t="shared" si="27"/>
        <v>0</v>
      </c>
      <c r="AI284" s="143">
        <f t="shared" si="28"/>
        <v>0</v>
      </c>
      <c r="AJ284" s="143"/>
      <c r="AK284" s="143"/>
      <c r="AL284" s="143">
        <f>IF(Table2[[#This Row],[GameIsOver]]=0,0,IF(Table2[[#This Row],[ActualWinner]]=Table2[[#This Row],[AwayTeam]], 1, 0))</f>
        <v>0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0-0-0</v>
      </c>
      <c r="AP284" s="143" t="str">
        <f>INDEX(Sheet5!$B$2:$AG$33, MATCH(Table2[[#This Row],[HomeTeam]],Sheet5!$A$2:$A$33, 0), MATCH(Table2[[#This Row],[AwayTeam]],Sheet5!$A$2:$A$33, 0))</f>
        <v>0-0-0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1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/>
      <c r="B285" s="3">
        <v>45976</v>
      </c>
      <c r="C285" s="5">
        <v>2025020283</v>
      </c>
      <c r="D285" s="2" t="s">
        <v>40</v>
      </c>
      <c r="E285" s="2" t="s">
        <v>13</v>
      </c>
      <c r="F285" s="2"/>
      <c r="G285" s="2"/>
      <c r="H285" s="2" t="str">
        <f t="shared" si="24"/>
        <v>_</v>
      </c>
      <c r="I285" s="2"/>
      <c r="J285" s="2"/>
      <c r="K285" s="2"/>
      <c r="L285" s="2" t="str">
        <f t="shared" si="25"/>
        <v>_</v>
      </c>
      <c r="M285" s="2"/>
      <c r="N285" s="2">
        <f>IF(ISBLANK(Table2[[#This Row],[ActualResult]]), 0, 1)</f>
        <v>0</v>
      </c>
      <c r="O285" s="2" t="str">
        <f>IF(ISBLANK(Table2[[#This Row],[ActualResult]]), "_", IF(Table2[[#This Row],[ActualWinner]]=Table2[[#This Row],[PredictedWinner]], "Y", "N"))</f>
        <v>_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5" s="2"/>
      <c r="S285" s="2" t="str">
        <f t="shared" si="26"/>
        <v>_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0</v>
      </c>
      <c r="AH285" s="2">
        <f t="shared" si="27"/>
        <v>0</v>
      </c>
      <c r="AI285" s="2">
        <f t="shared" si="28"/>
        <v>0</v>
      </c>
      <c r="AJ285" s="2"/>
      <c r="AK285" s="2"/>
      <c r="AL285" s="2">
        <f>IF(Table2[[#This Row],[GameIsOver]]=0,0,IF(Table2[[#This Row],[ActualWinner]]=Table2[[#This Row],[AwayTeam]], 1, 0))</f>
        <v>0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0-0-0</v>
      </c>
      <c r="AP285" s="2" t="str">
        <f>INDEX(Sheet5!$B$2:$AG$33, MATCH(Table2[[#This Row],[HomeTeam]],Sheet5!$A$2:$A$33, 0), MATCH(Table2[[#This Row],[AwayTeam]],Sheet5!$A$2:$A$33, 0))</f>
        <v>0-0-0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1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/>
      <c r="B286" s="3">
        <v>45976</v>
      </c>
      <c r="C286" s="5">
        <v>2025020284</v>
      </c>
      <c r="D286" s="2" t="s">
        <v>44</v>
      </c>
      <c r="E286" s="2" t="s">
        <v>36</v>
      </c>
      <c r="F286" s="2"/>
      <c r="G286" s="2"/>
      <c r="H286" s="2" t="str">
        <f t="shared" si="24"/>
        <v>_</v>
      </c>
      <c r="I286" s="2"/>
      <c r="J286" s="2"/>
      <c r="K286" s="2"/>
      <c r="L286" s="2" t="str">
        <f t="shared" si="25"/>
        <v>_</v>
      </c>
      <c r="M286" s="2"/>
      <c r="N286" s="2">
        <f>IF(ISBLANK(Table2[[#This Row],[ActualResult]]), 0, 1)</f>
        <v>0</v>
      </c>
      <c r="O286" s="2" t="str">
        <f>IF(ISBLANK(Table2[[#This Row],[ActualResult]]), "_", IF(Table2[[#This Row],[ActualWinner]]=Table2[[#This Row],[PredictedWinner]], "Y", "N"))</f>
        <v>_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6" s="2"/>
      <c r="S286" s="2" t="str">
        <f t="shared" si="26"/>
        <v>_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0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0</v>
      </c>
      <c r="AG286" s="2">
        <f>Table2[[#This Row],[ActualHomeScore]]-Table2[[#This Row],[PredictedHomeScore]]</f>
        <v>0</v>
      </c>
      <c r="AH286" s="2">
        <f t="shared" si="27"/>
        <v>0</v>
      </c>
      <c r="AI286" s="2">
        <f t="shared" si="28"/>
        <v>0</v>
      </c>
      <c r="AJ286" s="2"/>
      <c r="AK286" s="2"/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0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0-0-0</v>
      </c>
      <c r="AP286" s="2" t="str">
        <f>INDEX(Sheet5!$B$2:$AG$33, MATCH(Table2[[#This Row],[HomeTeam]],Sheet5!$A$2:$A$33, 0), MATCH(Table2[[#This Row],[AwayTeam]],Sheet5!$A$2:$A$33, 0))</f>
        <v>0-0-0</v>
      </c>
      <c r="AQ286" s="2">
        <f>IF(Table2[[#This Row],[GameHasShutOut]], 1, 0)</f>
        <v>0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/>
      <c r="B287" s="3">
        <v>45976</v>
      </c>
      <c r="C287" s="5">
        <v>2025020285</v>
      </c>
      <c r="D287" s="2" t="s">
        <v>15</v>
      </c>
      <c r="E287" s="2" t="s">
        <v>18</v>
      </c>
      <c r="F287" s="2"/>
      <c r="G287" s="2"/>
      <c r="H287" s="2" t="str">
        <f t="shared" si="24"/>
        <v>_</v>
      </c>
      <c r="I287" s="2"/>
      <c r="J287" s="2"/>
      <c r="K287" s="2"/>
      <c r="L287" s="2" t="str">
        <f t="shared" si="25"/>
        <v>_</v>
      </c>
      <c r="M287" s="2"/>
      <c r="N287" s="2">
        <f>IF(ISBLANK(Table2[[#This Row],[ActualResult]]), 0, 1)</f>
        <v>0</v>
      </c>
      <c r="O287" s="2" t="str">
        <f>IF(ISBLANK(Table2[[#This Row],[ActualResult]]), "_", IF(Table2[[#This Row],[ActualWinner]]=Table2[[#This Row],[PredictedWinner]], "Y", "N"))</f>
        <v>_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7" s="2"/>
      <c r="S287" s="2" t="str">
        <f t="shared" si="26"/>
        <v>_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0</v>
      </c>
      <c r="AI287" s="2">
        <f t="shared" si="28"/>
        <v>0</v>
      </c>
      <c r="AJ287" s="2"/>
      <c r="AK287" s="2"/>
      <c r="AL287" s="2">
        <f>IF(Table2[[#This Row],[GameIsOver]]=0,0,IF(Table2[[#This Row],[ActualWinner]]=Table2[[#This Row],[AwayTeam]], 1, 0))</f>
        <v>0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0-0-0</v>
      </c>
      <c r="AP287" s="2" t="str">
        <f>INDEX(Sheet5!$B$2:$AG$33, MATCH(Table2[[#This Row],[HomeTeam]],Sheet5!$A$2:$A$33, 0), MATCH(Table2[[#This Row],[AwayTeam]],Sheet5!$A$2:$A$33, 0))</f>
        <v>0-0-0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1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/>
      <c r="B288" s="3">
        <v>45976</v>
      </c>
      <c r="C288" s="5">
        <v>2025020286</v>
      </c>
      <c r="D288" s="2" t="s">
        <v>27</v>
      </c>
      <c r="E288" s="2" t="s">
        <v>29</v>
      </c>
      <c r="F288" s="2"/>
      <c r="G288" s="2"/>
      <c r="H288" s="2" t="str">
        <f t="shared" si="24"/>
        <v>_</v>
      </c>
      <c r="I288" s="2"/>
      <c r="J288" s="2"/>
      <c r="K288" s="2"/>
      <c r="L288" s="2" t="str">
        <f t="shared" si="25"/>
        <v>_</v>
      </c>
      <c r="M288" s="2"/>
      <c r="N288" s="2">
        <f>IF(ISBLANK(Table2[[#This Row],[ActualResult]]), 0, 1)</f>
        <v>0</v>
      </c>
      <c r="O288" s="2" t="str">
        <f>IF(ISBLANK(Table2[[#This Row],[ActualResult]]), "_", IF(Table2[[#This Row],[ActualWinner]]=Table2[[#This Row],[PredictedWinner]], "Y", "N"))</f>
        <v>_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8" s="2"/>
      <c r="S288" s="2" t="str">
        <f t="shared" si="26"/>
        <v>_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0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0</v>
      </c>
      <c r="AG288" s="2">
        <f>Table2[[#This Row],[ActualHomeScore]]-Table2[[#This Row],[PredictedHomeScore]]</f>
        <v>0</v>
      </c>
      <c r="AH288" s="2">
        <f t="shared" si="27"/>
        <v>0</v>
      </c>
      <c r="AI288" s="2">
        <f t="shared" si="28"/>
        <v>0</v>
      </c>
      <c r="AJ288" s="2"/>
      <c r="AK288" s="2"/>
      <c r="AL288" s="2">
        <f>IF(Table2[[#This Row],[GameIsOver]]=0,0,IF(Table2[[#This Row],[ActualWinner]]=Table2[[#This Row],[AwayTeam]], 1, 0))</f>
        <v>0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0-0-0</v>
      </c>
      <c r="AP288" s="2" t="str">
        <f>INDEX(Sheet5!$B$2:$AG$33, MATCH(Table2[[#This Row],[HomeTeam]],Sheet5!$A$2:$A$33, 0), MATCH(Table2[[#This Row],[AwayTeam]],Sheet5!$A$2:$A$33, 0))</f>
        <v>0-0-0</v>
      </c>
      <c r="AQ288" s="2">
        <f>IF(Table2[[#This Row],[GameHasShutOut]], 1, 0)</f>
        <v>0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/>
      <c r="B289" s="3">
        <v>45976</v>
      </c>
      <c r="C289" s="5">
        <v>2025020287</v>
      </c>
      <c r="D289" s="2" t="s">
        <v>28</v>
      </c>
      <c r="E289" s="2" t="s">
        <v>30</v>
      </c>
      <c r="F289" s="2"/>
      <c r="G289" s="2"/>
      <c r="H289" s="2" t="str">
        <f t="shared" si="24"/>
        <v>_</v>
      </c>
      <c r="I289" s="2"/>
      <c r="J289" s="2"/>
      <c r="K289" s="2"/>
      <c r="L289" s="2" t="str">
        <f t="shared" si="25"/>
        <v>_</v>
      </c>
      <c r="M289" s="2"/>
      <c r="N289" s="2">
        <f>IF(ISBLANK(Table2[[#This Row],[ActualResult]]), 0, 1)</f>
        <v>0</v>
      </c>
      <c r="O289" s="2" t="str">
        <f>IF(ISBLANK(Table2[[#This Row],[ActualResult]]), "_", IF(Table2[[#This Row],[ActualWinner]]=Table2[[#This Row],[PredictedWinner]], "Y", "N"))</f>
        <v>_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9" s="2"/>
      <c r="S289" s="2" t="str">
        <f t="shared" si="26"/>
        <v>_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0</v>
      </c>
      <c r="AG289" s="2">
        <f>Table2[[#This Row],[ActualHomeScore]]-Table2[[#This Row],[PredictedHomeScore]]</f>
        <v>0</v>
      </c>
      <c r="AH289" s="2">
        <f t="shared" si="27"/>
        <v>0</v>
      </c>
      <c r="AI289" s="2">
        <f t="shared" si="28"/>
        <v>0</v>
      </c>
      <c r="AJ289" s="2"/>
      <c r="AK289" s="2"/>
      <c r="AL289" s="2">
        <f>IF(Table2[[#This Row],[GameIsOver]]=0,0,IF(Table2[[#This Row],[ActualWinner]]=Table2[[#This Row],[AwayTeam]], 1, 0))</f>
        <v>0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1-0-0</v>
      </c>
      <c r="AP289" s="2" t="str">
        <f>INDEX(Sheet5!$B$2:$AG$33, MATCH(Table2[[#This Row],[HomeTeam]],Sheet5!$A$2:$A$33, 0), MATCH(Table2[[#This Row],[AwayTeam]],Sheet5!$A$2:$A$33, 0))</f>
        <v>0-1-0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1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/>
      <c r="B290" s="3">
        <v>45976</v>
      </c>
      <c r="C290" s="5">
        <v>2025020288</v>
      </c>
      <c r="D290" s="2" t="s">
        <v>31</v>
      </c>
      <c r="E290" s="2" t="s">
        <v>43</v>
      </c>
      <c r="F290" s="2"/>
      <c r="G290" s="2"/>
      <c r="H290" s="2" t="str">
        <f>IF(AND(ISBLANK($F290),ISBLANK($G290)),"_",IF($F290&gt;$G290,$D290,$E290))</f>
        <v>_</v>
      </c>
      <c r="I290" s="2"/>
      <c r="J290" s="2"/>
      <c r="K290" s="2"/>
      <c r="L290" s="2" t="str">
        <f t="shared" si="25"/>
        <v>_</v>
      </c>
      <c r="M290" s="2"/>
      <c r="N290" s="2">
        <f>IF(ISBLANK(Table2[[#This Row],[ActualResult]]), 0, 1)</f>
        <v>0</v>
      </c>
      <c r="O290" s="2" t="str">
        <f>IF(ISBLANK(Table2[[#This Row],[ActualResult]]), "_", IF(Table2[[#This Row],[ActualWinner]]=Table2[[#This Row],[PredictedWinner]], "Y", "N"))</f>
        <v>_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0" s="2"/>
      <c r="S290" s="2" t="str">
        <f t="shared" si="26"/>
        <v>_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0</v>
      </c>
      <c r="AH290" s="2">
        <f t="shared" si="27"/>
        <v>0</v>
      </c>
      <c r="AI290" s="2">
        <f t="shared" si="28"/>
        <v>0</v>
      </c>
      <c r="AJ290" s="2"/>
      <c r="AK290" s="2"/>
      <c r="AL290" s="2">
        <f>IF(Table2[[#This Row],[GameIsOver]]=0,0,IF(Table2[[#This Row],[ActualWinner]]=Table2[[#This Row],[AwayTeam]], 1, 0))</f>
        <v>0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0-0-0</v>
      </c>
      <c r="AP290" s="2" t="str">
        <f>INDEX(Sheet5!$B$2:$AG$33, MATCH(Table2[[#This Row],[HomeTeam]],Sheet5!$A$2:$A$33, 0), MATCH(Table2[[#This Row],[AwayTeam]],Sheet5!$A$2:$A$33, 0))</f>
        <v>0-0-0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1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/>
      <c r="B291" s="3">
        <v>45976</v>
      </c>
      <c r="C291" s="5">
        <v>2025020289</v>
      </c>
      <c r="D291" s="2" t="s">
        <v>22</v>
      </c>
      <c r="E291" s="2" t="s">
        <v>41</v>
      </c>
      <c r="F291" s="2"/>
      <c r="G291" s="2"/>
      <c r="H291" s="2" t="str">
        <f>IF(AND(ISBLANK($F291),ISBLANK($G291)),"_",IF($F291&gt;$G291,$D291,$E291))</f>
        <v>_</v>
      </c>
      <c r="I291" s="2"/>
      <c r="J291" s="2"/>
      <c r="K291" s="2"/>
      <c r="L291" s="2" t="str">
        <f t="shared" si="25"/>
        <v>_</v>
      </c>
      <c r="M291" s="2"/>
      <c r="N291" s="2">
        <f>IF(ISBLANK(Table2[[#This Row],[ActualResult]]), 0, 1)</f>
        <v>0</v>
      </c>
      <c r="O291" s="2" t="str">
        <f>IF(ISBLANK(Table2[[#This Row],[ActualResult]]), "_", IF(Table2[[#This Row],[ActualWinner]]=Table2[[#This Row],[PredictedWinner]], "Y", "N"))</f>
        <v>_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1" s="2"/>
      <c r="S291" s="2" t="str">
        <f t="shared" si="26"/>
        <v>_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0</v>
      </c>
      <c r="AG291" s="2">
        <f>Table2[[#This Row],[ActualHomeScore]]-Table2[[#This Row],[PredictedHomeScore]]</f>
        <v>0</v>
      </c>
      <c r="AH291" s="2">
        <f t="shared" si="27"/>
        <v>0</v>
      </c>
      <c r="AI291" s="2">
        <f t="shared" si="28"/>
        <v>0</v>
      </c>
      <c r="AJ291" s="2"/>
      <c r="AK291" s="2"/>
      <c r="AL291" s="2">
        <f>IF(Table2[[#This Row],[GameIsOver]]=0,0,IF(Table2[[#This Row],[ActualWinner]]=Table2[[#This Row],[AwayTeam]], 1, 0))</f>
        <v>0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0-0-0</v>
      </c>
      <c r="AP291" s="2" t="str">
        <f>INDEX(Sheet5!$B$2:$AG$33, MATCH(Table2[[#This Row],[HomeTeam]],Sheet5!$A$2:$A$33, 0), MATCH(Table2[[#This Row],[AwayTeam]],Sheet5!$A$2:$A$33, 0))</f>
        <v>0-0-0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1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/>
      <c r="B292" s="3">
        <v>45976</v>
      </c>
      <c r="C292" s="5">
        <v>2025020290</v>
      </c>
      <c r="D292" s="2" t="s">
        <v>19</v>
      </c>
      <c r="E292" s="2" t="s">
        <v>35</v>
      </c>
      <c r="F292" s="2"/>
      <c r="G292" s="2"/>
      <c r="H292" s="2" t="str">
        <f t="shared" si="24"/>
        <v>_</v>
      </c>
      <c r="I292" s="2"/>
      <c r="J292" s="2"/>
      <c r="K292" s="2"/>
      <c r="L292" s="2" t="str">
        <f t="shared" si="25"/>
        <v>_</v>
      </c>
      <c r="M292" s="2"/>
      <c r="N292" s="2">
        <f>IF(ISBLANK(Table2[[#This Row],[ActualResult]]), 0, 1)</f>
        <v>0</v>
      </c>
      <c r="O292" s="2" t="str">
        <f>IF(ISBLANK(Table2[[#This Row],[ActualResult]]), "_", IF(Table2[[#This Row],[ActualWinner]]=Table2[[#This Row],[PredictedWinner]], "Y", "N"))</f>
        <v>_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2" s="2"/>
      <c r="S292" s="2" t="str">
        <f t="shared" si="26"/>
        <v>_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0</v>
      </c>
      <c r="AG292" s="2">
        <f>Table2[[#This Row],[ActualHomeScore]]-Table2[[#This Row],[PredictedHomeScore]]</f>
        <v>0</v>
      </c>
      <c r="AH292" s="2">
        <f t="shared" si="27"/>
        <v>0</v>
      </c>
      <c r="AI292" s="2">
        <f t="shared" si="28"/>
        <v>0</v>
      </c>
      <c r="AJ292" s="2"/>
      <c r="AK292" s="2"/>
      <c r="AL292" s="2">
        <f>IF(Table2[[#This Row],[GameIsOver]]=0,0,IF(Table2[[#This Row],[ActualWinner]]=Table2[[#This Row],[AwayTeam]], 1, 0))</f>
        <v>0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0-0-0</v>
      </c>
      <c r="AP292" s="2" t="str">
        <f>INDEX(Sheet5!$B$2:$AG$33, MATCH(Table2[[#This Row],[HomeTeam]],Sheet5!$A$2:$A$33, 0), MATCH(Table2[[#This Row],[AwayTeam]],Sheet5!$A$2:$A$33, 0))</f>
        <v>0-0-0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/>
      <c r="B293" s="3">
        <v>45976</v>
      </c>
      <c r="C293" s="5">
        <v>2025020291</v>
      </c>
      <c r="D293" s="2" t="s">
        <v>17</v>
      </c>
      <c r="E293" s="2" t="s">
        <v>16</v>
      </c>
      <c r="F293" s="2"/>
      <c r="G293" s="2"/>
      <c r="H293" s="2" t="str">
        <f t="shared" si="24"/>
        <v>_</v>
      </c>
      <c r="I293" s="2"/>
      <c r="J293" s="2"/>
      <c r="K293" s="2"/>
      <c r="L293" s="2" t="str">
        <f t="shared" si="25"/>
        <v>_</v>
      </c>
      <c r="M293" s="2"/>
      <c r="N293" s="2">
        <f>IF(ISBLANK(Table2[[#This Row],[ActualResult]]), 0, 1)</f>
        <v>0</v>
      </c>
      <c r="O293" s="2" t="str">
        <f>IF(ISBLANK(Table2[[#This Row],[ActualResult]]), "_", IF(Table2[[#This Row],[ActualWinner]]=Table2[[#This Row],[PredictedWinner]], "Y", "N"))</f>
        <v>_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3" s="2"/>
      <c r="S293" s="2" t="str">
        <f t="shared" si="26"/>
        <v>_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0</v>
      </c>
      <c r="AG293" s="2">
        <f>Table2[[#This Row],[ActualHomeScore]]-Table2[[#This Row],[PredictedHomeScore]]</f>
        <v>0</v>
      </c>
      <c r="AH293" s="2">
        <f t="shared" si="27"/>
        <v>0</v>
      </c>
      <c r="AI293" s="2">
        <f t="shared" si="28"/>
        <v>0</v>
      </c>
      <c r="AJ293" s="2"/>
      <c r="AK293" s="2"/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0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0-0-0</v>
      </c>
      <c r="AP293" s="2" t="str">
        <f>INDEX(Sheet5!$B$2:$AG$33, MATCH(Table2[[#This Row],[HomeTeam]],Sheet5!$A$2:$A$33, 0), MATCH(Table2[[#This Row],[AwayTeam]],Sheet5!$A$2:$A$33, 0))</f>
        <v>0-0-0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1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/>
      <c r="B294" s="3">
        <v>45976</v>
      </c>
      <c r="C294" s="5">
        <v>2025020292</v>
      </c>
      <c r="D294" s="2" t="s">
        <v>26</v>
      </c>
      <c r="E294" s="2" t="s">
        <v>12</v>
      </c>
      <c r="F294" s="2"/>
      <c r="G294" s="2"/>
      <c r="H294" s="2" t="str">
        <f t="shared" si="24"/>
        <v>_</v>
      </c>
      <c r="I294" s="2"/>
      <c r="J294" s="2"/>
      <c r="K294" s="2"/>
      <c r="L294" s="2" t="str">
        <f t="shared" si="25"/>
        <v>_</v>
      </c>
      <c r="M294" s="2"/>
      <c r="N294" s="2">
        <f>IF(ISBLANK(Table2[[#This Row],[ActualResult]]), 0, 1)</f>
        <v>0</v>
      </c>
      <c r="O294" s="2" t="str">
        <f>IF(ISBLANK(Table2[[#This Row],[ActualResult]]), "_", IF(Table2[[#This Row],[ActualWinner]]=Table2[[#This Row],[PredictedWinner]], "Y", "N"))</f>
        <v>_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4" s="2"/>
      <c r="S294" s="2" t="str">
        <f t="shared" si="26"/>
        <v>_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0</v>
      </c>
      <c r="AG294" s="2">
        <f>Table2[[#This Row],[ActualHomeScore]]-Table2[[#This Row],[PredictedHomeScore]]</f>
        <v>0</v>
      </c>
      <c r="AH294" s="2">
        <f t="shared" si="27"/>
        <v>0</v>
      </c>
      <c r="AI294" s="2">
        <f t="shared" si="28"/>
        <v>0</v>
      </c>
      <c r="AJ294" s="2"/>
      <c r="AK294" s="2"/>
      <c r="AL294" s="2">
        <f>IF(Table2[[#This Row],[GameIsOver]]=0,0,IF(Table2[[#This Row],[ActualWinner]]=Table2[[#This Row],[AwayTeam]], 1, 0))</f>
        <v>0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0-0-0</v>
      </c>
      <c r="AP294" s="2" t="str">
        <f>INDEX(Sheet5!$B$2:$AG$33, MATCH(Table2[[#This Row],[HomeTeam]],Sheet5!$A$2:$A$33, 0), MATCH(Table2[[#This Row],[AwayTeam]],Sheet5!$A$2:$A$33, 0))</f>
        <v>0-0-0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1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/>
      <c r="B295" s="3">
        <v>45976</v>
      </c>
      <c r="C295" s="5">
        <v>2025020293</v>
      </c>
      <c r="D295" s="2" t="s">
        <v>42</v>
      </c>
      <c r="E295" s="2" t="s">
        <v>33</v>
      </c>
      <c r="F295" s="2"/>
      <c r="G295" s="2"/>
      <c r="H295" s="2" t="str">
        <f t="shared" si="24"/>
        <v>_</v>
      </c>
      <c r="I295" s="2"/>
      <c r="J295" s="2"/>
      <c r="K295" s="2"/>
      <c r="L295" s="2" t="str">
        <f t="shared" si="25"/>
        <v>_</v>
      </c>
      <c r="M295" s="2"/>
      <c r="N295" s="2">
        <f>IF(ISBLANK(Table2[[#This Row],[ActualResult]]), 0, 1)</f>
        <v>0</v>
      </c>
      <c r="O295" s="2" t="str">
        <f>IF(ISBLANK(Table2[[#This Row],[ActualResult]]), "_", IF(Table2[[#This Row],[ActualWinner]]=Table2[[#This Row],[PredictedWinner]], "Y", "N"))</f>
        <v>_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5" s="2"/>
      <c r="S295" s="2" t="str">
        <f t="shared" si="26"/>
        <v>_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0</v>
      </c>
      <c r="AH295" s="2">
        <f t="shared" si="27"/>
        <v>0</v>
      </c>
      <c r="AI295" s="2">
        <f t="shared" si="28"/>
        <v>0</v>
      </c>
      <c r="AJ295" s="2"/>
      <c r="AK295" s="2"/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0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0-0-0</v>
      </c>
      <c r="AP295" s="2" t="str">
        <f>INDEX(Sheet5!$B$2:$AG$33, MATCH(Table2[[#This Row],[HomeTeam]],Sheet5!$A$2:$A$33, 0), MATCH(Table2[[#This Row],[AwayTeam]],Sheet5!$A$2:$A$33, 0))</f>
        <v>0-0-0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1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/>
      <c r="B296" s="3">
        <v>45976</v>
      </c>
      <c r="C296" s="5">
        <v>2025020294</v>
      </c>
      <c r="D296" s="2" t="s">
        <v>21</v>
      </c>
      <c r="E296" s="2" t="s">
        <v>23</v>
      </c>
      <c r="F296" s="2"/>
      <c r="G296" s="2"/>
      <c r="H296" s="2" t="str">
        <f t="shared" si="24"/>
        <v>_</v>
      </c>
      <c r="I296" s="2"/>
      <c r="J296" s="2"/>
      <c r="K296" s="2"/>
      <c r="L296" s="2" t="str">
        <f t="shared" si="25"/>
        <v>_</v>
      </c>
      <c r="M296" s="2"/>
      <c r="N296" s="2">
        <f>IF(ISBLANK(Table2[[#This Row],[ActualResult]]), 0, 1)</f>
        <v>0</v>
      </c>
      <c r="O296" s="2" t="str">
        <f>IF(ISBLANK(Table2[[#This Row],[ActualResult]]), "_", IF(Table2[[#This Row],[ActualWinner]]=Table2[[#This Row],[PredictedWinner]], "Y", "N"))</f>
        <v>_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6" s="2"/>
      <c r="S296" s="2" t="str">
        <f t="shared" si="26"/>
        <v>_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0</v>
      </c>
      <c r="AG296" s="2">
        <f>Table2[[#This Row],[ActualHomeScore]]-Table2[[#This Row],[PredictedHomeScore]]</f>
        <v>0</v>
      </c>
      <c r="AH296" s="2">
        <f t="shared" si="27"/>
        <v>0</v>
      </c>
      <c r="AI296" s="2">
        <f t="shared" si="28"/>
        <v>0</v>
      </c>
      <c r="AJ296" s="2"/>
      <c r="AK296" s="2"/>
      <c r="AL296" s="2">
        <f>IF(Table2[[#This Row],[GameIsOver]]=0,0,IF(Table2[[#This Row],[ActualWinner]]=Table2[[#This Row],[AwayTeam]], 1, 0))</f>
        <v>0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2-0-0</v>
      </c>
      <c r="AP296" s="2" t="str">
        <f>INDEX(Sheet5!$B$2:$AG$33, MATCH(Table2[[#This Row],[HomeTeam]],Sheet5!$A$2:$A$33, 0), MATCH(Table2[[#This Row],[AwayTeam]],Sheet5!$A$2:$A$33, 0))</f>
        <v>0-2-0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1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/>
      <c r="B297" s="141">
        <v>45976</v>
      </c>
      <c r="C297" s="142">
        <v>2025020295</v>
      </c>
      <c r="D297" s="143" t="s">
        <v>37</v>
      </c>
      <c r="E297" s="143" t="s">
        <v>11</v>
      </c>
      <c r="F297" s="143"/>
      <c r="G297" s="143"/>
      <c r="H297" s="143" t="str">
        <f t="shared" si="24"/>
        <v>_</v>
      </c>
      <c r="I297" s="143"/>
      <c r="J297" s="143"/>
      <c r="K297" s="143"/>
      <c r="L297" s="143" t="str">
        <f t="shared" si="25"/>
        <v>_</v>
      </c>
      <c r="M297" s="143"/>
      <c r="N297" s="143">
        <f>IF(ISBLANK(Table2[[#This Row],[ActualResult]]), 0, 1)</f>
        <v>0</v>
      </c>
      <c r="O297" s="143" t="str">
        <f>IF(ISBLANK(Table2[[#This Row],[ActualResult]]), "_", IF(Table2[[#This Row],[ActualWinner]]=Table2[[#This Row],[PredictedWinner]], "Y", "N"))</f>
        <v>_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7" s="143"/>
      <c r="S297" s="143" t="str">
        <f t="shared" si="26"/>
        <v>_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0</v>
      </c>
      <c r="AG297" s="143">
        <f>Table2[[#This Row],[ActualHomeScore]]-Table2[[#This Row],[PredictedHomeScore]]</f>
        <v>0</v>
      </c>
      <c r="AH297" s="143">
        <f t="shared" si="27"/>
        <v>0</v>
      </c>
      <c r="AI297" s="143">
        <f t="shared" si="28"/>
        <v>0</v>
      </c>
      <c r="AJ297" s="143"/>
      <c r="AK297" s="143"/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0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1-0-0</v>
      </c>
      <c r="AP297" s="143" t="str">
        <f>INDEX(Sheet5!$B$2:$AG$33, MATCH(Table2[[#This Row],[HomeTeam]],Sheet5!$A$2:$A$33, 0), MATCH(Table2[[#This Row],[AwayTeam]],Sheet5!$A$2:$A$33, 0))</f>
        <v>0-1-0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1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/>
      <c r="B298" s="3">
        <v>45977</v>
      </c>
      <c r="C298" s="5">
        <v>2025020296</v>
      </c>
      <c r="D298" s="2" t="s">
        <v>34</v>
      </c>
      <c r="E298" s="2" t="s">
        <v>20</v>
      </c>
      <c r="F298" s="2"/>
      <c r="G298" s="2"/>
      <c r="H298" s="2" t="str">
        <f t="shared" si="24"/>
        <v>_</v>
      </c>
      <c r="I298" s="2"/>
      <c r="J298" s="2"/>
      <c r="K298" s="2"/>
      <c r="L298" s="2" t="str">
        <f t="shared" si="25"/>
        <v>_</v>
      </c>
      <c r="M298" s="2"/>
      <c r="N298" s="2">
        <f>IF(ISBLANK(Table2[[#This Row],[ActualResult]]), 0, 1)</f>
        <v>0</v>
      </c>
      <c r="O298" s="2" t="str">
        <f>IF(ISBLANK(Table2[[#This Row],[ActualResult]]), "_", IF(Table2[[#This Row],[ActualWinner]]=Table2[[#This Row],[PredictedWinner]], "Y", "N"))</f>
        <v>_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8" s="2"/>
      <c r="S298" s="2" t="str">
        <f t="shared" si="26"/>
        <v>_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/>
      <c r="Y298" s="2"/>
      <c r="Z298" s="145">
        <f>IF(AND(Table2[[#This Row],[GameIsOver]]=1,Table2[[#This Row],[ActualHomeScore]]*Table2[[#This Row],[ActualAwayScore]]=0), 1,0)</f>
        <v>0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0</v>
      </c>
      <c r="AG298" s="2">
        <f>Table2[[#This Row],[ActualHomeScore]]-Table2[[#This Row],[PredictedHomeScore]]</f>
        <v>0</v>
      </c>
      <c r="AH298" s="2">
        <f t="shared" si="27"/>
        <v>0</v>
      </c>
      <c r="AI298" s="2">
        <f t="shared" si="28"/>
        <v>0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0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0-0-0</v>
      </c>
      <c r="AP298" s="2" t="str">
        <f>INDEX(Sheet5!$B$2:$AG$33, MATCH(Table2[[#This Row],[HomeTeam]],Sheet5!$A$2:$A$33, 0), MATCH(Table2[[#This Row],[AwayTeam]],Sheet5!$A$2:$A$33, 0))</f>
        <v>0-0-0</v>
      </c>
      <c r="AQ298" s="2">
        <f>IF(Table2[[#This Row],[GameHasShutOut]], 1, 0)</f>
        <v>0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1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/>
      <c r="B299" s="3">
        <v>45977</v>
      </c>
      <c r="C299" s="5">
        <v>2025020297</v>
      </c>
      <c r="D299" s="2" t="s">
        <v>24</v>
      </c>
      <c r="E299" s="2" t="s">
        <v>40</v>
      </c>
      <c r="F299" s="2"/>
      <c r="G299" s="2"/>
      <c r="H299" s="2" t="str">
        <f t="shared" si="24"/>
        <v>_</v>
      </c>
      <c r="I299" s="2"/>
      <c r="J299" s="2"/>
      <c r="K299" s="2"/>
      <c r="L299" s="2" t="str">
        <f t="shared" si="25"/>
        <v>_</v>
      </c>
      <c r="M299" s="2"/>
      <c r="N299" s="2">
        <f>IF(ISBLANK(Table2[[#This Row],[ActualResult]]), 0, 1)</f>
        <v>0</v>
      </c>
      <c r="O299" s="2" t="str">
        <f>IF(ISBLANK(Table2[[#This Row],[ActualResult]]), "_", IF(Table2[[#This Row],[ActualWinner]]=Table2[[#This Row],[PredictedWinner]], "Y", "N"))</f>
        <v>_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9" s="2"/>
      <c r="S299" s="2" t="str">
        <f t="shared" si="26"/>
        <v>_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0</v>
      </c>
      <c r="AG299" s="2">
        <f>Table2[[#This Row],[ActualHomeScore]]-Table2[[#This Row],[PredictedHomeScore]]</f>
        <v>0</v>
      </c>
      <c r="AH299" s="2">
        <f t="shared" si="27"/>
        <v>0</v>
      </c>
      <c r="AI299" s="2">
        <f t="shared" si="28"/>
        <v>0</v>
      </c>
      <c r="AJ299" s="2"/>
      <c r="AK299" s="2"/>
      <c r="AL299" s="2">
        <f>IF(Table2[[#This Row],[GameIsOver]]=0,0,IF(Table2[[#This Row],[ActualWinner]]=Table2[[#This Row],[AwayTeam]], 1, 0))</f>
        <v>0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0-0-0</v>
      </c>
      <c r="AP299" s="2" t="str">
        <f>INDEX(Sheet5!$B$2:$AG$33, MATCH(Table2[[#This Row],[HomeTeam]],Sheet5!$A$2:$A$33, 0), MATCH(Table2[[#This Row],[AwayTeam]],Sheet5!$A$2:$A$33, 0))</f>
        <v>0-0-0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1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/>
      <c r="B300" s="3">
        <v>45977</v>
      </c>
      <c r="C300" s="5">
        <v>2025020298</v>
      </c>
      <c r="D300" s="2" t="s">
        <v>26</v>
      </c>
      <c r="E300" s="2" t="s">
        <v>36</v>
      </c>
      <c r="F300" s="2"/>
      <c r="G300" s="2"/>
      <c r="H300" s="2" t="str">
        <f t="shared" si="24"/>
        <v>_</v>
      </c>
      <c r="I300" s="2"/>
      <c r="J300" s="2"/>
      <c r="K300" s="2"/>
      <c r="L300" s="2" t="str">
        <f t="shared" si="25"/>
        <v>_</v>
      </c>
      <c r="M300" s="2"/>
      <c r="N300" s="2">
        <f>IF(ISBLANK(Table2[[#This Row],[ActualResult]]), 0, 1)</f>
        <v>0</v>
      </c>
      <c r="O300" s="2" t="str">
        <f>IF(ISBLANK(Table2[[#This Row],[ActualResult]]), "_", IF(Table2[[#This Row],[ActualWinner]]=Table2[[#This Row],[PredictedWinner]], "Y", "N"))</f>
        <v>_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0" s="2"/>
      <c r="S300" s="2" t="str">
        <f t="shared" si="26"/>
        <v>_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0</v>
      </c>
      <c r="AG300" s="2">
        <f>Table2[[#This Row],[ActualHomeScore]]-Table2[[#This Row],[PredictedHomeScore]]</f>
        <v>0</v>
      </c>
      <c r="AH300" s="2">
        <f t="shared" si="27"/>
        <v>0</v>
      </c>
      <c r="AI300" s="2">
        <f t="shared" si="28"/>
        <v>0</v>
      </c>
      <c r="AJ300" s="2"/>
      <c r="AK300" s="2"/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0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0-0-0</v>
      </c>
      <c r="AP300" s="2" t="str">
        <f>INDEX(Sheet5!$B$2:$AG$33, MATCH(Table2[[#This Row],[HomeTeam]],Sheet5!$A$2:$A$33, 0), MATCH(Table2[[#This Row],[AwayTeam]],Sheet5!$A$2:$A$33, 0))</f>
        <v>0-0-0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1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/>
      <c r="B301" s="3">
        <v>45977</v>
      </c>
      <c r="C301" s="5">
        <v>2025020299</v>
      </c>
      <c r="D301" s="2" t="s">
        <v>30</v>
      </c>
      <c r="E301" s="2" t="s">
        <v>19</v>
      </c>
      <c r="F301" s="2"/>
      <c r="G301" s="2"/>
      <c r="H301" s="2" t="str">
        <f t="shared" si="24"/>
        <v>_</v>
      </c>
      <c r="I301" s="2"/>
      <c r="J301" s="2"/>
      <c r="K301" s="2"/>
      <c r="L301" s="2" t="str">
        <f t="shared" si="25"/>
        <v>_</v>
      </c>
      <c r="M301" s="2"/>
      <c r="N301" s="2">
        <f>IF(ISBLANK(Table2[[#This Row],[ActualResult]]), 0, 1)</f>
        <v>0</v>
      </c>
      <c r="O301" s="2" t="str">
        <f>IF(ISBLANK(Table2[[#This Row],[ActualResult]]), "_", IF(Table2[[#This Row],[ActualWinner]]=Table2[[#This Row],[PredictedWinner]], "Y", "N"))</f>
        <v>_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1" s="2"/>
      <c r="S301" s="2" t="str">
        <f t="shared" si="26"/>
        <v>_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0</v>
      </c>
      <c r="AG301" s="2">
        <f>Table2[[#This Row],[ActualHomeScore]]-Table2[[#This Row],[PredictedHomeScore]]</f>
        <v>0</v>
      </c>
      <c r="AH301" s="2">
        <f t="shared" si="27"/>
        <v>0</v>
      </c>
      <c r="AI301" s="2">
        <f t="shared" si="28"/>
        <v>0</v>
      </c>
      <c r="AJ301" s="2"/>
      <c r="AK301" s="2"/>
      <c r="AL301" s="2">
        <f>IF(Table2[[#This Row],[GameIsOver]]=0,0,IF(Table2[[#This Row],[ActualWinner]]=Table2[[#This Row],[AwayTeam]], 1, 0))</f>
        <v>0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0-1-0</v>
      </c>
      <c r="AP301" s="2" t="str">
        <f>INDEX(Sheet5!$B$2:$AG$33, MATCH(Table2[[#This Row],[HomeTeam]],Sheet5!$A$2:$A$33, 0), MATCH(Table2[[#This Row],[AwayTeam]],Sheet5!$A$2:$A$33, 0))</f>
        <v>1-0-0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/>
      <c r="B302" s="141">
        <v>45977</v>
      </c>
      <c r="C302" s="142">
        <v>2025020300</v>
      </c>
      <c r="D302" s="143" t="s">
        <v>32</v>
      </c>
      <c r="E302" s="143" t="s">
        <v>25</v>
      </c>
      <c r="F302" s="143"/>
      <c r="G302" s="143"/>
      <c r="H302" s="143" t="str">
        <f t="shared" si="24"/>
        <v>_</v>
      </c>
      <c r="I302" s="143"/>
      <c r="J302" s="143"/>
      <c r="K302" s="143"/>
      <c r="L302" s="143" t="str">
        <f t="shared" si="25"/>
        <v>_</v>
      </c>
      <c r="M302" s="143"/>
      <c r="N302" s="143">
        <f>IF(ISBLANK(Table2[[#This Row],[ActualResult]]), 0, 1)</f>
        <v>0</v>
      </c>
      <c r="O302" s="143" t="str">
        <f>IF(ISBLANK(Table2[[#This Row],[ActualResult]]), "_", IF(Table2[[#This Row],[ActualWinner]]=Table2[[#This Row],[PredictedWinner]], "Y", "N"))</f>
        <v>_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2" s="143"/>
      <c r="S302" s="143" t="str">
        <f t="shared" si="26"/>
        <v>_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0</v>
      </c>
      <c r="AG302" s="143">
        <f>Table2[[#This Row],[ActualHomeScore]]-Table2[[#This Row],[PredictedHomeScore]]</f>
        <v>0</v>
      </c>
      <c r="AH302" s="143">
        <f t="shared" si="27"/>
        <v>0</v>
      </c>
      <c r="AI302" s="143">
        <f t="shared" si="28"/>
        <v>0</v>
      </c>
      <c r="AJ302" s="143"/>
      <c r="AK302" s="143"/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0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0-0-0</v>
      </c>
      <c r="AP302" s="143" t="str">
        <f>INDEX(Sheet5!$B$2:$AG$33, MATCH(Table2[[#This Row],[HomeTeam]],Sheet5!$A$2:$A$33, 0), MATCH(Table2[[#This Row],[AwayTeam]],Sheet5!$A$2:$A$33, 0))</f>
        <v>0-0-0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1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/>
      <c r="B303" s="3">
        <v>45978</v>
      </c>
      <c r="C303" s="5">
        <v>2025020301</v>
      </c>
      <c r="D303" s="2" t="s">
        <v>41</v>
      </c>
      <c r="E303" s="2" t="s">
        <v>15</v>
      </c>
      <c r="F303" s="2"/>
      <c r="G303" s="2"/>
      <c r="H303" s="2" t="str">
        <f t="shared" si="24"/>
        <v>_</v>
      </c>
      <c r="I303" s="2"/>
      <c r="J303" s="2"/>
      <c r="K303" s="2"/>
      <c r="L303" s="2" t="str">
        <f t="shared" si="25"/>
        <v>_</v>
      </c>
      <c r="M303" s="2"/>
      <c r="N303" s="2">
        <f>IF(ISBLANK(Table2[[#This Row],[ActualResult]]), 0, 1)</f>
        <v>0</v>
      </c>
      <c r="O303" s="2" t="str">
        <f>IF(ISBLANK(Table2[[#This Row],[ActualResult]]), "_", IF(Table2[[#This Row],[ActualWinner]]=Table2[[#This Row],[PredictedWinner]], "Y", "N"))</f>
        <v>_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3" s="2"/>
      <c r="S303" s="2" t="str">
        <f t="shared" si="26"/>
        <v>_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0</v>
      </c>
      <c r="AG303" s="2">
        <f>Table2[[#This Row],[ActualHomeScore]]-Table2[[#This Row],[PredictedHomeScore]]</f>
        <v>0</v>
      </c>
      <c r="AH303" s="2">
        <f t="shared" si="27"/>
        <v>0</v>
      </c>
      <c r="AI303" s="2">
        <f t="shared" si="28"/>
        <v>0</v>
      </c>
      <c r="AJ303" s="2"/>
      <c r="AK303" s="2"/>
      <c r="AL303" s="2">
        <f>IF(Table2[[#This Row],[GameIsOver]]=0,0,IF(Table2[[#This Row],[ActualWinner]]=Table2[[#This Row],[AwayTeam]], 1, 0))</f>
        <v>0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0-1-0</v>
      </c>
      <c r="AP303" s="2" t="str">
        <f>INDEX(Sheet5!$B$2:$AG$33, MATCH(Table2[[#This Row],[HomeTeam]],Sheet5!$A$2:$A$33, 0), MATCH(Table2[[#This Row],[AwayTeam]],Sheet5!$A$2:$A$33, 0))</f>
        <v>1-0-0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1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/>
      <c r="B304" s="3">
        <v>45978</v>
      </c>
      <c r="C304" s="5">
        <v>2025020302</v>
      </c>
      <c r="D304" s="2" t="s">
        <v>22</v>
      </c>
      <c r="E304" s="2" t="s">
        <v>28</v>
      </c>
      <c r="F304" s="2"/>
      <c r="G304" s="2"/>
      <c r="H304" s="2" t="str">
        <f t="shared" si="24"/>
        <v>_</v>
      </c>
      <c r="I304" s="2"/>
      <c r="J304" s="2"/>
      <c r="K304" s="2"/>
      <c r="L304" s="2" t="str">
        <f t="shared" si="25"/>
        <v>_</v>
      </c>
      <c r="M304" s="2"/>
      <c r="N304" s="2">
        <f>IF(ISBLANK(Table2[[#This Row],[ActualResult]]), 0, 1)</f>
        <v>0</v>
      </c>
      <c r="O304" s="2" t="str">
        <f>IF(ISBLANK(Table2[[#This Row],[ActualResult]]), "_", IF(Table2[[#This Row],[ActualWinner]]=Table2[[#This Row],[PredictedWinner]], "Y", "N"))</f>
        <v>_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4" s="2"/>
      <c r="S304" s="2" t="str">
        <f t="shared" si="26"/>
        <v>_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0</v>
      </c>
      <c r="AG304" s="2">
        <f>Table2[[#This Row],[ActualHomeScore]]-Table2[[#This Row],[PredictedHomeScore]]</f>
        <v>0</v>
      </c>
      <c r="AH304" s="2">
        <f t="shared" si="27"/>
        <v>0</v>
      </c>
      <c r="AI304" s="2">
        <f t="shared" si="28"/>
        <v>0</v>
      </c>
      <c r="AJ304" s="2"/>
      <c r="AK304" s="2"/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0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0-0-0</v>
      </c>
      <c r="AP304" s="2" t="str">
        <f>INDEX(Sheet5!$B$2:$AG$33, MATCH(Table2[[#This Row],[HomeTeam]],Sheet5!$A$2:$A$33, 0), MATCH(Table2[[#This Row],[AwayTeam]],Sheet5!$A$2:$A$33, 0))</f>
        <v>0-0-0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1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/>
      <c r="B305" s="3">
        <v>45978</v>
      </c>
      <c r="C305" s="5">
        <v>2025020303</v>
      </c>
      <c r="D305" s="2" t="s">
        <v>24</v>
      </c>
      <c r="E305" s="2" t="s">
        <v>13</v>
      </c>
      <c r="F305" s="2"/>
      <c r="G305" s="2"/>
      <c r="H305" s="2" t="str">
        <f t="shared" si="24"/>
        <v>_</v>
      </c>
      <c r="I305" s="2"/>
      <c r="J305" s="2"/>
      <c r="K305" s="2"/>
      <c r="L305" s="2" t="str">
        <f t="shared" si="25"/>
        <v>_</v>
      </c>
      <c r="M305" s="2"/>
      <c r="N305" s="2">
        <f>IF(ISBLANK(Table2[[#This Row],[ActualResult]]), 0, 1)</f>
        <v>0</v>
      </c>
      <c r="O305" s="2" t="str">
        <f>IF(ISBLANK(Table2[[#This Row],[ActualResult]]), "_", IF(Table2[[#This Row],[ActualWinner]]=Table2[[#This Row],[PredictedWinner]], "Y", "N"))</f>
        <v>_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5" s="2"/>
      <c r="S305" s="2" t="str">
        <f t="shared" si="26"/>
        <v>_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0</v>
      </c>
      <c r="AG305" s="2">
        <f>Table2[[#This Row],[ActualHomeScore]]-Table2[[#This Row],[PredictedHomeScore]]</f>
        <v>0</v>
      </c>
      <c r="AH305" s="2">
        <f t="shared" si="27"/>
        <v>0</v>
      </c>
      <c r="AI305" s="2">
        <f t="shared" si="28"/>
        <v>0</v>
      </c>
      <c r="AJ305" s="2"/>
      <c r="AK305" s="2"/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0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0-0-0</v>
      </c>
      <c r="AP305" s="2" t="str">
        <f>INDEX(Sheet5!$B$2:$AG$33, MATCH(Table2[[#This Row],[HomeTeam]],Sheet5!$A$2:$A$33, 0), MATCH(Table2[[#This Row],[AwayTeam]],Sheet5!$A$2:$A$33, 0))</f>
        <v>0-0-0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0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1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/>
      <c r="B306" s="3">
        <v>45978</v>
      </c>
      <c r="C306" s="5">
        <v>2025020304</v>
      </c>
      <c r="D306" s="2" t="s">
        <v>27</v>
      </c>
      <c r="E306" s="2" t="s">
        <v>43</v>
      </c>
      <c r="F306" s="2"/>
      <c r="G306" s="2"/>
      <c r="H306" s="2" t="str">
        <f t="shared" si="24"/>
        <v>_</v>
      </c>
      <c r="I306" s="2"/>
      <c r="J306" s="2"/>
      <c r="K306" s="2"/>
      <c r="L306" s="2" t="str">
        <f t="shared" si="25"/>
        <v>_</v>
      </c>
      <c r="M306" s="2"/>
      <c r="N306" s="2">
        <f>IF(ISBLANK(Table2[[#This Row],[ActualResult]]), 0, 1)</f>
        <v>0</v>
      </c>
      <c r="O306" s="2" t="str">
        <f>IF(ISBLANK(Table2[[#This Row],[ActualResult]]), "_", IF(Table2[[#This Row],[ActualWinner]]=Table2[[#This Row],[PredictedWinner]], "Y", "N"))</f>
        <v>_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6" s="2"/>
      <c r="S306" s="2" t="str">
        <f t="shared" si="26"/>
        <v>_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0</v>
      </c>
      <c r="AI306" s="2">
        <f t="shared" si="28"/>
        <v>0</v>
      </c>
      <c r="AJ306" s="2"/>
      <c r="AK306" s="2"/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0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0-0-0</v>
      </c>
      <c r="AP306" s="2" t="str">
        <f>INDEX(Sheet5!$B$2:$AG$33, MATCH(Table2[[#This Row],[HomeTeam]],Sheet5!$A$2:$A$33, 0), MATCH(Table2[[#This Row],[AwayTeam]],Sheet5!$A$2:$A$33, 0))</f>
        <v>0-0-0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/>
      <c r="B307" s="3">
        <v>45978</v>
      </c>
      <c r="C307" s="5">
        <v>2025020305</v>
      </c>
      <c r="D307" s="2" t="s">
        <v>18</v>
      </c>
      <c r="E307" s="2" t="s">
        <v>35</v>
      </c>
      <c r="F307" s="2"/>
      <c r="G307" s="2"/>
      <c r="H307" s="2" t="str">
        <f t="shared" si="24"/>
        <v>_</v>
      </c>
      <c r="I307" s="2"/>
      <c r="J307" s="2"/>
      <c r="K307" s="2"/>
      <c r="L307" s="2" t="str">
        <f t="shared" si="25"/>
        <v>_</v>
      </c>
      <c r="M307" s="2"/>
      <c r="N307" s="2">
        <f>IF(ISBLANK(Table2[[#This Row],[ActualResult]]), 0, 1)</f>
        <v>0</v>
      </c>
      <c r="O307" s="2" t="str">
        <f>IF(ISBLANK(Table2[[#This Row],[ActualResult]]), "_", IF(Table2[[#This Row],[ActualWinner]]=Table2[[#This Row],[PredictedWinner]], "Y", "N"))</f>
        <v>_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7" s="2"/>
      <c r="S307" s="2" t="str">
        <f t="shared" si="26"/>
        <v>_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0</v>
      </c>
      <c r="AG307" s="2">
        <f>Table2[[#This Row],[ActualHomeScore]]-Table2[[#This Row],[PredictedHomeScore]]</f>
        <v>0</v>
      </c>
      <c r="AH307" s="2">
        <f t="shared" si="27"/>
        <v>0</v>
      </c>
      <c r="AI307" s="2">
        <f t="shared" si="28"/>
        <v>0</v>
      </c>
      <c r="AJ307" s="2"/>
      <c r="AK307" s="2"/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0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0-0-0</v>
      </c>
      <c r="AP307" s="2" t="str">
        <f>INDEX(Sheet5!$B$2:$AG$33, MATCH(Table2[[#This Row],[HomeTeam]],Sheet5!$A$2:$A$33, 0), MATCH(Table2[[#This Row],[AwayTeam]],Sheet5!$A$2:$A$33, 0))</f>
        <v>0-0-0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1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/>
      <c r="B308" s="141">
        <v>45978</v>
      </c>
      <c r="C308" s="142">
        <v>2025020306</v>
      </c>
      <c r="D308" s="143" t="s">
        <v>14</v>
      </c>
      <c r="E308" s="143" t="s">
        <v>44</v>
      </c>
      <c r="F308" s="143"/>
      <c r="G308" s="143"/>
      <c r="H308" s="143" t="str">
        <f t="shared" si="24"/>
        <v>_</v>
      </c>
      <c r="I308" s="143"/>
      <c r="J308" s="143"/>
      <c r="K308" s="143"/>
      <c r="L308" s="143" t="str">
        <f t="shared" si="25"/>
        <v>_</v>
      </c>
      <c r="M308" s="143"/>
      <c r="N308" s="143">
        <f>IF(ISBLANK(Table2[[#This Row],[ActualResult]]), 0, 1)</f>
        <v>0</v>
      </c>
      <c r="O308" s="143" t="str">
        <f>IF(ISBLANK(Table2[[#This Row],[ActualResult]]), "_", IF(Table2[[#This Row],[ActualWinner]]=Table2[[#This Row],[PredictedWinner]], "Y", "N"))</f>
        <v>_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8" s="143"/>
      <c r="S308" s="143" t="str">
        <f t="shared" si="26"/>
        <v>_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0</v>
      </c>
      <c r="AG308" s="143">
        <f>Table2[[#This Row],[ActualHomeScore]]-Table2[[#This Row],[PredictedHomeScore]]</f>
        <v>0</v>
      </c>
      <c r="AH308" s="143">
        <f t="shared" si="27"/>
        <v>0</v>
      </c>
      <c r="AI308" s="143">
        <f t="shared" si="28"/>
        <v>0</v>
      </c>
      <c r="AJ308" s="143"/>
      <c r="AK308" s="143"/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0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0-0-0</v>
      </c>
      <c r="AP308" s="143" t="str">
        <f>INDEX(Sheet5!$B$2:$AG$33, MATCH(Table2[[#This Row],[HomeTeam]],Sheet5!$A$2:$A$33, 0), MATCH(Table2[[#This Row],[AwayTeam]],Sheet5!$A$2:$A$33, 0))</f>
        <v>0-0-0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1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/>
      <c r="B309" s="3">
        <v>45979</v>
      </c>
      <c r="C309" s="5">
        <v>2025020307</v>
      </c>
      <c r="D309" s="2" t="s">
        <v>12</v>
      </c>
      <c r="E309" s="2" t="s">
        <v>17</v>
      </c>
      <c r="F309" s="2"/>
      <c r="G309" s="2"/>
      <c r="H309" s="2" t="str">
        <f t="shared" si="24"/>
        <v>_</v>
      </c>
      <c r="I309" s="2"/>
      <c r="J309" s="2"/>
      <c r="K309" s="2"/>
      <c r="L309" s="2" t="str">
        <f t="shared" si="25"/>
        <v>_</v>
      </c>
      <c r="M309" s="2"/>
      <c r="N309" s="2">
        <f>IF(ISBLANK(Table2[[#This Row],[ActualResult]]), 0, 1)</f>
        <v>0</v>
      </c>
      <c r="O309" s="2" t="str">
        <f>IF(ISBLANK(Table2[[#This Row],[ActualResult]]), "_", IF(Table2[[#This Row],[ActualWinner]]=Table2[[#This Row],[PredictedWinner]], "Y", "N"))</f>
        <v>_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9" s="2"/>
      <c r="S309" s="2" t="str">
        <f t="shared" si="26"/>
        <v>_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0</v>
      </c>
      <c r="AG309" s="2">
        <f>Table2[[#This Row],[ActualHomeScore]]-Table2[[#This Row],[PredictedHomeScore]]</f>
        <v>0</v>
      </c>
      <c r="AH309" s="2">
        <f t="shared" si="27"/>
        <v>0</v>
      </c>
      <c r="AI309" s="2">
        <f t="shared" si="28"/>
        <v>0</v>
      </c>
      <c r="AJ309" s="2"/>
      <c r="AK309" s="2"/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0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0-0-0</v>
      </c>
      <c r="AP309" s="2" t="str">
        <f>INDEX(Sheet5!$B$2:$AG$33, MATCH(Table2[[#This Row],[HomeTeam]],Sheet5!$A$2:$A$33, 0), MATCH(Table2[[#This Row],[AwayTeam]],Sheet5!$A$2:$A$33, 0))</f>
        <v>0-0-0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1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/>
      <c r="B310" s="3">
        <v>45979</v>
      </c>
      <c r="C310" s="5">
        <v>2025020308</v>
      </c>
      <c r="D310" s="2" t="s">
        <v>11</v>
      </c>
      <c r="E310" s="2" t="s">
        <v>30</v>
      </c>
      <c r="F310" s="2"/>
      <c r="G310" s="2"/>
      <c r="H310" s="2" t="str">
        <f t="shared" si="24"/>
        <v>_</v>
      </c>
      <c r="I310" s="2"/>
      <c r="J310" s="2"/>
      <c r="K310" s="2"/>
      <c r="L310" s="2" t="str">
        <f t="shared" si="25"/>
        <v>_</v>
      </c>
      <c r="M310" s="2"/>
      <c r="N310" s="2">
        <f>IF(ISBLANK(Table2[[#This Row],[ActualResult]]), 0, 1)</f>
        <v>0</v>
      </c>
      <c r="O310" s="2" t="str">
        <f>IF(ISBLANK(Table2[[#This Row],[ActualResult]]), "_", IF(Table2[[#This Row],[ActualWinner]]=Table2[[#This Row],[PredictedWinner]], "Y", "N"))</f>
        <v>_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0" s="2"/>
      <c r="S310" s="2" t="str">
        <f t="shared" si="26"/>
        <v>_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0</v>
      </c>
      <c r="AG310" s="2">
        <f>Table2[[#This Row],[ActualHomeScore]]-Table2[[#This Row],[PredictedHomeScore]]</f>
        <v>0</v>
      </c>
      <c r="AH310" s="2">
        <f t="shared" si="27"/>
        <v>0</v>
      </c>
      <c r="AI310" s="2">
        <f t="shared" si="28"/>
        <v>0</v>
      </c>
      <c r="AJ310" s="2"/>
      <c r="AK310" s="2"/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0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0-0-0</v>
      </c>
      <c r="AP310" s="2" t="str">
        <f>INDEX(Sheet5!$B$2:$AG$33, MATCH(Table2[[#This Row],[HomeTeam]],Sheet5!$A$2:$A$33, 0), MATCH(Table2[[#This Row],[AwayTeam]],Sheet5!$A$2:$A$33, 0))</f>
        <v>0-0-0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1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/>
      <c r="B311" s="3">
        <v>45979</v>
      </c>
      <c r="C311" s="5">
        <v>2025020309</v>
      </c>
      <c r="D311" s="2" t="s">
        <v>31</v>
      </c>
      <c r="E311" s="2" t="s">
        <v>40</v>
      </c>
      <c r="F311" s="2"/>
      <c r="G311" s="2"/>
      <c r="H311" s="2" t="str">
        <f t="shared" si="24"/>
        <v>_</v>
      </c>
      <c r="I311" s="2"/>
      <c r="J311" s="2"/>
      <c r="K311" s="2"/>
      <c r="L311" s="2" t="str">
        <f t="shared" si="25"/>
        <v>_</v>
      </c>
      <c r="M311" s="2"/>
      <c r="N311" s="2">
        <f>IF(ISBLANK(Table2[[#This Row],[ActualResult]]), 0, 1)</f>
        <v>0</v>
      </c>
      <c r="O311" s="2" t="str">
        <f>IF(ISBLANK(Table2[[#This Row],[ActualResult]]), "_", IF(Table2[[#This Row],[ActualWinner]]=Table2[[#This Row],[PredictedWinner]], "Y", "N"))</f>
        <v>_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1" s="2"/>
      <c r="S311" s="2" t="str">
        <f t="shared" si="26"/>
        <v>_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0</v>
      </c>
      <c r="AG311" s="2">
        <f>Table2[[#This Row],[ActualHomeScore]]-Table2[[#This Row],[PredictedHomeScore]]</f>
        <v>0</v>
      </c>
      <c r="AH311" s="2">
        <f t="shared" si="27"/>
        <v>0</v>
      </c>
      <c r="AI311" s="2">
        <f t="shared" si="28"/>
        <v>0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0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1-0-0</v>
      </c>
      <c r="AP311" s="2" t="str">
        <f>INDEX(Sheet5!$B$2:$AG$33, MATCH(Table2[[#This Row],[HomeTeam]],Sheet5!$A$2:$A$33, 0), MATCH(Table2[[#This Row],[AwayTeam]],Sheet5!$A$2:$A$33, 0))</f>
        <v>0-1-0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1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/>
      <c r="B312" s="3">
        <v>45979</v>
      </c>
      <c r="C312" s="5">
        <v>2025020310</v>
      </c>
      <c r="D312" s="2" t="s">
        <v>32</v>
      </c>
      <c r="E312" s="2" t="s">
        <v>33</v>
      </c>
      <c r="F312" s="2"/>
      <c r="G312" s="2"/>
      <c r="H312" s="2" t="str">
        <f t="shared" si="24"/>
        <v>_</v>
      </c>
      <c r="I312" s="2"/>
      <c r="J312" s="2"/>
      <c r="K312" s="2"/>
      <c r="L312" s="2" t="str">
        <f t="shared" si="25"/>
        <v>_</v>
      </c>
      <c r="M312" s="2"/>
      <c r="N312" s="2">
        <f>IF(ISBLANK(Table2[[#This Row],[ActualResult]]), 0, 1)</f>
        <v>0</v>
      </c>
      <c r="O312" s="2" t="str">
        <f>IF(ISBLANK(Table2[[#This Row],[ActualResult]]), "_", IF(Table2[[#This Row],[ActualWinner]]=Table2[[#This Row],[PredictedWinner]], "Y", "N"))</f>
        <v>_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2" s="2"/>
      <c r="S312" s="2" t="str">
        <f t="shared" si="26"/>
        <v>_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0</v>
      </c>
      <c r="AG312" s="2">
        <f>Table2[[#This Row],[ActualHomeScore]]-Table2[[#This Row],[PredictedHomeScore]]</f>
        <v>0</v>
      </c>
      <c r="AH312" s="2">
        <f t="shared" si="27"/>
        <v>0</v>
      </c>
      <c r="AI312" s="2">
        <f t="shared" si="28"/>
        <v>0</v>
      </c>
      <c r="AJ312" s="2"/>
      <c r="AK312" s="2"/>
      <c r="AL312" s="2">
        <f>IF(Table2[[#This Row],[GameIsOver]]=0,0,IF(Table2[[#This Row],[ActualWinner]]=Table2[[#This Row],[AwayTeam]], 1, 0))</f>
        <v>0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0-0-0</v>
      </c>
      <c r="AP312" s="2" t="str">
        <f>INDEX(Sheet5!$B$2:$AG$33, MATCH(Table2[[#This Row],[HomeTeam]],Sheet5!$A$2:$A$33, 0), MATCH(Table2[[#This Row],[AwayTeam]],Sheet5!$A$2:$A$33, 0))</f>
        <v>0-0-0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1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/>
      <c r="B313" s="3">
        <v>45979</v>
      </c>
      <c r="C313" s="5">
        <v>2025020311</v>
      </c>
      <c r="D313" s="2" t="s">
        <v>35</v>
      </c>
      <c r="E313" s="2" t="s">
        <v>21</v>
      </c>
      <c r="F313" s="2"/>
      <c r="G313" s="2"/>
      <c r="H313" s="2" t="str">
        <f t="shared" si="24"/>
        <v>_</v>
      </c>
      <c r="I313" s="2"/>
      <c r="J313" s="2"/>
      <c r="K313" s="2"/>
      <c r="L313" s="2" t="str">
        <f t="shared" si="25"/>
        <v>_</v>
      </c>
      <c r="M313" s="2"/>
      <c r="N313" s="2">
        <f>IF(ISBLANK(Table2[[#This Row],[ActualResult]]), 0, 1)</f>
        <v>0</v>
      </c>
      <c r="O313" s="2" t="str">
        <f>IF(ISBLANK(Table2[[#This Row],[ActualResult]]), "_", IF(Table2[[#This Row],[ActualWinner]]=Table2[[#This Row],[PredictedWinner]], "Y", "N"))</f>
        <v>_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3" s="2"/>
      <c r="S313" s="2" t="str">
        <f t="shared" si="26"/>
        <v>_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0</v>
      </c>
      <c r="AG313" s="2">
        <f>Table2[[#This Row],[ActualHomeScore]]-Table2[[#This Row],[PredictedHomeScore]]</f>
        <v>0</v>
      </c>
      <c r="AH313" s="2">
        <f t="shared" si="27"/>
        <v>0</v>
      </c>
      <c r="AI313" s="2">
        <f t="shared" si="28"/>
        <v>0</v>
      </c>
      <c r="AJ313" s="2"/>
      <c r="AK313" s="2"/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0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0-0-0</v>
      </c>
      <c r="AP313" s="2" t="str">
        <f>INDEX(Sheet5!$B$2:$AG$33, MATCH(Table2[[#This Row],[HomeTeam]],Sheet5!$A$2:$A$33, 0), MATCH(Table2[[#This Row],[AwayTeam]],Sheet5!$A$2:$A$33, 0))</f>
        <v>0-0-0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1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/>
      <c r="B314" s="3">
        <v>45979</v>
      </c>
      <c r="C314" s="5">
        <v>2025020312</v>
      </c>
      <c r="D314" s="2" t="s">
        <v>23</v>
      </c>
      <c r="E314" s="2" t="s">
        <v>16</v>
      </c>
      <c r="F314" s="2"/>
      <c r="G314" s="2"/>
      <c r="H314" s="2" t="str">
        <f t="shared" si="24"/>
        <v>_</v>
      </c>
      <c r="I314" s="2"/>
      <c r="J314" s="2"/>
      <c r="K314" s="2"/>
      <c r="L314" s="2" t="str">
        <f t="shared" si="25"/>
        <v>_</v>
      </c>
      <c r="M314" s="2"/>
      <c r="N314" s="2">
        <f>IF(ISBLANK(Table2[[#This Row],[ActualResult]]), 0, 1)</f>
        <v>0</v>
      </c>
      <c r="O314" s="2" t="str">
        <f>IF(ISBLANK(Table2[[#This Row],[ActualResult]]), "_", IF(Table2[[#This Row],[ActualWinner]]=Table2[[#This Row],[PredictedWinner]], "Y", "N"))</f>
        <v>_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4" s="2"/>
      <c r="S314" s="2" t="str">
        <f t="shared" si="26"/>
        <v>_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0</v>
      </c>
      <c r="AG314" s="2">
        <f>Table2[[#This Row],[ActualHomeScore]]-Table2[[#This Row],[PredictedHomeScore]]</f>
        <v>0</v>
      </c>
      <c r="AH314" s="2">
        <f t="shared" si="27"/>
        <v>0</v>
      </c>
      <c r="AI314" s="2">
        <f t="shared" si="28"/>
        <v>0</v>
      </c>
      <c r="AJ314" s="2"/>
      <c r="AK314" s="2"/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0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0-1-0</v>
      </c>
      <c r="AP314" s="2" t="str">
        <f>INDEX(Sheet5!$B$2:$AG$33, MATCH(Table2[[#This Row],[HomeTeam]],Sheet5!$A$2:$A$33, 0), MATCH(Table2[[#This Row],[AwayTeam]],Sheet5!$A$2:$A$33, 0))</f>
        <v>1-0-0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1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/>
      <c r="B315" s="3">
        <v>45979</v>
      </c>
      <c r="C315" s="5">
        <v>2025020313</v>
      </c>
      <c r="D315" s="2" t="s">
        <v>19</v>
      </c>
      <c r="E315" s="2" t="s">
        <v>26</v>
      </c>
      <c r="F315" s="2"/>
      <c r="G315" s="2"/>
      <c r="H315" s="2" t="str">
        <f t="shared" si="24"/>
        <v>_</v>
      </c>
      <c r="I315" s="2"/>
      <c r="J315" s="2"/>
      <c r="K315" s="2"/>
      <c r="L315" s="2" t="str">
        <f t="shared" si="25"/>
        <v>_</v>
      </c>
      <c r="M315" s="2"/>
      <c r="N315" s="2">
        <f>IF(ISBLANK(Table2[[#This Row],[ActualResult]]), 0, 1)</f>
        <v>0</v>
      </c>
      <c r="O315" s="2" t="str">
        <f>IF(ISBLANK(Table2[[#This Row],[ActualResult]]), "_", IF(Table2[[#This Row],[ActualWinner]]=Table2[[#This Row],[PredictedWinner]], "Y", "N"))</f>
        <v>_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5" s="2"/>
      <c r="S315" s="2" t="str">
        <f t="shared" si="26"/>
        <v>_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0</v>
      </c>
      <c r="AG315" s="2">
        <f>Table2[[#This Row],[ActualHomeScore]]-Table2[[#This Row],[PredictedHomeScore]]</f>
        <v>0</v>
      </c>
      <c r="AH315" s="2">
        <f t="shared" si="27"/>
        <v>0</v>
      </c>
      <c r="AI315" s="2">
        <f t="shared" si="28"/>
        <v>0</v>
      </c>
      <c r="AJ315" s="2"/>
      <c r="AK315" s="2"/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0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0-0-0</v>
      </c>
      <c r="AP315" s="2" t="str">
        <f>INDEX(Sheet5!$B$2:$AG$33, MATCH(Table2[[#This Row],[HomeTeam]],Sheet5!$A$2:$A$33, 0), MATCH(Table2[[#This Row],[AwayTeam]],Sheet5!$A$2:$A$33, 0))</f>
        <v>0-0-0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1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/>
      <c r="B316" s="141">
        <v>45979</v>
      </c>
      <c r="C316" s="142">
        <v>2025020314</v>
      </c>
      <c r="D316" s="143" t="s">
        <v>14</v>
      </c>
      <c r="E316" s="143" t="s">
        <v>37</v>
      </c>
      <c r="F316" s="143"/>
      <c r="G316" s="143"/>
      <c r="H316" s="143" t="str">
        <f t="shared" si="24"/>
        <v>_</v>
      </c>
      <c r="I316" s="143"/>
      <c r="J316" s="143"/>
      <c r="K316" s="143"/>
      <c r="L316" s="143" t="str">
        <f t="shared" si="25"/>
        <v>_</v>
      </c>
      <c r="M316" s="143"/>
      <c r="N316" s="143">
        <f>IF(ISBLANK(Table2[[#This Row],[ActualResult]]), 0, 1)</f>
        <v>0</v>
      </c>
      <c r="O316" s="143" t="str">
        <f>IF(ISBLANK(Table2[[#This Row],[ActualResult]]), "_", IF(Table2[[#This Row],[ActualWinner]]=Table2[[#This Row],[PredictedWinner]], "Y", "N"))</f>
        <v>_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6" s="143"/>
      <c r="S316" s="143" t="str">
        <f t="shared" si="26"/>
        <v>_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0</v>
      </c>
      <c r="AH316" s="143">
        <f t="shared" si="27"/>
        <v>0</v>
      </c>
      <c r="AI316" s="143">
        <f t="shared" si="28"/>
        <v>0</v>
      </c>
      <c r="AJ316" s="143"/>
      <c r="AK316" s="143"/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0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1-0-0</v>
      </c>
      <c r="AP316" s="143" t="str">
        <f>INDEX(Sheet5!$B$2:$AG$33, MATCH(Table2[[#This Row],[HomeTeam]],Sheet5!$A$2:$A$33, 0), MATCH(Table2[[#This Row],[AwayTeam]],Sheet5!$A$2:$A$33, 0))</f>
        <v>0-1-0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1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/>
      <c r="B317" s="3">
        <v>45981</v>
      </c>
      <c r="C317" s="5">
        <v>2025020315</v>
      </c>
      <c r="D317" s="2" t="s">
        <v>22</v>
      </c>
      <c r="E317" s="2" t="s">
        <v>43</v>
      </c>
      <c r="F317" s="2"/>
      <c r="G317" s="2"/>
      <c r="H317" s="2" t="str">
        <f t="shared" si="24"/>
        <v>_</v>
      </c>
      <c r="I317" s="2"/>
      <c r="J317" s="2"/>
      <c r="K317" s="2"/>
      <c r="L317" s="2" t="str">
        <f t="shared" si="25"/>
        <v>_</v>
      </c>
      <c r="M317" s="2"/>
      <c r="N317" s="2">
        <f>IF(ISBLANK(Table2[[#This Row],[ActualResult]]), 0, 1)</f>
        <v>0</v>
      </c>
      <c r="O317" s="2" t="str">
        <f>IF(ISBLANK(Table2[[#This Row],[ActualResult]]), "_", IF(Table2[[#This Row],[ActualWinner]]=Table2[[#This Row],[PredictedWinner]], "Y", "N"))</f>
        <v>_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7" s="2"/>
      <c r="S317" s="2" t="str">
        <f t="shared" si="26"/>
        <v>_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7" s="2">
        <f>Table2[[#This Row],[ActualAwayScore]]-Table2[[#This Row],[PredictedAwayScore]]</f>
        <v>0</v>
      </c>
      <c r="AG317" s="2">
        <f>Table2[[#This Row],[ActualHomeScore]]-Table2[[#This Row],[PredictedHomeScore]]</f>
        <v>0</v>
      </c>
      <c r="AH317" s="2">
        <f t="shared" si="27"/>
        <v>0</v>
      </c>
      <c r="AI317" s="2">
        <f t="shared" si="28"/>
        <v>0</v>
      </c>
      <c r="AJ317" s="2"/>
      <c r="AK317" s="2"/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0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0-0-0</v>
      </c>
      <c r="AP317" s="2" t="str">
        <f>INDEX(Sheet5!$B$2:$AG$33, MATCH(Table2[[#This Row],[HomeTeam]],Sheet5!$A$2:$A$33, 0), MATCH(Table2[[#This Row],[AwayTeam]],Sheet5!$A$2:$A$33, 0))</f>
        <v>0-0-0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0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1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/>
      <c r="B318" s="3">
        <v>45981</v>
      </c>
      <c r="C318" s="5">
        <v>2025020316</v>
      </c>
      <c r="D318" s="2" t="s">
        <v>23</v>
      </c>
      <c r="E318" s="2" t="s">
        <v>28</v>
      </c>
      <c r="F318" s="2"/>
      <c r="G318" s="2"/>
      <c r="H318" s="2" t="str">
        <f t="shared" si="24"/>
        <v>_</v>
      </c>
      <c r="I318" s="2"/>
      <c r="J318" s="2"/>
      <c r="K318" s="2"/>
      <c r="L318" s="2" t="str">
        <f t="shared" si="25"/>
        <v>_</v>
      </c>
      <c r="M318" s="2"/>
      <c r="N318" s="2">
        <f>IF(ISBLANK(Table2[[#This Row],[ActualResult]]), 0, 1)</f>
        <v>0</v>
      </c>
      <c r="O318" s="2" t="str">
        <f>IF(ISBLANK(Table2[[#This Row],[ActualResult]]), "_", IF(Table2[[#This Row],[ActualWinner]]=Table2[[#This Row],[PredictedWinner]], "Y", "N"))</f>
        <v>_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8" s="2"/>
      <c r="S318" s="2" t="str">
        <f t="shared" si="26"/>
        <v>_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8" s="2">
        <f>Table2[[#This Row],[ActualAwayScore]]-Table2[[#This Row],[PredictedAwayScore]]</f>
        <v>0</v>
      </c>
      <c r="AG318" s="2">
        <f>Table2[[#This Row],[ActualHomeScore]]-Table2[[#This Row],[PredictedHomeScore]]</f>
        <v>0</v>
      </c>
      <c r="AH318" s="2">
        <f t="shared" si="27"/>
        <v>0</v>
      </c>
      <c r="AI318" s="2">
        <f t="shared" si="28"/>
        <v>0</v>
      </c>
      <c r="AJ318" s="2"/>
      <c r="AK318" s="2"/>
      <c r="AL318" s="2">
        <f>IF(Table2[[#This Row],[GameIsOver]]=0,0,IF(Table2[[#This Row],[ActualWinner]]=Table2[[#This Row],[AwayTeam]], 1, 0))</f>
        <v>0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0-0-0</v>
      </c>
      <c r="AP318" s="2" t="str">
        <f>INDEX(Sheet5!$B$2:$AG$33, MATCH(Table2[[#This Row],[HomeTeam]],Sheet5!$A$2:$A$33, 0), MATCH(Table2[[#This Row],[AwayTeam]],Sheet5!$A$2:$A$33, 0))</f>
        <v>0-0-0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1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/>
      <c r="B319" s="3">
        <v>45981</v>
      </c>
      <c r="C319" s="5">
        <v>2025020317</v>
      </c>
      <c r="D319" s="2" t="s">
        <v>41</v>
      </c>
      <c r="E319" s="2" t="s">
        <v>36</v>
      </c>
      <c r="F319" s="2"/>
      <c r="G319" s="2"/>
      <c r="H319" s="2" t="str">
        <f t="shared" si="24"/>
        <v>_</v>
      </c>
      <c r="I319" s="2"/>
      <c r="J319" s="2"/>
      <c r="K319" s="2"/>
      <c r="L319" s="2" t="str">
        <f t="shared" si="25"/>
        <v>_</v>
      </c>
      <c r="M319" s="2"/>
      <c r="N319" s="2">
        <f>IF(ISBLANK(Table2[[#This Row],[ActualResult]]), 0, 1)</f>
        <v>0</v>
      </c>
      <c r="O319" s="2" t="str">
        <f>IF(ISBLANK(Table2[[#This Row],[ActualResult]]), "_", IF(Table2[[#This Row],[ActualWinner]]=Table2[[#This Row],[PredictedWinner]], "Y", "N"))</f>
        <v>_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9" s="2"/>
      <c r="S319" s="2" t="str">
        <f t="shared" si="26"/>
        <v>_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9" s="2">
        <f>Table2[[#This Row],[ActualAwayScore]]-Table2[[#This Row],[PredictedAwayScore]]</f>
        <v>0</v>
      </c>
      <c r="AG319" s="2">
        <f>Table2[[#This Row],[ActualHomeScore]]-Table2[[#This Row],[PredictedHomeScore]]</f>
        <v>0</v>
      </c>
      <c r="AH319" s="2">
        <f t="shared" si="27"/>
        <v>0</v>
      </c>
      <c r="AI319" s="2">
        <f t="shared" si="28"/>
        <v>0</v>
      </c>
      <c r="AJ319" s="2"/>
      <c r="AK319" s="2"/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0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1-0-0</v>
      </c>
      <c r="AP319" s="2" t="str">
        <f>INDEX(Sheet5!$B$2:$AG$33, MATCH(Table2[[#This Row],[HomeTeam]],Sheet5!$A$2:$A$33, 0), MATCH(Table2[[#This Row],[AwayTeam]],Sheet5!$A$2:$A$33, 0))</f>
        <v>0-1-0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1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3"/>
      <c r="B320" s="3">
        <v>45981</v>
      </c>
      <c r="C320" s="5">
        <v>2025020318</v>
      </c>
      <c r="D320" s="2" t="s">
        <v>15</v>
      </c>
      <c r="E320" s="2" t="s">
        <v>44</v>
      </c>
      <c r="F320" s="2"/>
      <c r="G320" s="2"/>
      <c r="H320" s="2" t="str">
        <f t="shared" si="24"/>
        <v>_</v>
      </c>
      <c r="I320" s="2"/>
      <c r="J320" s="2"/>
      <c r="K320" s="2"/>
      <c r="L320" s="2" t="str">
        <f t="shared" si="25"/>
        <v>_</v>
      </c>
      <c r="M320" s="2"/>
      <c r="N320" s="2">
        <f>IF(ISBLANK(Table2[[#This Row],[ActualResult]]), 0, 1)</f>
        <v>0</v>
      </c>
      <c r="O320" s="2" t="str">
        <f>IF(ISBLANK(Table2[[#This Row],[ActualResult]]), "_", IF(Table2[[#This Row],[ActualWinner]]=Table2[[#This Row],[PredictedWinner]], "Y", "N"))</f>
        <v>_</v>
      </c>
      <c r="P3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0" s="2"/>
      <c r="S320" s="2" t="str">
        <f t="shared" si="26"/>
        <v>_</v>
      </c>
      <c r="T3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2">
        <f>IF(Table2[[#This Row],[InterConf]]=1,IF(Table2[[#This Row],[InterDiv]]=0, 1, 0), 0)</f>
        <v>0</v>
      </c>
      <c r="W3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2"/>
      <c r="Y320" s="2"/>
      <c r="Z320" s="145">
        <f>IF(AND(Table2[[#This Row],[GameIsOver]]=1,Table2[[#This Row],[ActualHomeScore]]*Table2[[#This Row],[ActualAwayScore]]=0), 1,0)</f>
        <v>0</v>
      </c>
      <c r="AA3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0" s="2">
        <f>Table2[[#This Row],[ActualAwayScore]]-Table2[[#This Row],[PredictedAwayScore]]</f>
        <v>0</v>
      </c>
      <c r="AG320" s="2">
        <f>Table2[[#This Row],[ActualHomeScore]]-Table2[[#This Row],[PredictedHomeScore]]</f>
        <v>0</v>
      </c>
      <c r="AH320" s="2">
        <f t="shared" si="27"/>
        <v>0</v>
      </c>
      <c r="AI320" s="2">
        <f t="shared" si="28"/>
        <v>0</v>
      </c>
      <c r="AJ320" s="2"/>
      <c r="AK320" s="2"/>
      <c r="AL320" s="2">
        <f>IF(Table2[[#This Row],[GameIsOver]]=0,0,IF(Table2[[#This Row],[ActualWinner]]=Table2[[#This Row],[AwayTeam]], 1, 0))</f>
        <v>0</v>
      </c>
      <c r="AM320" s="2">
        <f>IF(Table2[[#This Row],[GameIsOver]]=0,0,IF(Table2[[#This Row],[ActualWinner]]=Table2[[#This Row],[HomeTeam]], 1, 0))</f>
        <v>0</v>
      </c>
      <c r="AN3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2" t="str">
        <f>INDEX(Sheet5!$B$2:$AG$33, MATCH(Table2[[#This Row],[AwayTeam]],Sheet5!$A$2:$A$33, 0), MATCH(Table2[[#This Row],[HomeTeam]],Sheet5!$A$2:$A$33, 0))</f>
        <v>0-1-0</v>
      </c>
      <c r="AP320" s="2" t="str">
        <f>INDEX(Sheet5!$B$2:$AG$33, MATCH(Table2[[#This Row],[HomeTeam]],Sheet5!$A$2:$A$33, 0), MATCH(Table2[[#This Row],[AwayTeam]],Sheet5!$A$2:$A$33, 0))</f>
        <v>1-0-0</v>
      </c>
      <c r="AQ320" s="2">
        <f>IF(Table2[[#This Row],[GameHasShutOut]], 1, 0)</f>
        <v>0</v>
      </c>
      <c r="AR320" s="2">
        <f>IF(Table2[[#This Row],[ActualAwayScore]] + Table2[[#This Row],[ActualHomeScore]] &gt;= 10, 1, 0)</f>
        <v>0</v>
      </c>
      <c r="AS320" s="2">
        <f>IF(ABS(Table2[[#This Row],[ActualAwayScore]]-Table2[[#This Row],[ActualHomeScore]])&gt;=5, 1, 0)</f>
        <v>0</v>
      </c>
      <c r="AT320" s="2">
        <f>IF(Table2[[#This Row],[ActualAwayScore]] + Table2[[#This Row],[ActualHomeScore]] &lt;= 3, 1, 0)</f>
        <v>1</v>
      </c>
      <c r="AU3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/>
      <c r="B321" s="3">
        <v>45982</v>
      </c>
      <c r="C321" s="5">
        <v>2025020319</v>
      </c>
      <c r="D321" s="2" t="s">
        <v>35</v>
      </c>
      <c r="E321" s="2" t="s">
        <v>17</v>
      </c>
      <c r="F321" s="2"/>
      <c r="G321" s="2"/>
      <c r="H321" s="2" t="str">
        <f t="shared" si="24"/>
        <v>_</v>
      </c>
      <c r="I321" s="2"/>
      <c r="J321" s="2"/>
      <c r="K321" s="2"/>
      <c r="L321" s="2" t="str">
        <f t="shared" si="25"/>
        <v>_</v>
      </c>
      <c r="M321" s="2"/>
      <c r="N321" s="2">
        <f>IF(ISBLANK(Table2[[#This Row],[ActualResult]]), 0, 1)</f>
        <v>0</v>
      </c>
      <c r="O321" s="2" t="str">
        <f>IF(ISBLANK(Table2[[#This Row],[ActualResult]]), "_", IF(Table2[[#This Row],[ActualWinner]]=Table2[[#This Row],[PredictedWinner]], "Y", "N"))</f>
        <v>_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1" s="2"/>
      <c r="S321" s="2" t="str">
        <f t="shared" si="26"/>
        <v>_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0</v>
      </c>
      <c r="AH321" s="2">
        <f t="shared" si="27"/>
        <v>0</v>
      </c>
      <c r="AI321" s="2">
        <f t="shared" si="28"/>
        <v>0</v>
      </c>
      <c r="AJ321" s="2"/>
      <c r="AK321" s="2"/>
      <c r="AL321" s="2">
        <f>IF(Table2[[#This Row],[GameIsOver]]=0,0,IF(Table2[[#This Row],[ActualWinner]]=Table2[[#This Row],[AwayTeam]], 1, 0))</f>
        <v>0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1-0-0</v>
      </c>
      <c r="AP321" s="2" t="str">
        <f>INDEX(Sheet5!$B$2:$AG$33, MATCH(Table2[[#This Row],[HomeTeam]],Sheet5!$A$2:$A$33, 0), MATCH(Table2[[#This Row],[AwayTeam]],Sheet5!$A$2:$A$33, 0))</f>
        <v>0-1-0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1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/>
      <c r="B322" s="3">
        <v>45982</v>
      </c>
      <c r="C322" s="5">
        <v>2025020320</v>
      </c>
      <c r="D322" s="2" t="s">
        <v>43</v>
      </c>
      <c r="E322" s="2" t="s">
        <v>18</v>
      </c>
      <c r="F322" s="2"/>
      <c r="G322" s="2"/>
      <c r="H322" s="2" t="str">
        <f t="shared" si="24"/>
        <v>_</v>
      </c>
      <c r="I322" s="2"/>
      <c r="J322" s="2"/>
      <c r="K322" s="2"/>
      <c r="L322" s="2" t="str">
        <f t="shared" si="25"/>
        <v>_</v>
      </c>
      <c r="M322" s="2"/>
      <c r="N322" s="2">
        <f>IF(ISBLANK(Table2[[#This Row],[ActualResult]]), 0, 1)</f>
        <v>0</v>
      </c>
      <c r="O322" s="2" t="str">
        <f>IF(ISBLANK(Table2[[#This Row],[ActualResult]]), "_", IF(Table2[[#This Row],[ActualWinner]]=Table2[[#This Row],[PredictedWinner]], "Y", "N"))</f>
        <v>_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2" s="2"/>
      <c r="S322" s="2" t="str">
        <f t="shared" si="26"/>
        <v>_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2" s="2">
        <f>Table2[[#This Row],[ActualAwayScore]]-Table2[[#This Row],[PredictedAwayScore]]</f>
        <v>0</v>
      </c>
      <c r="AG322" s="2">
        <f>Table2[[#This Row],[ActualHomeScore]]-Table2[[#This Row],[PredictedHomeScore]]</f>
        <v>0</v>
      </c>
      <c r="AH322" s="2">
        <f t="shared" si="27"/>
        <v>0</v>
      </c>
      <c r="AI322" s="2">
        <f t="shared" si="28"/>
        <v>0</v>
      </c>
      <c r="AJ322" s="2"/>
      <c r="AK322" s="2"/>
      <c r="AL322" s="2">
        <f>IF(Table2[[#This Row],[GameIsOver]]=0,0,IF(Table2[[#This Row],[ActualWinner]]=Table2[[#This Row],[AwayTeam]], 1, 0))</f>
        <v>0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0-0-0</v>
      </c>
      <c r="AP322" s="2" t="str">
        <f>INDEX(Sheet5!$B$2:$AG$33, MATCH(Table2[[#This Row],[HomeTeam]],Sheet5!$A$2:$A$33, 0), MATCH(Table2[[#This Row],[AwayTeam]],Sheet5!$A$2:$A$33, 0))</f>
        <v>0-0-0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0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1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/>
      <c r="B323" s="3">
        <v>45982</v>
      </c>
      <c r="C323" s="5">
        <v>2025020321</v>
      </c>
      <c r="D323" s="2" t="s">
        <v>32</v>
      </c>
      <c r="E323" s="2" t="s">
        <v>30</v>
      </c>
      <c r="F323" s="2"/>
      <c r="G323" s="2"/>
      <c r="H323" s="2" t="str">
        <f t="shared" ref="H323:H386" si="29">IF(AND(ISBLANK($F323),ISBLANK($G323)),"_",IF($F323&gt;$G323,$D323,$E323))</f>
        <v>_</v>
      </c>
      <c r="I323" s="2"/>
      <c r="J323" s="2"/>
      <c r="K323" s="2"/>
      <c r="L323" s="2" t="str">
        <f t="shared" ref="L323:L386" si="30">IF(OR($J323=$K323,AND(ISBLANK($J323),ISBLANK($K323))),"_",IF($J323&gt;$K323,$D323,$E323))</f>
        <v>_</v>
      </c>
      <c r="M323" s="2"/>
      <c r="N323" s="2">
        <f>IF(ISBLANK(Table2[[#This Row],[ActualResult]]), 0, 1)</f>
        <v>0</v>
      </c>
      <c r="O323" s="2" t="str">
        <f>IF(ISBLANK(Table2[[#This Row],[ActualResult]]), "_", IF(Table2[[#This Row],[ActualWinner]]=Table2[[#This Row],[PredictedWinner]], "Y", "N"))</f>
        <v>_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3" s="2"/>
      <c r="S323" s="2" t="str">
        <f t="shared" ref="S323:S386" si="31">IF($L323="_", "_", IF($L323=$D323,$E323,$D323))</f>
        <v>_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0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3" s="2">
        <f>Table2[[#This Row],[ActualAwayScore]]-Table2[[#This Row],[PredictedAwayScore]]</f>
        <v>0</v>
      </c>
      <c r="AG323" s="2">
        <f>Table2[[#This Row],[ActualHomeScore]]-Table2[[#This Row],[PredictedHomeScore]]</f>
        <v>0</v>
      </c>
      <c r="AH323" s="2">
        <f t="shared" ref="AH323:AH386" si="32">SUMIF($B$3:$B$1315, $B323, $AF$3:$AF$1315)</f>
        <v>0</v>
      </c>
      <c r="AI323" s="2">
        <f t="shared" ref="AI323:AI386" si="33">SUMIF($B$3:$B$1315, $B323, $AG$3:$AG$1315)</f>
        <v>0</v>
      </c>
      <c r="AJ323" s="2"/>
      <c r="AK323" s="2"/>
      <c r="AL323" s="2">
        <f>IF(Table2[[#This Row],[GameIsOver]]=0,0,IF(Table2[[#This Row],[ActualWinner]]=Table2[[#This Row],[AwayTeam]], 1, 0))</f>
        <v>0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1-0-0</v>
      </c>
      <c r="AP323" s="2" t="str">
        <f>INDEX(Sheet5!$B$2:$AG$33, MATCH(Table2[[#This Row],[HomeTeam]],Sheet5!$A$2:$A$33, 0), MATCH(Table2[[#This Row],[AwayTeam]],Sheet5!$A$2:$A$33, 0))</f>
        <v>0-1-0</v>
      </c>
      <c r="AQ323" s="2">
        <f>IF(Table2[[#This Row],[GameHasShutOut]], 1, 0)</f>
        <v>0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0</v>
      </c>
      <c r="AT323" s="2">
        <f>IF(Table2[[#This Row],[ActualAwayScore]] + Table2[[#This Row],[ActualHomeScore]] &lt;= 3, 1, 0)</f>
        <v>1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/>
      <c r="B324" s="3">
        <v>45982</v>
      </c>
      <c r="C324" s="5">
        <v>2025020322</v>
      </c>
      <c r="D324" s="2" t="s">
        <v>22</v>
      </c>
      <c r="E324" s="2" t="s">
        <v>40</v>
      </c>
      <c r="F324" s="2"/>
      <c r="G324" s="2"/>
      <c r="H324" s="2" t="str">
        <f t="shared" si="29"/>
        <v>_</v>
      </c>
      <c r="I324" s="2"/>
      <c r="J324" s="2"/>
      <c r="K324" s="2"/>
      <c r="L324" s="2" t="str">
        <f t="shared" si="30"/>
        <v>_</v>
      </c>
      <c r="M324" s="2"/>
      <c r="N324" s="2">
        <f>IF(ISBLANK(Table2[[#This Row],[ActualResult]]), 0, 1)</f>
        <v>0</v>
      </c>
      <c r="O324" s="2" t="str">
        <f>IF(ISBLANK(Table2[[#This Row],[ActualResult]]), "_", IF(Table2[[#This Row],[ActualWinner]]=Table2[[#This Row],[PredictedWinner]], "Y", "N"))</f>
        <v>_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4" s="2"/>
      <c r="S324" s="2" t="str">
        <f t="shared" si="31"/>
        <v>_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4" s="2">
        <f>Table2[[#This Row],[ActualAwayScore]]-Table2[[#This Row],[PredictedAwayScore]]</f>
        <v>0</v>
      </c>
      <c r="AG324" s="2">
        <f>Table2[[#This Row],[ActualHomeScore]]-Table2[[#This Row],[PredictedHomeScore]]</f>
        <v>0</v>
      </c>
      <c r="AH324" s="2">
        <f t="shared" si="32"/>
        <v>0</v>
      </c>
      <c r="AI324" s="2">
        <f t="shared" si="33"/>
        <v>0</v>
      </c>
      <c r="AJ324" s="2"/>
      <c r="AK324" s="2"/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0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0-0-0</v>
      </c>
      <c r="AP324" s="2" t="str">
        <f>INDEX(Sheet5!$B$2:$AG$33, MATCH(Table2[[#This Row],[HomeTeam]],Sheet5!$A$2:$A$33, 0), MATCH(Table2[[#This Row],[AwayTeam]],Sheet5!$A$2:$A$33, 0))</f>
        <v>0-0-0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/>
      <c r="B325" s="3">
        <v>45982</v>
      </c>
      <c r="C325" s="5">
        <v>2025020323</v>
      </c>
      <c r="D325" s="2" t="s">
        <v>31</v>
      </c>
      <c r="E325" s="2" t="s">
        <v>13</v>
      </c>
      <c r="F325" s="2"/>
      <c r="G325" s="2"/>
      <c r="H325" s="2" t="str">
        <f t="shared" si="29"/>
        <v>_</v>
      </c>
      <c r="I325" s="2"/>
      <c r="J325" s="2"/>
      <c r="K325" s="2"/>
      <c r="L325" s="2" t="str">
        <f t="shared" si="30"/>
        <v>_</v>
      </c>
      <c r="M325" s="2"/>
      <c r="N325" s="2">
        <f>IF(ISBLANK(Table2[[#This Row],[ActualResult]]), 0, 1)</f>
        <v>0</v>
      </c>
      <c r="O325" s="2" t="str">
        <f>IF(ISBLANK(Table2[[#This Row],[ActualResult]]), "_", IF(Table2[[#This Row],[ActualWinner]]=Table2[[#This Row],[PredictedWinner]], "Y", "N"))</f>
        <v>_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5" s="2"/>
      <c r="S325" s="2" t="str">
        <f t="shared" si="31"/>
        <v>_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0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5" s="2">
        <f>Table2[[#This Row],[ActualAwayScore]]-Table2[[#This Row],[PredictedAwayScore]]</f>
        <v>0</v>
      </c>
      <c r="AG325" s="2">
        <f>Table2[[#This Row],[ActualHomeScore]]-Table2[[#This Row],[PredictedHomeScore]]</f>
        <v>0</v>
      </c>
      <c r="AH325" s="2">
        <f t="shared" si="32"/>
        <v>0</v>
      </c>
      <c r="AI325" s="2">
        <f t="shared" si="33"/>
        <v>0</v>
      </c>
      <c r="AJ325" s="2"/>
      <c r="AK325" s="2"/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0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1-0-0</v>
      </c>
      <c r="AP325" s="2" t="str">
        <f>INDEX(Sheet5!$B$2:$AG$33, MATCH(Table2[[#This Row],[HomeTeam]],Sheet5!$A$2:$A$33, 0), MATCH(Table2[[#This Row],[AwayTeam]],Sheet5!$A$2:$A$33, 0))</f>
        <v>0-1-0</v>
      </c>
      <c r="AQ325" s="2">
        <f>IF(Table2[[#This Row],[GameHasShutOut]], 1, 0)</f>
        <v>0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/>
      <c r="B326" s="3">
        <v>45982</v>
      </c>
      <c r="C326" s="5">
        <v>2025020324</v>
      </c>
      <c r="D326" s="2" t="s">
        <v>12</v>
      </c>
      <c r="E326" s="2" t="s">
        <v>42</v>
      </c>
      <c r="F326" s="2"/>
      <c r="G326" s="2"/>
      <c r="H326" s="2" t="str">
        <f t="shared" si="29"/>
        <v>_</v>
      </c>
      <c r="I326" s="2"/>
      <c r="J326" s="2"/>
      <c r="K326" s="2"/>
      <c r="L326" s="2" t="str">
        <f t="shared" si="30"/>
        <v>_</v>
      </c>
      <c r="M326" s="2"/>
      <c r="N326" s="2">
        <f>IF(ISBLANK(Table2[[#This Row],[ActualResult]]), 0, 1)</f>
        <v>0</v>
      </c>
      <c r="O326" s="2" t="str">
        <f>IF(ISBLANK(Table2[[#This Row],[ActualResult]]), "_", IF(Table2[[#This Row],[ActualWinner]]=Table2[[#This Row],[PredictedWinner]], "Y", "N"))</f>
        <v>_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6" s="2"/>
      <c r="S326" s="2" t="str">
        <f t="shared" si="31"/>
        <v>_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0</v>
      </c>
      <c r="AI326" s="2">
        <f t="shared" si="33"/>
        <v>0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0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0-0-0</v>
      </c>
      <c r="AP326" s="2" t="str">
        <f>INDEX(Sheet5!$B$2:$AG$33, MATCH(Table2[[#This Row],[HomeTeam]],Sheet5!$A$2:$A$33, 0), MATCH(Table2[[#This Row],[AwayTeam]],Sheet5!$A$2:$A$33, 0))</f>
        <v>0-0-0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1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/>
      <c r="B327" s="3">
        <v>45982</v>
      </c>
      <c r="C327" s="5">
        <v>2025020325</v>
      </c>
      <c r="D327" s="2" t="s">
        <v>11</v>
      </c>
      <c r="E327" s="2" t="s">
        <v>16</v>
      </c>
      <c r="F327" s="2"/>
      <c r="G327" s="2"/>
      <c r="H327" s="2" t="str">
        <f t="shared" si="29"/>
        <v>_</v>
      </c>
      <c r="I327" s="2"/>
      <c r="J327" s="2"/>
      <c r="K327" s="2"/>
      <c r="L327" s="2" t="str">
        <f t="shared" si="30"/>
        <v>_</v>
      </c>
      <c r="M327" s="2"/>
      <c r="N327" s="2">
        <f>IF(ISBLANK(Table2[[#This Row],[ActualResult]]), 0, 1)</f>
        <v>0</v>
      </c>
      <c r="O327" s="2" t="str">
        <f>IF(ISBLANK(Table2[[#This Row],[ActualResult]]), "_", IF(Table2[[#This Row],[ActualWinner]]=Table2[[#This Row],[PredictedWinner]], "Y", "N"))</f>
        <v>_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7" s="2"/>
      <c r="S327" s="2" t="str">
        <f t="shared" si="31"/>
        <v>_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7" s="2">
        <f>Table2[[#This Row],[ActualAwayScore]]-Table2[[#This Row],[PredictedAwayScore]]</f>
        <v>0</v>
      </c>
      <c r="AG327" s="2">
        <f>Table2[[#This Row],[ActualHomeScore]]-Table2[[#This Row],[PredictedHomeScore]]</f>
        <v>0</v>
      </c>
      <c r="AH327" s="2">
        <f t="shared" si="32"/>
        <v>0</v>
      </c>
      <c r="AI327" s="2">
        <f t="shared" si="33"/>
        <v>0</v>
      </c>
      <c r="AJ327" s="2"/>
      <c r="AK327" s="2"/>
      <c r="AL327" s="2">
        <f>IF(Table2[[#This Row],[GameIsOver]]=0,0,IF(Table2[[#This Row],[ActualWinner]]=Table2[[#This Row],[AwayTeam]], 1, 0))</f>
        <v>0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1-0-0</v>
      </c>
      <c r="AP327" s="2" t="str">
        <f>INDEX(Sheet5!$B$2:$AG$33, MATCH(Table2[[#This Row],[HomeTeam]],Sheet5!$A$2:$A$33, 0), MATCH(Table2[[#This Row],[AwayTeam]],Sheet5!$A$2:$A$33, 0))</f>
        <v>0-1-0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1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/>
      <c r="B328" s="3">
        <v>45982</v>
      </c>
      <c r="C328" s="5">
        <v>2025020326</v>
      </c>
      <c r="D328" s="2" t="s">
        <v>19</v>
      </c>
      <c r="E328" s="2" t="s">
        <v>25</v>
      </c>
      <c r="F328" s="2"/>
      <c r="G328" s="2"/>
      <c r="H328" s="2" t="str">
        <f t="shared" si="29"/>
        <v>_</v>
      </c>
      <c r="I328" s="2"/>
      <c r="J328" s="2"/>
      <c r="K328" s="2"/>
      <c r="L328" s="2" t="str">
        <f t="shared" si="30"/>
        <v>_</v>
      </c>
      <c r="M328" s="2"/>
      <c r="N328" s="2">
        <f>IF(ISBLANK(Table2[[#This Row],[ActualResult]]), 0, 1)</f>
        <v>0</v>
      </c>
      <c r="O328" s="2" t="str">
        <f>IF(ISBLANK(Table2[[#This Row],[ActualResult]]), "_", IF(Table2[[#This Row],[ActualWinner]]=Table2[[#This Row],[PredictedWinner]], "Y", "N"))</f>
        <v>_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8" s="2"/>
      <c r="S328" s="2" t="str">
        <f t="shared" si="31"/>
        <v>_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0</v>
      </c>
      <c r="AH328" s="2">
        <f t="shared" si="32"/>
        <v>0</v>
      </c>
      <c r="AI328" s="2">
        <f t="shared" si="33"/>
        <v>0</v>
      </c>
      <c r="AJ328" s="2"/>
      <c r="AK328" s="2"/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0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0-0-0</v>
      </c>
      <c r="AP328" s="2" t="str">
        <f>INDEX(Sheet5!$B$2:$AG$33, MATCH(Table2[[#This Row],[HomeTeam]],Sheet5!$A$2:$A$33, 0), MATCH(Table2[[#This Row],[AwayTeam]],Sheet5!$A$2:$A$33, 0))</f>
        <v>0-0-0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1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/>
      <c r="B329" s="3">
        <v>45982</v>
      </c>
      <c r="C329" s="5">
        <v>2025020327</v>
      </c>
      <c r="D329" s="2" t="s">
        <v>26</v>
      </c>
      <c r="E329" s="2" t="s">
        <v>14</v>
      </c>
      <c r="F329" s="2"/>
      <c r="G329" s="2"/>
      <c r="H329" s="2" t="str">
        <f t="shared" si="29"/>
        <v>_</v>
      </c>
      <c r="I329" s="2"/>
      <c r="J329" s="2"/>
      <c r="K329" s="2"/>
      <c r="L329" s="2" t="str">
        <f t="shared" si="30"/>
        <v>_</v>
      </c>
      <c r="M329" s="2"/>
      <c r="N329" s="2">
        <f>IF(ISBLANK(Table2[[#This Row],[ActualResult]]), 0, 1)</f>
        <v>0</v>
      </c>
      <c r="O329" s="2" t="str">
        <f>IF(ISBLANK(Table2[[#This Row],[ActualResult]]), "_", IF(Table2[[#This Row],[ActualWinner]]=Table2[[#This Row],[PredictedWinner]], "Y", "N"))</f>
        <v>_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9" s="2"/>
      <c r="S329" s="2" t="str">
        <f t="shared" si="31"/>
        <v>_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9" s="2">
        <f>Table2[[#This Row],[ActualAwayScore]]-Table2[[#This Row],[PredictedAwayScore]]</f>
        <v>0</v>
      </c>
      <c r="AG329" s="2">
        <f>Table2[[#This Row],[ActualHomeScore]]-Table2[[#This Row],[PredictedHomeScore]]</f>
        <v>0</v>
      </c>
      <c r="AH329" s="2">
        <f t="shared" si="32"/>
        <v>0</v>
      </c>
      <c r="AI329" s="2">
        <f t="shared" si="33"/>
        <v>0</v>
      </c>
      <c r="AJ329" s="2"/>
      <c r="AK329" s="2"/>
      <c r="AL329" s="2">
        <f>IF(Table2[[#This Row],[GameIsOver]]=0,0,IF(Table2[[#This Row],[ActualWinner]]=Table2[[#This Row],[AwayTeam]], 1, 0))</f>
        <v>0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0-0-0</v>
      </c>
      <c r="AP329" s="2" t="str">
        <f>INDEX(Sheet5!$B$2:$AG$33, MATCH(Table2[[#This Row],[HomeTeam]],Sheet5!$A$2:$A$33, 0), MATCH(Table2[[#This Row],[AwayTeam]],Sheet5!$A$2:$A$33, 0))</f>
        <v>0-0-0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1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/>
      <c r="B330" s="3">
        <v>45982</v>
      </c>
      <c r="C330" s="5">
        <v>2025020328</v>
      </c>
      <c r="D330" s="2" t="s">
        <v>33</v>
      </c>
      <c r="E330" s="2" t="s">
        <v>24</v>
      </c>
      <c r="F330" s="2"/>
      <c r="G330" s="2"/>
      <c r="H330" s="2" t="str">
        <f t="shared" si="29"/>
        <v>_</v>
      </c>
      <c r="I330" s="2"/>
      <c r="J330" s="2"/>
      <c r="K330" s="2"/>
      <c r="L330" s="2" t="str">
        <f t="shared" si="30"/>
        <v>_</v>
      </c>
      <c r="M330" s="2"/>
      <c r="N330" s="2">
        <f>IF(ISBLANK(Table2[[#This Row],[ActualResult]]), 0, 1)</f>
        <v>0</v>
      </c>
      <c r="O330" s="2" t="str">
        <f>IF(ISBLANK(Table2[[#This Row],[ActualResult]]), "_", IF(Table2[[#This Row],[ActualWinner]]=Table2[[#This Row],[PredictedWinner]], "Y", "N"))</f>
        <v>_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0" s="2"/>
      <c r="S330" s="2" t="str">
        <f t="shared" si="31"/>
        <v>_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0</v>
      </c>
      <c r="AH330" s="2">
        <f t="shared" si="32"/>
        <v>0</v>
      </c>
      <c r="AI330" s="2">
        <f t="shared" si="33"/>
        <v>0</v>
      </c>
      <c r="AJ330" s="2"/>
      <c r="AK330" s="2"/>
      <c r="AL330" s="2">
        <f>IF(Table2[[#This Row],[GameIsOver]]=0,0,IF(Table2[[#This Row],[ActualWinner]]=Table2[[#This Row],[AwayTeam]], 1, 0))</f>
        <v>0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0-1-0</v>
      </c>
      <c r="AP330" s="2" t="str">
        <f>INDEX(Sheet5!$B$2:$AG$33, MATCH(Table2[[#This Row],[HomeTeam]],Sheet5!$A$2:$A$33, 0), MATCH(Table2[[#This Row],[AwayTeam]],Sheet5!$A$2:$A$33, 0))</f>
        <v>1-0-0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1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/>
      <c r="B331" s="3">
        <v>45982</v>
      </c>
      <c r="C331" s="5">
        <v>2025020329</v>
      </c>
      <c r="D331" s="2" t="s">
        <v>29</v>
      </c>
      <c r="E331" s="2" t="s">
        <v>44</v>
      </c>
      <c r="F331" s="2"/>
      <c r="G331" s="2"/>
      <c r="H331" s="2" t="str">
        <f t="shared" si="29"/>
        <v>_</v>
      </c>
      <c r="I331" s="2"/>
      <c r="J331" s="2"/>
      <c r="K331" s="2"/>
      <c r="L331" s="2" t="str">
        <f t="shared" si="30"/>
        <v>_</v>
      </c>
      <c r="M331" s="2"/>
      <c r="N331" s="2">
        <f>IF(ISBLANK(Table2[[#This Row],[ActualResult]]), 0, 1)</f>
        <v>0</v>
      </c>
      <c r="O331" s="2" t="str">
        <f>IF(ISBLANK(Table2[[#This Row],[ActualResult]]), "_", IF(Table2[[#This Row],[ActualWinner]]=Table2[[#This Row],[PredictedWinner]], "Y", "N"))</f>
        <v>_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1" s="2"/>
      <c r="S331" s="2" t="str">
        <f t="shared" si="31"/>
        <v>_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1" s="2">
        <f>Table2[[#This Row],[ActualAwayScore]]-Table2[[#This Row],[PredictedAwayScore]]</f>
        <v>0</v>
      </c>
      <c r="AG331" s="2">
        <f>Table2[[#This Row],[ActualHomeScore]]-Table2[[#This Row],[PredictedHomeScore]]</f>
        <v>0</v>
      </c>
      <c r="AH331" s="2">
        <f t="shared" si="32"/>
        <v>0</v>
      </c>
      <c r="AI331" s="2">
        <f t="shared" si="33"/>
        <v>0</v>
      </c>
      <c r="AJ331" s="2"/>
      <c r="AK331" s="2"/>
      <c r="AL331" s="2">
        <f>IF(Table2[[#This Row],[GameIsOver]]=0,0,IF(Table2[[#This Row],[ActualWinner]]=Table2[[#This Row],[AwayTeam]], 1, 0))</f>
        <v>0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0-0-0</v>
      </c>
      <c r="AP331" s="2" t="str">
        <f>INDEX(Sheet5!$B$2:$AG$33, MATCH(Table2[[#This Row],[HomeTeam]],Sheet5!$A$2:$A$33, 0), MATCH(Table2[[#This Row],[AwayTeam]],Sheet5!$A$2:$A$33, 0))</f>
        <v>0-0-0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1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3"/>
      <c r="B332" s="3">
        <v>45982</v>
      </c>
      <c r="C332" s="5">
        <v>2025020330</v>
      </c>
      <c r="D332" s="2" t="s">
        <v>27</v>
      </c>
      <c r="E332" s="2" t="s">
        <v>37</v>
      </c>
      <c r="F332" s="2"/>
      <c r="G332" s="2"/>
      <c r="H332" s="2" t="str">
        <f t="shared" si="29"/>
        <v>_</v>
      </c>
      <c r="I332" s="2"/>
      <c r="J332" s="2"/>
      <c r="K332" s="2"/>
      <c r="L332" s="2" t="str">
        <f t="shared" si="30"/>
        <v>_</v>
      </c>
      <c r="M332" s="2"/>
      <c r="N332" s="2">
        <f>IF(ISBLANK(Table2[[#This Row],[ActualResult]]), 0, 1)</f>
        <v>0</v>
      </c>
      <c r="O332" s="2" t="str">
        <f>IF(ISBLANK(Table2[[#This Row],[ActualResult]]), "_", IF(Table2[[#This Row],[ActualWinner]]=Table2[[#This Row],[PredictedWinner]], "Y", "N"))</f>
        <v>_</v>
      </c>
      <c r="P3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2" s="2"/>
      <c r="S332" s="2" t="str">
        <f t="shared" si="31"/>
        <v>_</v>
      </c>
      <c r="T3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2">
        <f>IF(Table2[[#This Row],[InterConf]]=1,IF(Table2[[#This Row],[InterDiv]]=0, 1, 0), 0)</f>
        <v>0</v>
      </c>
      <c r="W3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2"/>
      <c r="Y332" s="2"/>
      <c r="Z332" s="145">
        <f>IF(AND(Table2[[#This Row],[GameIsOver]]=1,Table2[[#This Row],[ActualHomeScore]]*Table2[[#This Row],[ActualAwayScore]]=0), 1,0)</f>
        <v>0</v>
      </c>
      <c r="AA3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2" s="2">
        <f>Table2[[#This Row],[ActualAwayScore]]-Table2[[#This Row],[PredictedAwayScore]]</f>
        <v>0</v>
      </c>
      <c r="AG332" s="2">
        <f>Table2[[#This Row],[ActualHomeScore]]-Table2[[#This Row],[PredictedHomeScore]]</f>
        <v>0</v>
      </c>
      <c r="AH332" s="2">
        <f t="shared" si="32"/>
        <v>0</v>
      </c>
      <c r="AI332" s="2">
        <f t="shared" si="33"/>
        <v>0</v>
      </c>
      <c r="AJ332" s="2"/>
      <c r="AK332" s="2"/>
      <c r="AL332" s="2">
        <f>IF(Table2[[#This Row],[GameIsOver]]=0,0,IF(Table2[[#This Row],[ActualWinner]]=Table2[[#This Row],[AwayTeam]], 1, 0))</f>
        <v>0</v>
      </c>
      <c r="AM332" s="2">
        <f>IF(Table2[[#This Row],[GameIsOver]]=0,0,IF(Table2[[#This Row],[ActualWinner]]=Table2[[#This Row],[HomeTeam]], 1, 0))</f>
        <v>0</v>
      </c>
      <c r="AN3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2" t="str">
        <f>INDEX(Sheet5!$B$2:$AG$33, MATCH(Table2[[#This Row],[AwayTeam]],Sheet5!$A$2:$A$33, 0), MATCH(Table2[[#This Row],[HomeTeam]],Sheet5!$A$2:$A$33, 0))</f>
        <v>1-0-0</v>
      </c>
      <c r="AP332" s="2" t="str">
        <f>INDEX(Sheet5!$B$2:$AG$33, MATCH(Table2[[#This Row],[HomeTeam]],Sheet5!$A$2:$A$33, 0), MATCH(Table2[[#This Row],[AwayTeam]],Sheet5!$A$2:$A$33, 0))</f>
        <v>0-1-0</v>
      </c>
      <c r="AQ332" s="2">
        <f>IF(Table2[[#This Row],[GameHasShutOut]], 1, 0)</f>
        <v>0</v>
      </c>
      <c r="AR332" s="2">
        <f>IF(Table2[[#This Row],[ActualAwayScore]] + Table2[[#This Row],[ActualHomeScore]] &gt;= 10, 1, 0)</f>
        <v>0</v>
      </c>
      <c r="AS332" s="2">
        <f>IF(ABS(Table2[[#This Row],[ActualAwayScore]]-Table2[[#This Row],[ActualHomeScore]])&gt;=5, 1, 0)</f>
        <v>0</v>
      </c>
      <c r="AT332" s="2">
        <f>IF(Table2[[#This Row],[ActualAwayScore]] + Table2[[#This Row],[ActualHomeScore]] &lt;= 3, 1, 0)</f>
        <v>1</v>
      </c>
      <c r="AU3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/>
      <c r="B333" s="3">
        <v>45983</v>
      </c>
      <c r="C333" s="5">
        <v>2025020331</v>
      </c>
      <c r="D333" s="2" t="s">
        <v>16</v>
      </c>
      <c r="E333" s="2" t="s">
        <v>28</v>
      </c>
      <c r="F333" s="2"/>
      <c r="G333" s="2"/>
      <c r="H333" s="2" t="str">
        <f t="shared" si="29"/>
        <v>_</v>
      </c>
      <c r="I333" s="2"/>
      <c r="J333" s="2"/>
      <c r="K333" s="2"/>
      <c r="L333" s="2" t="str">
        <f t="shared" si="30"/>
        <v>_</v>
      </c>
      <c r="M333" s="2"/>
      <c r="N333" s="2">
        <f>IF(ISBLANK(Table2[[#This Row],[ActualResult]]), 0, 1)</f>
        <v>0</v>
      </c>
      <c r="O333" s="2" t="str">
        <f>IF(ISBLANK(Table2[[#This Row],[ActualResult]]), "_", IF(Table2[[#This Row],[ActualWinner]]=Table2[[#This Row],[PredictedWinner]], "Y", "N"))</f>
        <v>_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3" s="2"/>
      <c r="S333" s="2" t="str">
        <f t="shared" si="31"/>
        <v>_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3" s="2">
        <f>Table2[[#This Row],[ActualAwayScore]]-Table2[[#This Row],[PredictedAwayScore]]</f>
        <v>0</v>
      </c>
      <c r="AG333" s="2">
        <f>Table2[[#This Row],[ActualHomeScore]]-Table2[[#This Row],[PredictedHomeScore]]</f>
        <v>0</v>
      </c>
      <c r="AH333" s="2">
        <f t="shared" si="32"/>
        <v>0</v>
      </c>
      <c r="AI333" s="2">
        <f t="shared" si="33"/>
        <v>0</v>
      </c>
      <c r="AJ333" s="2"/>
      <c r="AK333" s="2"/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0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0-0-0</v>
      </c>
      <c r="AP333" s="2" t="str">
        <f>INDEX(Sheet5!$B$2:$AG$33, MATCH(Table2[[#This Row],[HomeTeam]],Sheet5!$A$2:$A$33, 0), MATCH(Table2[[#This Row],[AwayTeam]],Sheet5!$A$2:$A$33, 0))</f>
        <v>0-0-0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0</v>
      </c>
      <c r="AS333" s="2">
        <f>IF(ABS(Table2[[#This Row],[ActualAwayScore]]-Table2[[#This Row],[ActualHomeScore]])&gt;=5, 1, 0)</f>
        <v>0</v>
      </c>
      <c r="AT333" s="2">
        <f>IF(Table2[[#This Row],[ActualAwayScore]] + Table2[[#This Row],[ActualHomeScore]] &lt;= 3, 1, 0)</f>
        <v>1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/>
      <c r="B334" s="3">
        <v>45983</v>
      </c>
      <c r="C334" s="5">
        <v>2025020332</v>
      </c>
      <c r="D334" s="2" t="s">
        <v>36</v>
      </c>
      <c r="E334" s="2" t="s">
        <v>20</v>
      </c>
      <c r="F334" s="2"/>
      <c r="G334" s="2"/>
      <c r="H334" s="2" t="str">
        <f t="shared" si="29"/>
        <v>_</v>
      </c>
      <c r="I334" s="2"/>
      <c r="J334" s="2"/>
      <c r="K334" s="2"/>
      <c r="L334" s="2" t="str">
        <f t="shared" si="30"/>
        <v>_</v>
      </c>
      <c r="M334" s="2"/>
      <c r="N334" s="2">
        <f>IF(ISBLANK(Table2[[#This Row],[ActualResult]]), 0, 1)</f>
        <v>0</v>
      </c>
      <c r="O334" s="2" t="str">
        <f>IF(ISBLANK(Table2[[#This Row],[ActualResult]]), "_", IF(Table2[[#This Row],[ActualWinner]]=Table2[[#This Row],[PredictedWinner]], "Y", "N"))</f>
        <v>_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4" s="2"/>
      <c r="S334" s="2" t="str">
        <f t="shared" si="31"/>
        <v>_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0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4" s="2">
        <f>Table2[[#This Row],[ActualAwayScore]]-Table2[[#This Row],[PredictedAwayScore]]</f>
        <v>0</v>
      </c>
      <c r="AG334" s="2">
        <f>Table2[[#This Row],[ActualHomeScore]]-Table2[[#This Row],[PredictedHomeScore]]</f>
        <v>0</v>
      </c>
      <c r="AH334" s="2">
        <f t="shared" si="32"/>
        <v>0</v>
      </c>
      <c r="AI334" s="2">
        <f t="shared" si="33"/>
        <v>0</v>
      </c>
      <c r="AJ334" s="2"/>
      <c r="AK334" s="2"/>
      <c r="AL334" s="2">
        <f>IF(Table2[[#This Row],[GameIsOver]]=0,0,IF(Table2[[#This Row],[ActualWinner]]=Table2[[#This Row],[AwayTeam]], 1, 0))</f>
        <v>0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0-1-0</v>
      </c>
      <c r="AP334" s="2" t="str">
        <f>INDEX(Sheet5!$B$2:$AG$33, MATCH(Table2[[#This Row],[HomeTeam]],Sheet5!$A$2:$A$33, 0), MATCH(Table2[[#This Row],[AwayTeam]],Sheet5!$A$2:$A$33, 0))</f>
        <v>1-0-0</v>
      </c>
      <c r="AQ334" s="2">
        <f>IF(Table2[[#This Row],[GameHasShutOut]], 1, 0)</f>
        <v>0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0</v>
      </c>
      <c r="AT334" s="2">
        <f>IF(Table2[[#This Row],[ActualAwayScore]] + Table2[[#This Row],[ActualHomeScore]] &lt;= 3, 1, 0)</f>
        <v>1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/>
      <c r="B335" s="3">
        <v>45983</v>
      </c>
      <c r="C335" s="5">
        <v>2025020333</v>
      </c>
      <c r="D335" s="2" t="s">
        <v>41</v>
      </c>
      <c r="E335" s="2" t="s">
        <v>21</v>
      </c>
      <c r="F335" s="2"/>
      <c r="G335" s="2"/>
      <c r="H335" s="2" t="str">
        <f t="shared" si="29"/>
        <v>_</v>
      </c>
      <c r="I335" s="2"/>
      <c r="J335" s="2"/>
      <c r="K335" s="2"/>
      <c r="L335" s="2" t="str">
        <f t="shared" si="30"/>
        <v>_</v>
      </c>
      <c r="M335" s="2"/>
      <c r="N335" s="2">
        <f>IF(ISBLANK(Table2[[#This Row],[ActualResult]]), 0, 1)</f>
        <v>0</v>
      </c>
      <c r="O335" s="2" t="str">
        <f>IF(ISBLANK(Table2[[#This Row],[ActualResult]]), "_", IF(Table2[[#This Row],[ActualWinner]]=Table2[[#This Row],[PredictedWinner]], "Y", "N"))</f>
        <v>_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5" s="2"/>
      <c r="S335" s="2" t="str">
        <f t="shared" si="31"/>
        <v>_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5" s="2">
        <f>Table2[[#This Row],[ActualAwayScore]]-Table2[[#This Row],[PredictedAwayScore]]</f>
        <v>0</v>
      </c>
      <c r="AG335" s="2">
        <f>Table2[[#This Row],[ActualHomeScore]]-Table2[[#This Row],[PredictedHomeScore]]</f>
        <v>0</v>
      </c>
      <c r="AH335" s="2">
        <f t="shared" si="32"/>
        <v>0</v>
      </c>
      <c r="AI335" s="2">
        <f t="shared" si="33"/>
        <v>0</v>
      </c>
      <c r="AJ335" s="2"/>
      <c r="AK335" s="2"/>
      <c r="AL335" s="2">
        <f>IF(Table2[[#This Row],[GameIsOver]]=0,0,IF(Table2[[#This Row],[ActualWinner]]=Table2[[#This Row],[AwayTeam]], 1, 0))</f>
        <v>0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0-0-0</v>
      </c>
      <c r="AP335" s="2" t="str">
        <f>INDEX(Sheet5!$B$2:$AG$33, MATCH(Table2[[#This Row],[HomeTeam]],Sheet5!$A$2:$A$33, 0), MATCH(Table2[[#This Row],[AwayTeam]],Sheet5!$A$2:$A$33, 0))</f>
        <v>0-0-0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1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3"/>
      <c r="B336" s="3">
        <v>45983</v>
      </c>
      <c r="C336" s="5">
        <v>2025020334</v>
      </c>
      <c r="D336" s="2" t="s">
        <v>15</v>
      </c>
      <c r="E336" s="2" t="s">
        <v>27</v>
      </c>
      <c r="F336" s="2"/>
      <c r="G336" s="2"/>
      <c r="H336" s="2" t="str">
        <f t="shared" si="29"/>
        <v>_</v>
      </c>
      <c r="I336" s="2"/>
      <c r="J336" s="2"/>
      <c r="K336" s="2"/>
      <c r="L336" s="2" t="str">
        <f t="shared" si="30"/>
        <v>_</v>
      </c>
      <c r="M336" s="2"/>
      <c r="N336" s="2">
        <f>IF(ISBLANK(Table2[[#This Row],[ActualResult]]), 0, 1)</f>
        <v>0</v>
      </c>
      <c r="O336" s="2" t="str">
        <f>IF(ISBLANK(Table2[[#This Row],[ActualResult]]), "_", IF(Table2[[#This Row],[ActualWinner]]=Table2[[#This Row],[PredictedWinner]], "Y", "N"))</f>
        <v>_</v>
      </c>
      <c r="P3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6" s="2"/>
      <c r="S336" s="2" t="str">
        <f t="shared" si="31"/>
        <v>_</v>
      </c>
      <c r="T3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2">
        <f>IF(Table2[[#This Row],[InterConf]]=1,IF(Table2[[#This Row],[InterDiv]]=0, 1, 0), 0)</f>
        <v>0</v>
      </c>
      <c r="W3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2"/>
      <c r="Y336" s="2"/>
      <c r="Z336" s="145">
        <f>IF(AND(Table2[[#This Row],[GameIsOver]]=1,Table2[[#This Row],[ActualHomeScore]]*Table2[[#This Row],[ActualAwayScore]]=0), 1,0)</f>
        <v>0</v>
      </c>
      <c r="AA3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6" s="2">
        <f>Table2[[#This Row],[ActualAwayScore]]-Table2[[#This Row],[PredictedAwayScore]]</f>
        <v>0</v>
      </c>
      <c r="AG336" s="2">
        <f>Table2[[#This Row],[ActualHomeScore]]-Table2[[#This Row],[PredictedHomeScore]]</f>
        <v>0</v>
      </c>
      <c r="AH336" s="2">
        <f t="shared" si="32"/>
        <v>0</v>
      </c>
      <c r="AI336" s="2">
        <f t="shared" si="33"/>
        <v>0</v>
      </c>
      <c r="AJ336" s="2"/>
      <c r="AK336" s="2"/>
      <c r="AL336" s="2">
        <f>IF(Table2[[#This Row],[GameIsOver]]=0,0,IF(Table2[[#This Row],[ActualWinner]]=Table2[[#This Row],[AwayTeam]], 1, 0))</f>
        <v>0</v>
      </c>
      <c r="AM336" s="2">
        <f>IF(Table2[[#This Row],[GameIsOver]]=0,0,IF(Table2[[#This Row],[ActualWinner]]=Table2[[#This Row],[HomeTeam]], 1, 0))</f>
        <v>0</v>
      </c>
      <c r="AN3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2" t="str">
        <f>INDEX(Sheet5!$B$2:$AG$33, MATCH(Table2[[#This Row],[AwayTeam]],Sheet5!$A$2:$A$33, 0), MATCH(Table2[[#This Row],[HomeTeam]],Sheet5!$A$2:$A$33, 0))</f>
        <v>0-0-0</v>
      </c>
      <c r="AP336" s="2" t="str">
        <f>INDEX(Sheet5!$B$2:$AG$33, MATCH(Table2[[#This Row],[HomeTeam]],Sheet5!$A$2:$A$33, 0), MATCH(Table2[[#This Row],[AwayTeam]],Sheet5!$A$2:$A$33, 0))</f>
        <v>0-0-0</v>
      </c>
      <c r="AQ336" s="2">
        <f>IF(Table2[[#This Row],[GameHasShutOut]], 1, 0)</f>
        <v>0</v>
      </c>
      <c r="AR336" s="2">
        <f>IF(Table2[[#This Row],[ActualAwayScore]] + Table2[[#This Row],[ActualHomeScore]] &gt;= 10, 1, 0)</f>
        <v>0</v>
      </c>
      <c r="AS336" s="2">
        <f>IF(ABS(Table2[[#This Row],[ActualAwayScore]]-Table2[[#This Row],[ActualHomeScore]])&gt;=5, 1, 0)</f>
        <v>0</v>
      </c>
      <c r="AT336" s="2">
        <f>IF(Table2[[#This Row],[ActualAwayScore]] + Table2[[#This Row],[ActualHomeScore]] &lt;= 3, 1, 0)</f>
        <v>1</v>
      </c>
      <c r="AU3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/>
      <c r="B337" s="3">
        <v>45983</v>
      </c>
      <c r="C337" s="5">
        <v>2025020335</v>
      </c>
      <c r="D337" s="2" t="s">
        <v>35</v>
      </c>
      <c r="E337" s="2" t="s">
        <v>30</v>
      </c>
      <c r="F337" s="2"/>
      <c r="G337" s="2"/>
      <c r="H337" s="2" t="str">
        <f t="shared" si="29"/>
        <v>_</v>
      </c>
      <c r="I337" s="2"/>
      <c r="J337" s="2"/>
      <c r="K337" s="2"/>
      <c r="L337" s="2" t="str">
        <f t="shared" si="30"/>
        <v>_</v>
      </c>
      <c r="M337" s="2"/>
      <c r="N337" s="2">
        <f>IF(ISBLANK(Table2[[#This Row],[ActualResult]]), 0, 1)</f>
        <v>0</v>
      </c>
      <c r="O337" s="2" t="str">
        <f>IF(ISBLANK(Table2[[#This Row],[ActualResult]]), "_", IF(Table2[[#This Row],[ActualWinner]]=Table2[[#This Row],[PredictedWinner]], "Y", "N"))</f>
        <v>_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7" s="2"/>
      <c r="S337" s="2" t="str">
        <f t="shared" si="31"/>
        <v>_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0</v>
      </c>
      <c r="AG337" s="2">
        <f>Table2[[#This Row],[ActualHomeScore]]-Table2[[#This Row],[PredictedHomeScore]]</f>
        <v>0</v>
      </c>
      <c r="AH337" s="2">
        <f t="shared" si="32"/>
        <v>0</v>
      </c>
      <c r="AI337" s="2">
        <f t="shared" si="33"/>
        <v>0</v>
      </c>
      <c r="AJ337" s="2"/>
      <c r="AK337" s="2"/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0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0-0-0</v>
      </c>
      <c r="AP337" s="2" t="str">
        <f>INDEX(Sheet5!$B$2:$AG$33, MATCH(Table2[[#This Row],[HomeTeam]],Sheet5!$A$2:$A$33, 0), MATCH(Table2[[#This Row],[AwayTeam]],Sheet5!$A$2:$A$33, 0))</f>
        <v>0-0-0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1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/>
      <c r="B338" s="3">
        <v>45983</v>
      </c>
      <c r="C338" s="5">
        <v>2025020336</v>
      </c>
      <c r="D338" s="2" t="s">
        <v>12</v>
      </c>
      <c r="E338" s="2" t="s">
        <v>32</v>
      </c>
      <c r="F338" s="2"/>
      <c r="G338" s="2"/>
      <c r="H338" s="2" t="str">
        <f t="shared" si="29"/>
        <v>_</v>
      </c>
      <c r="I338" s="2"/>
      <c r="J338" s="2"/>
      <c r="K338" s="2"/>
      <c r="L338" s="2" t="str">
        <f t="shared" si="30"/>
        <v>_</v>
      </c>
      <c r="M338" s="2"/>
      <c r="N338" s="2">
        <f>IF(ISBLANK(Table2[[#This Row],[ActualResult]]), 0, 1)</f>
        <v>0</v>
      </c>
      <c r="O338" s="2" t="str">
        <f>IF(ISBLANK(Table2[[#This Row],[ActualResult]]), "_", IF(Table2[[#This Row],[ActualWinner]]=Table2[[#This Row],[PredictedWinner]], "Y", "N"))</f>
        <v>_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8" s="2"/>
      <c r="S338" s="2" t="str">
        <f t="shared" si="31"/>
        <v>_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0</v>
      </c>
      <c r="AH338" s="2">
        <f t="shared" si="32"/>
        <v>0</v>
      </c>
      <c r="AI338" s="2">
        <f t="shared" si="33"/>
        <v>0</v>
      </c>
      <c r="AJ338" s="2"/>
      <c r="AK338" s="2"/>
      <c r="AL338" s="2">
        <f>IF(Table2[[#This Row],[GameIsOver]]=0,0,IF(Table2[[#This Row],[ActualWinner]]=Table2[[#This Row],[AwayTeam]], 1, 0))</f>
        <v>0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0-0-0</v>
      </c>
      <c r="AP338" s="2" t="str">
        <f>INDEX(Sheet5!$B$2:$AG$33, MATCH(Table2[[#This Row],[HomeTeam]],Sheet5!$A$2:$A$33, 0), MATCH(Table2[[#This Row],[AwayTeam]],Sheet5!$A$2:$A$33, 0))</f>
        <v>0-0-0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/>
      <c r="B339" s="3">
        <v>45984</v>
      </c>
      <c r="C339" s="5">
        <v>2025020337</v>
      </c>
      <c r="D339" s="2" t="s">
        <v>17</v>
      </c>
      <c r="E339" s="2" t="s">
        <v>18</v>
      </c>
      <c r="F339" s="2"/>
      <c r="G339" s="2"/>
      <c r="H339" s="2" t="str">
        <f t="shared" si="29"/>
        <v>_</v>
      </c>
      <c r="I339" s="2"/>
      <c r="J339" s="2"/>
      <c r="K339" s="2"/>
      <c r="L339" s="2" t="str">
        <f t="shared" si="30"/>
        <v>_</v>
      </c>
      <c r="M339" s="2"/>
      <c r="N339" s="2">
        <f>IF(ISBLANK(Table2[[#This Row],[ActualResult]]), 0, 1)</f>
        <v>0</v>
      </c>
      <c r="O339" s="2" t="str">
        <f>IF(ISBLANK(Table2[[#This Row],[ActualResult]]), "_", IF(Table2[[#This Row],[ActualWinner]]=Table2[[#This Row],[PredictedWinner]], "Y", "N"))</f>
        <v>_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9" s="2"/>
      <c r="S339" s="2" t="str">
        <f t="shared" si="31"/>
        <v>_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39" s="2">
        <f>Table2[[#This Row],[ActualAwayScore]]-Table2[[#This Row],[PredictedAwayScore]]</f>
        <v>0</v>
      </c>
      <c r="AG339" s="2">
        <f>Table2[[#This Row],[ActualHomeScore]]-Table2[[#This Row],[PredictedHomeScore]]</f>
        <v>0</v>
      </c>
      <c r="AH339" s="2">
        <f t="shared" si="32"/>
        <v>0</v>
      </c>
      <c r="AI339" s="2">
        <f t="shared" si="33"/>
        <v>0</v>
      </c>
      <c r="AJ339" s="2"/>
      <c r="AK339" s="2"/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0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1-0-0</v>
      </c>
      <c r="AP339" s="2" t="str">
        <f>INDEX(Sheet5!$B$2:$AG$33, MATCH(Table2[[#This Row],[HomeTeam]],Sheet5!$A$2:$A$33, 0), MATCH(Table2[[#This Row],[AwayTeam]],Sheet5!$A$2:$A$33, 0))</f>
        <v>0-1-0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1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/>
      <c r="B340" s="3">
        <v>45984</v>
      </c>
      <c r="C340" s="5">
        <v>2025020338</v>
      </c>
      <c r="D340" s="2" t="s">
        <v>22</v>
      </c>
      <c r="E340" s="2" t="s">
        <v>13</v>
      </c>
      <c r="F340" s="2"/>
      <c r="G340" s="2"/>
      <c r="H340" s="2" t="str">
        <f t="shared" si="29"/>
        <v>_</v>
      </c>
      <c r="I340" s="2"/>
      <c r="J340" s="2"/>
      <c r="K340" s="2"/>
      <c r="L340" s="2" t="str">
        <f t="shared" si="30"/>
        <v>_</v>
      </c>
      <c r="M340" s="2"/>
      <c r="N340" s="2">
        <f>IF(ISBLANK(Table2[[#This Row],[ActualResult]]), 0, 1)</f>
        <v>0</v>
      </c>
      <c r="O340" s="2" t="str">
        <f>IF(ISBLANK(Table2[[#This Row],[ActualResult]]), "_", IF(Table2[[#This Row],[ActualWinner]]=Table2[[#This Row],[PredictedWinner]], "Y", "N"))</f>
        <v>_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0" s="2"/>
      <c r="S340" s="2" t="str">
        <f t="shared" si="31"/>
        <v>_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0" s="2">
        <f>Table2[[#This Row],[ActualAwayScore]]-Table2[[#This Row],[PredictedAwayScore]]</f>
        <v>0</v>
      </c>
      <c r="AG340" s="2">
        <f>Table2[[#This Row],[ActualHomeScore]]-Table2[[#This Row],[PredictedHomeScore]]</f>
        <v>0</v>
      </c>
      <c r="AH340" s="2">
        <f t="shared" si="32"/>
        <v>0</v>
      </c>
      <c r="AI340" s="2">
        <f t="shared" si="33"/>
        <v>0</v>
      </c>
      <c r="AJ340" s="2"/>
      <c r="AK340" s="2"/>
      <c r="AL340" s="2">
        <f>IF(Table2[[#This Row],[GameIsOver]]=0,0,IF(Table2[[#This Row],[ActualWinner]]=Table2[[#This Row],[AwayTeam]], 1, 0))</f>
        <v>0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0-0-0</v>
      </c>
      <c r="AP340" s="2" t="str">
        <f>INDEX(Sheet5!$B$2:$AG$33, MATCH(Table2[[#This Row],[HomeTeam]],Sheet5!$A$2:$A$33, 0), MATCH(Table2[[#This Row],[AwayTeam]],Sheet5!$A$2:$A$33, 0))</f>
        <v>0-0-0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1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/>
      <c r="B341" s="3">
        <v>45984</v>
      </c>
      <c r="C341" s="5">
        <v>2025020339</v>
      </c>
      <c r="D341" s="2" t="s">
        <v>31</v>
      </c>
      <c r="E341" s="2" t="s">
        <v>42</v>
      </c>
      <c r="F341" s="2"/>
      <c r="G341" s="2"/>
      <c r="H341" s="2" t="str">
        <f t="shared" si="29"/>
        <v>_</v>
      </c>
      <c r="I341" s="2"/>
      <c r="J341" s="2"/>
      <c r="K341" s="2"/>
      <c r="L341" s="2" t="str">
        <f t="shared" si="30"/>
        <v>_</v>
      </c>
      <c r="M341" s="2"/>
      <c r="N341" s="2">
        <f>IF(ISBLANK(Table2[[#This Row],[ActualResult]]), 0, 1)</f>
        <v>0</v>
      </c>
      <c r="O341" s="2" t="str">
        <f>IF(ISBLANK(Table2[[#This Row],[ActualResult]]), "_", IF(Table2[[#This Row],[ActualWinner]]=Table2[[#This Row],[PredictedWinner]], "Y", "N"))</f>
        <v>_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1" s="2"/>
      <c r="S341" s="2" t="str">
        <f t="shared" si="31"/>
        <v>_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1" s="2">
        <f>Table2[[#This Row],[ActualAwayScore]]-Table2[[#This Row],[PredictedAwayScore]]</f>
        <v>0</v>
      </c>
      <c r="AG341" s="2">
        <f>Table2[[#This Row],[ActualHomeScore]]-Table2[[#This Row],[PredictedHomeScore]]</f>
        <v>0</v>
      </c>
      <c r="AH341" s="2">
        <f t="shared" si="32"/>
        <v>0</v>
      </c>
      <c r="AI341" s="2">
        <f t="shared" si="33"/>
        <v>0</v>
      </c>
      <c r="AJ341" s="2"/>
      <c r="AK341" s="2"/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0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0-0-0</v>
      </c>
      <c r="AP341" s="2" t="str">
        <f>INDEX(Sheet5!$B$2:$AG$33, MATCH(Table2[[#This Row],[HomeTeam]],Sheet5!$A$2:$A$33, 0), MATCH(Table2[[#This Row],[AwayTeam]],Sheet5!$A$2:$A$33, 0))</f>
        <v>0-0-0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1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/>
      <c r="B342" s="3">
        <v>45984</v>
      </c>
      <c r="C342" s="5">
        <v>2025020340</v>
      </c>
      <c r="D342" s="2" t="s">
        <v>11</v>
      </c>
      <c r="E342" s="2" t="s">
        <v>20</v>
      </c>
      <c r="F342" s="2"/>
      <c r="G342" s="2"/>
      <c r="H342" s="2" t="str">
        <f t="shared" si="29"/>
        <v>_</v>
      </c>
      <c r="I342" s="2"/>
      <c r="J342" s="2"/>
      <c r="K342" s="2"/>
      <c r="L342" s="2" t="str">
        <f t="shared" si="30"/>
        <v>_</v>
      </c>
      <c r="M342" s="2"/>
      <c r="N342" s="2">
        <f>IF(ISBLANK(Table2[[#This Row],[ActualResult]]), 0, 1)</f>
        <v>0</v>
      </c>
      <c r="O342" s="2" t="str">
        <f>IF(ISBLANK(Table2[[#This Row],[ActualResult]]), "_", IF(Table2[[#This Row],[ActualWinner]]=Table2[[#This Row],[PredictedWinner]], "Y", "N"))</f>
        <v>_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2" s="2"/>
      <c r="S342" s="2" t="str">
        <f t="shared" si="31"/>
        <v>_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2" s="2">
        <f>Table2[[#This Row],[ActualAwayScore]]-Table2[[#This Row],[PredictedAwayScore]]</f>
        <v>0</v>
      </c>
      <c r="AG342" s="2">
        <f>Table2[[#This Row],[ActualHomeScore]]-Table2[[#This Row],[PredictedHomeScore]]</f>
        <v>0</v>
      </c>
      <c r="AH342" s="2">
        <f t="shared" si="32"/>
        <v>0</v>
      </c>
      <c r="AI342" s="2">
        <f t="shared" si="33"/>
        <v>0</v>
      </c>
      <c r="AJ342" s="2"/>
      <c r="AK342" s="2"/>
      <c r="AL342" s="2">
        <f>IF(Table2[[#This Row],[GameIsOver]]=0,0,IF(Table2[[#This Row],[ActualWinner]]=Table2[[#This Row],[AwayTeam]], 1, 0))</f>
        <v>0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0-0-0</v>
      </c>
      <c r="AP342" s="2" t="str">
        <f>INDEX(Sheet5!$B$2:$AG$33, MATCH(Table2[[#This Row],[HomeTeam]],Sheet5!$A$2:$A$33, 0), MATCH(Table2[[#This Row],[AwayTeam]],Sheet5!$A$2:$A$33, 0))</f>
        <v>0-0-0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1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/>
      <c r="B343" s="3">
        <v>45984</v>
      </c>
      <c r="C343" s="5">
        <v>2025020341</v>
      </c>
      <c r="D343" s="2" t="s">
        <v>40</v>
      </c>
      <c r="E343" s="2" t="s">
        <v>43</v>
      </c>
      <c r="F343" s="2"/>
      <c r="G343" s="2"/>
      <c r="H343" s="2" t="str">
        <f t="shared" si="29"/>
        <v>_</v>
      </c>
      <c r="I343" s="2"/>
      <c r="J343" s="2"/>
      <c r="K343" s="2"/>
      <c r="L343" s="2" t="str">
        <f t="shared" si="30"/>
        <v>_</v>
      </c>
      <c r="M343" s="2"/>
      <c r="N343" s="2">
        <f>IF(ISBLANK(Table2[[#This Row],[ActualResult]]), 0, 1)</f>
        <v>0</v>
      </c>
      <c r="O343" s="2" t="str">
        <f>IF(ISBLANK(Table2[[#This Row],[ActualResult]]), "_", IF(Table2[[#This Row],[ActualWinner]]=Table2[[#This Row],[PredictedWinner]], "Y", "N"))</f>
        <v>_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3" s="2"/>
      <c r="S343" s="2" t="str">
        <f t="shared" si="31"/>
        <v>_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3" s="2">
        <f>Table2[[#This Row],[ActualAwayScore]]-Table2[[#This Row],[PredictedAwayScore]]</f>
        <v>0</v>
      </c>
      <c r="AG343" s="2">
        <f>Table2[[#This Row],[ActualHomeScore]]-Table2[[#This Row],[PredictedHomeScore]]</f>
        <v>0</v>
      </c>
      <c r="AH343" s="2">
        <f t="shared" si="32"/>
        <v>0</v>
      </c>
      <c r="AI343" s="2">
        <f t="shared" si="33"/>
        <v>0</v>
      </c>
      <c r="AJ343" s="2"/>
      <c r="AK343" s="2"/>
      <c r="AL343" s="2">
        <f>IF(Table2[[#This Row],[GameIsOver]]=0,0,IF(Table2[[#This Row],[ActualWinner]]=Table2[[#This Row],[AwayTeam]], 1, 0))</f>
        <v>0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1-0-1</v>
      </c>
      <c r="AP343" s="2" t="str">
        <f>INDEX(Sheet5!$B$2:$AG$33, MATCH(Table2[[#This Row],[HomeTeam]],Sheet5!$A$2:$A$33, 0), MATCH(Table2[[#This Row],[AwayTeam]],Sheet5!$A$2:$A$33, 0))</f>
        <v>1-1-0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1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/>
      <c r="B344" s="3">
        <v>45984</v>
      </c>
      <c r="C344" s="5">
        <v>2025020342</v>
      </c>
      <c r="D344" s="2" t="s">
        <v>29</v>
      </c>
      <c r="E344" s="2" t="s">
        <v>37</v>
      </c>
      <c r="F344" s="2"/>
      <c r="G344" s="2"/>
      <c r="H344" s="2" t="str">
        <f t="shared" si="29"/>
        <v>_</v>
      </c>
      <c r="I344" s="2"/>
      <c r="J344" s="2"/>
      <c r="K344" s="2"/>
      <c r="L344" s="2" t="str">
        <f t="shared" si="30"/>
        <v>_</v>
      </c>
      <c r="M344" s="2"/>
      <c r="N344" s="2">
        <f>IF(ISBLANK(Table2[[#This Row],[ActualResult]]), 0, 1)</f>
        <v>0</v>
      </c>
      <c r="O344" s="2" t="str">
        <f>IF(ISBLANK(Table2[[#This Row],[ActualResult]]), "_", IF(Table2[[#This Row],[ActualWinner]]=Table2[[#This Row],[PredictedWinner]], "Y", "N"))</f>
        <v>_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4" s="2"/>
      <c r="S344" s="2" t="str">
        <f t="shared" si="31"/>
        <v>_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4" s="2">
        <f>Table2[[#This Row],[ActualAwayScore]]-Table2[[#This Row],[PredictedAwayScore]]</f>
        <v>0</v>
      </c>
      <c r="AG344" s="2">
        <f>Table2[[#This Row],[ActualHomeScore]]-Table2[[#This Row],[PredictedHomeScore]]</f>
        <v>0</v>
      </c>
      <c r="AH344" s="2">
        <f t="shared" si="32"/>
        <v>0</v>
      </c>
      <c r="AI344" s="2">
        <f t="shared" si="33"/>
        <v>0</v>
      </c>
      <c r="AJ344" s="2"/>
      <c r="AK344" s="2"/>
      <c r="AL344" s="2">
        <f>IF(Table2[[#This Row],[GameIsOver]]=0,0,IF(Table2[[#This Row],[ActualWinner]]=Table2[[#This Row],[AwayTeam]], 1, 0))</f>
        <v>0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0-0-0</v>
      </c>
      <c r="AP344" s="2" t="str">
        <f>INDEX(Sheet5!$B$2:$AG$33, MATCH(Table2[[#This Row],[HomeTeam]],Sheet5!$A$2:$A$33, 0), MATCH(Table2[[#This Row],[AwayTeam]],Sheet5!$A$2:$A$33, 0))</f>
        <v>0-0-0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1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/>
      <c r="B345" s="3">
        <v>45984</v>
      </c>
      <c r="C345" s="5">
        <v>2025020343</v>
      </c>
      <c r="D345" s="2" t="s">
        <v>25</v>
      </c>
      <c r="E345" s="2" t="s">
        <v>34</v>
      </c>
      <c r="F345" s="2"/>
      <c r="G345" s="2"/>
      <c r="H345" s="2" t="str">
        <f t="shared" si="29"/>
        <v>_</v>
      </c>
      <c r="I345" s="2"/>
      <c r="J345" s="2"/>
      <c r="K345" s="2"/>
      <c r="L345" s="2" t="str">
        <f t="shared" si="30"/>
        <v>_</v>
      </c>
      <c r="M345" s="2"/>
      <c r="N345" s="2">
        <f>IF(ISBLANK(Table2[[#This Row],[ActualResult]]), 0, 1)</f>
        <v>0</v>
      </c>
      <c r="O345" s="2" t="str">
        <f>IF(ISBLANK(Table2[[#This Row],[ActualResult]]), "_", IF(Table2[[#This Row],[ActualWinner]]=Table2[[#This Row],[PredictedWinner]], "Y", "N"))</f>
        <v>_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5" s="2"/>
      <c r="S345" s="2" t="str">
        <f t="shared" si="31"/>
        <v>_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0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5" s="2">
        <f>Table2[[#This Row],[ActualAwayScore]]-Table2[[#This Row],[PredictedAwayScore]]</f>
        <v>0</v>
      </c>
      <c r="AG345" s="2">
        <f>Table2[[#This Row],[ActualHomeScore]]-Table2[[#This Row],[PredictedHomeScore]]</f>
        <v>0</v>
      </c>
      <c r="AH345" s="2">
        <f t="shared" si="32"/>
        <v>0</v>
      </c>
      <c r="AI345" s="2">
        <f t="shared" si="33"/>
        <v>0</v>
      </c>
      <c r="AJ345" s="2"/>
      <c r="AK345" s="2"/>
      <c r="AL345" s="2">
        <f>IF(Table2[[#This Row],[GameIsOver]]=0,0,IF(Table2[[#This Row],[ActualWinner]]=Table2[[#This Row],[AwayTeam]], 1, 0))</f>
        <v>0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0-0-0</v>
      </c>
      <c r="AP345" s="2" t="str">
        <f>INDEX(Sheet5!$B$2:$AG$33, MATCH(Table2[[#This Row],[HomeTeam]],Sheet5!$A$2:$A$33, 0), MATCH(Table2[[#This Row],[AwayTeam]],Sheet5!$A$2:$A$33, 0))</f>
        <v>0-0-0</v>
      </c>
      <c r="AQ345" s="2">
        <f>IF(Table2[[#This Row],[GameHasShutOut]], 1, 0)</f>
        <v>0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/>
      <c r="B346" s="3">
        <v>45984</v>
      </c>
      <c r="C346" s="5">
        <v>2025020344</v>
      </c>
      <c r="D346" s="2" t="s">
        <v>19</v>
      </c>
      <c r="E346" s="2" t="s">
        <v>14</v>
      </c>
      <c r="F346" s="2"/>
      <c r="G346" s="2"/>
      <c r="H346" s="2" t="str">
        <f t="shared" si="29"/>
        <v>_</v>
      </c>
      <c r="I346" s="2"/>
      <c r="J346" s="2"/>
      <c r="K346" s="2"/>
      <c r="L346" s="2" t="str">
        <f t="shared" si="30"/>
        <v>_</v>
      </c>
      <c r="M346" s="2"/>
      <c r="N346" s="2">
        <f>IF(ISBLANK(Table2[[#This Row],[ActualResult]]), 0, 1)</f>
        <v>0</v>
      </c>
      <c r="O346" s="2" t="str">
        <f>IF(ISBLANK(Table2[[#This Row],[ActualResult]]), "_", IF(Table2[[#This Row],[ActualWinner]]=Table2[[#This Row],[PredictedWinner]], "Y", "N"))</f>
        <v>_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6" s="2"/>
      <c r="S346" s="2" t="str">
        <f t="shared" si="31"/>
        <v>_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0</v>
      </c>
      <c r="AH346" s="2">
        <f t="shared" si="32"/>
        <v>0</v>
      </c>
      <c r="AI346" s="2">
        <f t="shared" si="33"/>
        <v>0</v>
      </c>
      <c r="AJ346" s="2"/>
      <c r="AK346" s="2"/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0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0-0-0</v>
      </c>
      <c r="AP346" s="2" t="str">
        <f>INDEX(Sheet5!$B$2:$AG$33, MATCH(Table2[[#This Row],[HomeTeam]],Sheet5!$A$2:$A$33, 0), MATCH(Table2[[#This Row],[AwayTeam]],Sheet5!$A$2:$A$33, 0))</f>
        <v>0-0-0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1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/>
      <c r="B347" s="3">
        <v>45984</v>
      </c>
      <c r="C347" s="5">
        <v>2025020345</v>
      </c>
      <c r="D347" s="2" t="s">
        <v>33</v>
      </c>
      <c r="E347" s="2" t="s">
        <v>23</v>
      </c>
      <c r="F347" s="2"/>
      <c r="G347" s="2"/>
      <c r="H347" s="2" t="str">
        <f t="shared" si="29"/>
        <v>_</v>
      </c>
      <c r="I347" s="2"/>
      <c r="J347" s="2"/>
      <c r="K347" s="2"/>
      <c r="L347" s="2" t="str">
        <f t="shared" si="30"/>
        <v>_</v>
      </c>
      <c r="M347" s="2"/>
      <c r="N347" s="2">
        <f>IF(ISBLANK(Table2[[#This Row],[ActualResult]]), 0, 1)</f>
        <v>0</v>
      </c>
      <c r="O347" s="2" t="str">
        <f>IF(ISBLANK(Table2[[#This Row],[ActualResult]]), "_", IF(Table2[[#This Row],[ActualWinner]]=Table2[[#This Row],[PredictedWinner]], "Y", "N"))</f>
        <v>_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7" s="2"/>
      <c r="S347" s="2" t="str">
        <f t="shared" si="31"/>
        <v>_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7" s="2">
        <f>Table2[[#This Row],[ActualAwayScore]]-Table2[[#This Row],[PredictedAwayScore]]</f>
        <v>0</v>
      </c>
      <c r="AG347" s="2">
        <f>Table2[[#This Row],[ActualHomeScore]]-Table2[[#This Row],[PredictedHomeScore]]</f>
        <v>0</v>
      </c>
      <c r="AH347" s="2">
        <f t="shared" si="32"/>
        <v>0</v>
      </c>
      <c r="AI347" s="2">
        <f t="shared" si="33"/>
        <v>0</v>
      </c>
      <c r="AJ347" s="2"/>
      <c r="AK347" s="2"/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0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0-0-0</v>
      </c>
      <c r="AP347" s="2" t="str">
        <f>INDEX(Sheet5!$B$2:$AG$33, MATCH(Table2[[#This Row],[HomeTeam]],Sheet5!$A$2:$A$33, 0), MATCH(Table2[[#This Row],[AwayTeam]],Sheet5!$A$2:$A$33, 0))</f>
        <v>0-0-0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1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3"/>
      <c r="B348" s="3">
        <v>45984</v>
      </c>
      <c r="C348" s="5">
        <v>2025020346</v>
      </c>
      <c r="D348" s="2" t="s">
        <v>26</v>
      </c>
      <c r="E348" s="2" t="s">
        <v>44</v>
      </c>
      <c r="F348" s="2"/>
      <c r="G348" s="2"/>
      <c r="H348" s="2" t="str">
        <f t="shared" si="29"/>
        <v>_</v>
      </c>
      <c r="I348" s="2"/>
      <c r="J348" s="2"/>
      <c r="K348" s="2"/>
      <c r="L348" s="2" t="str">
        <f t="shared" si="30"/>
        <v>_</v>
      </c>
      <c r="M348" s="2"/>
      <c r="N348" s="2">
        <f>IF(ISBLANK(Table2[[#This Row],[ActualResult]]), 0, 1)</f>
        <v>0</v>
      </c>
      <c r="O348" s="2" t="str">
        <f>IF(ISBLANK(Table2[[#This Row],[ActualResult]]), "_", IF(Table2[[#This Row],[ActualWinner]]=Table2[[#This Row],[PredictedWinner]], "Y", "N"))</f>
        <v>_</v>
      </c>
      <c r="P3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8" s="2"/>
      <c r="S348" s="2" t="str">
        <f t="shared" si="31"/>
        <v>_</v>
      </c>
      <c r="T3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2">
        <f>IF(Table2[[#This Row],[InterConf]]=1,IF(Table2[[#This Row],[InterDiv]]=0, 1, 0), 0)</f>
        <v>0</v>
      </c>
      <c r="W3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2"/>
      <c r="Y348" s="2"/>
      <c r="Z348" s="145">
        <f>IF(AND(Table2[[#This Row],[GameIsOver]]=1,Table2[[#This Row],[ActualHomeScore]]*Table2[[#This Row],[ActualAwayScore]]=0), 1,0)</f>
        <v>0</v>
      </c>
      <c r="AA3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8" s="2">
        <f>Table2[[#This Row],[ActualAwayScore]]-Table2[[#This Row],[PredictedAwayScore]]</f>
        <v>0</v>
      </c>
      <c r="AG348" s="2">
        <f>Table2[[#This Row],[ActualHomeScore]]-Table2[[#This Row],[PredictedHomeScore]]</f>
        <v>0</v>
      </c>
      <c r="AH348" s="2">
        <f t="shared" si="32"/>
        <v>0</v>
      </c>
      <c r="AI348" s="2">
        <f t="shared" si="33"/>
        <v>0</v>
      </c>
      <c r="AJ348" s="2"/>
      <c r="AK348" s="2"/>
      <c r="AL348" s="2">
        <f>IF(Table2[[#This Row],[GameIsOver]]=0,0,IF(Table2[[#This Row],[ActualWinner]]=Table2[[#This Row],[AwayTeam]], 1, 0))</f>
        <v>0</v>
      </c>
      <c r="AM348" s="2">
        <f>IF(Table2[[#This Row],[GameIsOver]]=0,0,IF(Table2[[#This Row],[ActualWinner]]=Table2[[#This Row],[HomeTeam]], 1, 0))</f>
        <v>0</v>
      </c>
      <c r="AN3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2" t="str">
        <f>INDEX(Sheet5!$B$2:$AG$33, MATCH(Table2[[#This Row],[AwayTeam]],Sheet5!$A$2:$A$33, 0), MATCH(Table2[[#This Row],[HomeTeam]],Sheet5!$A$2:$A$33, 0))</f>
        <v>0-0-1</v>
      </c>
      <c r="AP348" s="2" t="str">
        <f>INDEX(Sheet5!$B$2:$AG$33, MATCH(Table2[[#This Row],[HomeTeam]],Sheet5!$A$2:$A$33, 0), MATCH(Table2[[#This Row],[AwayTeam]],Sheet5!$A$2:$A$33, 0))</f>
        <v>1-0-0</v>
      </c>
      <c r="AQ348" s="2">
        <f>IF(Table2[[#This Row],[GameHasShutOut]], 1, 0)</f>
        <v>0</v>
      </c>
      <c r="AR348" s="2">
        <f>IF(Table2[[#This Row],[ActualAwayScore]] + Table2[[#This Row],[ActualHomeScore]] &gt;= 10, 1, 0)</f>
        <v>0</v>
      </c>
      <c r="AS348" s="2">
        <f>IF(ABS(Table2[[#This Row],[ActualAwayScore]]-Table2[[#This Row],[ActualHomeScore]])&gt;=5, 1, 0)</f>
        <v>0</v>
      </c>
      <c r="AT348" s="2">
        <f>IF(Table2[[#This Row],[ActualAwayScore]] + Table2[[#This Row],[ActualHomeScore]] &lt;= 3, 1, 0)</f>
        <v>1</v>
      </c>
      <c r="AU3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/>
      <c r="B349" s="3">
        <v>45984</v>
      </c>
      <c r="C349" s="5">
        <v>2025020347</v>
      </c>
      <c r="D349" s="2" t="s">
        <v>41</v>
      </c>
      <c r="E349" s="2" t="s">
        <v>28</v>
      </c>
      <c r="F349" s="2"/>
      <c r="G349" s="2"/>
      <c r="H349" s="2" t="str">
        <f t="shared" si="29"/>
        <v>_</v>
      </c>
      <c r="I349" s="2"/>
      <c r="J349" s="2"/>
      <c r="K349" s="2"/>
      <c r="L349" s="2" t="str">
        <f t="shared" si="30"/>
        <v>_</v>
      </c>
      <c r="M349" s="2"/>
      <c r="N349" s="2">
        <f>IF(ISBLANK(Table2[[#This Row],[ActualResult]]), 0, 1)</f>
        <v>0</v>
      </c>
      <c r="O349" s="2" t="str">
        <f>IF(ISBLANK(Table2[[#This Row],[ActualResult]]), "_", IF(Table2[[#This Row],[ActualWinner]]=Table2[[#This Row],[PredictedWinner]], "Y", "N"))</f>
        <v>_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9" s="2"/>
      <c r="S349" s="2" t="str">
        <f t="shared" si="31"/>
        <v>_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0</v>
      </c>
      <c r="AG349" s="2">
        <f>Table2[[#This Row],[ActualHomeScore]]-Table2[[#This Row],[PredictedHomeScore]]</f>
        <v>0</v>
      </c>
      <c r="AH349" s="2">
        <f t="shared" si="32"/>
        <v>0</v>
      </c>
      <c r="AI349" s="2">
        <f t="shared" si="33"/>
        <v>0</v>
      </c>
      <c r="AJ349" s="2"/>
      <c r="AK349" s="2"/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0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1-0-0</v>
      </c>
      <c r="AP349" s="2" t="str">
        <f>INDEX(Sheet5!$B$2:$AG$33, MATCH(Table2[[#This Row],[HomeTeam]],Sheet5!$A$2:$A$33, 0), MATCH(Table2[[#This Row],[AwayTeam]],Sheet5!$A$2:$A$33, 0))</f>
        <v>0-1-0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1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/>
      <c r="B350" s="3">
        <v>45984</v>
      </c>
      <c r="C350" s="5">
        <v>2025020348</v>
      </c>
      <c r="D350" s="2" t="s">
        <v>36</v>
      </c>
      <c r="E350" s="2" t="s">
        <v>21</v>
      </c>
      <c r="F350" s="2"/>
      <c r="G350" s="2"/>
      <c r="H350" s="2" t="str">
        <f t="shared" si="29"/>
        <v>_</v>
      </c>
      <c r="I350" s="2"/>
      <c r="J350" s="2"/>
      <c r="K350" s="2"/>
      <c r="L350" s="2" t="str">
        <f t="shared" si="30"/>
        <v>_</v>
      </c>
      <c r="M350" s="2"/>
      <c r="N350" s="2">
        <f>IF(ISBLANK(Table2[[#This Row],[ActualResult]]), 0, 1)</f>
        <v>0</v>
      </c>
      <c r="O350" s="2" t="str">
        <f>IF(ISBLANK(Table2[[#This Row],[ActualResult]]), "_", IF(Table2[[#This Row],[ActualWinner]]=Table2[[#This Row],[PredictedWinner]], "Y", "N"))</f>
        <v>_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0" s="2"/>
      <c r="S350" s="2" t="str">
        <f t="shared" si="31"/>
        <v>_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0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0</v>
      </c>
      <c r="AG350" s="2">
        <f>Table2[[#This Row],[ActualHomeScore]]-Table2[[#This Row],[PredictedHomeScore]]</f>
        <v>0</v>
      </c>
      <c r="AH350" s="2">
        <f t="shared" si="32"/>
        <v>0</v>
      </c>
      <c r="AI350" s="2">
        <f t="shared" si="33"/>
        <v>0</v>
      </c>
      <c r="AJ350" s="2"/>
      <c r="AK350" s="2"/>
      <c r="AL350" s="2">
        <f>IF(Table2[[#This Row],[GameIsOver]]=0,0,IF(Table2[[#This Row],[ActualWinner]]=Table2[[#This Row],[AwayTeam]], 1, 0))</f>
        <v>0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0-0-1</v>
      </c>
      <c r="AP350" s="2" t="str">
        <f>INDEX(Sheet5!$B$2:$AG$33, MATCH(Table2[[#This Row],[HomeTeam]],Sheet5!$A$2:$A$33, 0), MATCH(Table2[[#This Row],[AwayTeam]],Sheet5!$A$2:$A$33, 0))</f>
        <v>1-0-0</v>
      </c>
      <c r="AQ350" s="2">
        <f>IF(Table2[[#This Row],[GameHasShutOut]], 1, 0)</f>
        <v>0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/>
      <c r="B351" s="3">
        <v>45984</v>
      </c>
      <c r="C351" s="5">
        <v>2025020349</v>
      </c>
      <c r="D351" s="2" t="s">
        <v>11</v>
      </c>
      <c r="E351" s="2" t="s">
        <v>32</v>
      </c>
      <c r="F351" s="2"/>
      <c r="G351" s="2"/>
      <c r="H351" s="2" t="str">
        <f t="shared" si="29"/>
        <v>_</v>
      </c>
      <c r="I351" s="2"/>
      <c r="J351" s="2"/>
      <c r="K351" s="2"/>
      <c r="L351" s="2" t="str">
        <f t="shared" si="30"/>
        <v>_</v>
      </c>
      <c r="M351" s="2"/>
      <c r="N351" s="2">
        <f>IF(ISBLANK(Table2[[#This Row],[ActualResult]]), 0, 1)</f>
        <v>0</v>
      </c>
      <c r="O351" s="2" t="str">
        <f>IF(ISBLANK(Table2[[#This Row],[ActualResult]]), "_", IF(Table2[[#This Row],[ActualWinner]]=Table2[[#This Row],[PredictedWinner]], "Y", "N"))</f>
        <v>_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1" s="2"/>
      <c r="S351" s="2" t="str">
        <f t="shared" si="31"/>
        <v>_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0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0</v>
      </c>
      <c r="AG351" s="2">
        <f>Table2[[#This Row],[ActualHomeScore]]-Table2[[#This Row],[PredictedHomeScore]]</f>
        <v>0</v>
      </c>
      <c r="AH351" s="2">
        <f t="shared" si="32"/>
        <v>0</v>
      </c>
      <c r="AI351" s="2">
        <f t="shared" si="33"/>
        <v>0</v>
      </c>
      <c r="AJ351" s="2"/>
      <c r="AK351" s="2"/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0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0-0-0</v>
      </c>
      <c r="AP351" s="2" t="str">
        <f>INDEX(Sheet5!$B$2:$AG$33, MATCH(Table2[[#This Row],[HomeTeam]],Sheet5!$A$2:$A$33, 0), MATCH(Table2[[#This Row],[AwayTeam]],Sheet5!$A$2:$A$33, 0))</f>
        <v>0-0-0</v>
      </c>
      <c r="AQ351" s="2">
        <f>IF(Table2[[#This Row],[GameHasShutOut]], 1, 0)</f>
        <v>0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/>
      <c r="B352" s="3">
        <v>45985</v>
      </c>
      <c r="C352" s="5">
        <v>2025020350</v>
      </c>
      <c r="D352" s="2" t="s">
        <v>25</v>
      </c>
      <c r="E352" s="2" t="s">
        <v>16</v>
      </c>
      <c r="F352" s="2"/>
      <c r="G352" s="2"/>
      <c r="H352" s="2" t="str">
        <f t="shared" si="29"/>
        <v>_</v>
      </c>
      <c r="I352" s="2"/>
      <c r="J352" s="2"/>
      <c r="K352" s="2"/>
      <c r="L352" s="2" t="str">
        <f t="shared" si="30"/>
        <v>_</v>
      </c>
      <c r="M352" s="2"/>
      <c r="N352" s="2">
        <f>IF(ISBLANK(Table2[[#This Row],[ActualResult]]), 0, 1)</f>
        <v>0</v>
      </c>
      <c r="O352" s="2" t="str">
        <f>IF(ISBLANK(Table2[[#This Row],[ActualResult]]), "_", IF(Table2[[#This Row],[ActualWinner]]=Table2[[#This Row],[PredictedWinner]], "Y", "N"))</f>
        <v>_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2" s="2"/>
      <c r="S352" s="2" t="str">
        <f t="shared" si="31"/>
        <v>_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0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2" s="2">
        <f>Table2[[#This Row],[ActualAwayScore]]-Table2[[#This Row],[PredictedAwayScore]]</f>
        <v>0</v>
      </c>
      <c r="AG352" s="2">
        <f>Table2[[#This Row],[ActualHomeScore]]-Table2[[#This Row],[PredictedHomeScore]]</f>
        <v>0</v>
      </c>
      <c r="AH352" s="2">
        <f t="shared" si="32"/>
        <v>0</v>
      </c>
      <c r="AI352" s="2">
        <f t="shared" si="33"/>
        <v>0</v>
      </c>
      <c r="AJ352" s="2"/>
      <c r="AK352" s="2"/>
      <c r="AL352" s="2">
        <f>IF(Table2[[#This Row],[GameIsOver]]=0,0,IF(Table2[[#This Row],[ActualWinner]]=Table2[[#This Row],[AwayTeam]], 1, 0))</f>
        <v>0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0-0-0</v>
      </c>
      <c r="AP352" s="2" t="str">
        <f>INDEX(Sheet5!$B$2:$AG$33, MATCH(Table2[[#This Row],[HomeTeam]],Sheet5!$A$2:$A$33, 0), MATCH(Table2[[#This Row],[AwayTeam]],Sheet5!$A$2:$A$33, 0))</f>
        <v>0-0-0</v>
      </c>
      <c r="AQ352" s="2">
        <f>IF(Table2[[#This Row],[GameHasShutOut]], 1, 0)</f>
        <v>0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/>
      <c r="B353" s="3">
        <v>45985</v>
      </c>
      <c r="C353" s="5">
        <v>2025020351</v>
      </c>
      <c r="D353" s="2" t="s">
        <v>15</v>
      </c>
      <c r="E353" s="2" t="s">
        <v>37</v>
      </c>
      <c r="F353" s="2"/>
      <c r="G353" s="2"/>
      <c r="H353" s="2" t="str">
        <f t="shared" si="29"/>
        <v>_</v>
      </c>
      <c r="I353" s="2"/>
      <c r="J353" s="2"/>
      <c r="K353" s="2"/>
      <c r="L353" s="2" t="str">
        <f t="shared" si="30"/>
        <v>_</v>
      </c>
      <c r="M353" s="2"/>
      <c r="N353" s="2">
        <f>IF(ISBLANK(Table2[[#This Row],[ActualResult]]), 0, 1)</f>
        <v>0</v>
      </c>
      <c r="O353" s="2" t="str">
        <f>IF(ISBLANK(Table2[[#This Row],[ActualResult]]), "_", IF(Table2[[#This Row],[ActualWinner]]=Table2[[#This Row],[PredictedWinner]], "Y", "N"))</f>
        <v>_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3" s="2"/>
      <c r="S353" s="2" t="str">
        <f t="shared" si="31"/>
        <v>_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3" s="2">
        <f>Table2[[#This Row],[ActualAwayScore]]-Table2[[#This Row],[PredictedAwayScore]]</f>
        <v>0</v>
      </c>
      <c r="AG353" s="2">
        <f>Table2[[#This Row],[ActualHomeScore]]-Table2[[#This Row],[PredictedHomeScore]]</f>
        <v>0</v>
      </c>
      <c r="AH353" s="2">
        <f t="shared" si="32"/>
        <v>0</v>
      </c>
      <c r="AI353" s="2">
        <f t="shared" si="33"/>
        <v>0</v>
      </c>
      <c r="AJ353" s="2"/>
      <c r="AK353" s="2"/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0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0-0-0</v>
      </c>
      <c r="AP353" s="2" t="str">
        <f>INDEX(Sheet5!$B$2:$AG$33, MATCH(Table2[[#This Row],[HomeTeam]],Sheet5!$A$2:$A$33, 0), MATCH(Table2[[#This Row],[AwayTeam]],Sheet5!$A$2:$A$33, 0))</f>
        <v>0-0-0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1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3"/>
      <c r="B354" s="3">
        <v>45985</v>
      </c>
      <c r="C354" s="5">
        <v>2025020352</v>
      </c>
      <c r="D354" s="2" t="s">
        <v>23</v>
      </c>
      <c r="E354" s="2" t="s">
        <v>24</v>
      </c>
      <c r="F354" s="2"/>
      <c r="G354" s="2"/>
      <c r="H354" s="2" t="str">
        <f t="shared" si="29"/>
        <v>_</v>
      </c>
      <c r="I354" s="2"/>
      <c r="J354" s="2"/>
      <c r="K354" s="2"/>
      <c r="L354" s="2" t="str">
        <f t="shared" si="30"/>
        <v>_</v>
      </c>
      <c r="M354" s="2"/>
      <c r="N354" s="2">
        <f>IF(ISBLANK(Table2[[#This Row],[ActualResult]]), 0, 1)</f>
        <v>0</v>
      </c>
      <c r="O354" s="2" t="str">
        <f>IF(ISBLANK(Table2[[#This Row],[ActualResult]]), "_", IF(Table2[[#This Row],[ActualWinner]]=Table2[[#This Row],[PredictedWinner]], "Y", "N"))</f>
        <v>_</v>
      </c>
      <c r="P3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4" s="2"/>
      <c r="S354" s="2" t="str">
        <f t="shared" si="31"/>
        <v>_</v>
      </c>
      <c r="T3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2">
        <f>IF(Table2[[#This Row],[InterConf]]=1,IF(Table2[[#This Row],[InterDiv]]=0, 1, 0), 0)</f>
        <v>0</v>
      </c>
      <c r="W3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2"/>
      <c r="Y354" s="2"/>
      <c r="Z354" s="145">
        <f>IF(AND(Table2[[#This Row],[GameIsOver]]=1,Table2[[#This Row],[ActualHomeScore]]*Table2[[#This Row],[ActualAwayScore]]=0), 1,0)</f>
        <v>0</v>
      </c>
      <c r="AA3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4" s="2">
        <f>Table2[[#This Row],[ActualAwayScore]]-Table2[[#This Row],[PredictedAwayScore]]</f>
        <v>0</v>
      </c>
      <c r="AG354" s="2">
        <f>Table2[[#This Row],[ActualHomeScore]]-Table2[[#This Row],[PredictedHomeScore]]</f>
        <v>0</v>
      </c>
      <c r="AH354" s="2">
        <f t="shared" si="32"/>
        <v>0</v>
      </c>
      <c r="AI354" s="2">
        <f t="shared" si="33"/>
        <v>0</v>
      </c>
      <c r="AJ354" s="2"/>
      <c r="AK354" s="2"/>
      <c r="AL354" s="2">
        <f>IF(Table2[[#This Row],[GameIsOver]]=0,0,IF(Table2[[#This Row],[ActualWinner]]=Table2[[#This Row],[AwayTeam]], 1, 0))</f>
        <v>0</v>
      </c>
      <c r="AM354" s="2">
        <f>IF(Table2[[#This Row],[GameIsOver]]=0,0,IF(Table2[[#This Row],[ActualWinner]]=Table2[[#This Row],[HomeTeam]], 1, 0))</f>
        <v>0</v>
      </c>
      <c r="AN3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2" t="str">
        <f>INDEX(Sheet5!$B$2:$AG$33, MATCH(Table2[[#This Row],[AwayTeam]],Sheet5!$A$2:$A$33, 0), MATCH(Table2[[#This Row],[HomeTeam]],Sheet5!$A$2:$A$33, 0))</f>
        <v>0-1-0</v>
      </c>
      <c r="AP354" s="2" t="str">
        <f>INDEX(Sheet5!$B$2:$AG$33, MATCH(Table2[[#This Row],[HomeTeam]],Sheet5!$A$2:$A$33, 0), MATCH(Table2[[#This Row],[AwayTeam]],Sheet5!$A$2:$A$33, 0))</f>
        <v>1-0-0</v>
      </c>
      <c r="AQ354" s="2">
        <f>IF(Table2[[#This Row],[GameHasShutOut]], 1, 0)</f>
        <v>0</v>
      </c>
      <c r="AR354" s="2">
        <f>IF(Table2[[#This Row],[ActualAwayScore]] + Table2[[#This Row],[ActualHomeScore]] &gt;= 10, 1, 0)</f>
        <v>0</v>
      </c>
      <c r="AS354" s="2">
        <f>IF(ABS(Table2[[#This Row],[ActualAwayScore]]-Table2[[#This Row],[ActualHomeScore]])&gt;=5, 1, 0)</f>
        <v>0</v>
      </c>
      <c r="AT354" s="2">
        <f>IF(Table2[[#This Row],[ActualAwayScore]] + Table2[[#This Row],[ActualHomeScore]] &lt;= 3, 1, 0)</f>
        <v>1</v>
      </c>
      <c r="AU3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/>
      <c r="B355" s="3">
        <v>45986</v>
      </c>
      <c r="C355" s="5">
        <v>2025020353</v>
      </c>
      <c r="D355" s="2" t="s">
        <v>42</v>
      </c>
      <c r="E355" s="2" t="s">
        <v>40</v>
      </c>
      <c r="F355" s="2"/>
      <c r="G355" s="2"/>
      <c r="H355" s="2" t="str">
        <f t="shared" si="29"/>
        <v>_</v>
      </c>
      <c r="I355" s="2"/>
      <c r="J355" s="2"/>
      <c r="K355" s="2"/>
      <c r="L355" s="2" t="str">
        <f t="shared" si="30"/>
        <v>_</v>
      </c>
      <c r="M355" s="2"/>
      <c r="N355" s="2">
        <f>IF(ISBLANK(Table2[[#This Row],[ActualResult]]), 0, 1)</f>
        <v>0</v>
      </c>
      <c r="O355" s="2" t="str">
        <f>IF(ISBLANK(Table2[[#This Row],[ActualResult]]), "_", IF(Table2[[#This Row],[ActualWinner]]=Table2[[#This Row],[PredictedWinner]], "Y", "N"))</f>
        <v>_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5" s="2"/>
      <c r="S355" s="2" t="str">
        <f t="shared" si="31"/>
        <v>_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0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5" s="2">
        <f>Table2[[#This Row],[ActualAwayScore]]-Table2[[#This Row],[PredictedAwayScore]]</f>
        <v>0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0</v>
      </c>
      <c r="AJ355" s="2"/>
      <c r="AK355" s="2"/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0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0-0-0</v>
      </c>
      <c r="AP355" s="2" t="str">
        <f>INDEX(Sheet5!$B$2:$AG$33, MATCH(Table2[[#This Row],[HomeTeam]],Sheet5!$A$2:$A$33, 0), MATCH(Table2[[#This Row],[AwayTeam]],Sheet5!$A$2:$A$33, 0))</f>
        <v>0-0-0</v>
      </c>
      <c r="AQ355" s="2">
        <f>IF(Table2[[#This Row],[GameHasShutOut]], 1, 0)</f>
        <v>0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/>
      <c r="B356" s="3">
        <v>45986</v>
      </c>
      <c r="C356" s="5">
        <v>2025020354</v>
      </c>
      <c r="D356" s="2" t="s">
        <v>30</v>
      </c>
      <c r="E356" s="2" t="s">
        <v>31</v>
      </c>
      <c r="F356" s="2"/>
      <c r="G356" s="2"/>
      <c r="H356" s="2" t="str">
        <f t="shared" si="29"/>
        <v>_</v>
      </c>
      <c r="I356" s="2"/>
      <c r="J356" s="2"/>
      <c r="K356" s="2"/>
      <c r="L356" s="2" t="str">
        <f t="shared" si="30"/>
        <v>_</v>
      </c>
      <c r="M356" s="2"/>
      <c r="N356" s="2">
        <f>IF(ISBLANK(Table2[[#This Row],[ActualResult]]), 0, 1)</f>
        <v>0</v>
      </c>
      <c r="O356" s="2" t="str">
        <f>IF(ISBLANK(Table2[[#This Row],[ActualResult]]), "_", IF(Table2[[#This Row],[ActualWinner]]=Table2[[#This Row],[PredictedWinner]], "Y", "N"))</f>
        <v>_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6" s="2"/>
      <c r="S356" s="2" t="str">
        <f t="shared" si="31"/>
        <v>_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0</v>
      </c>
      <c r="AH356" s="2">
        <f t="shared" si="32"/>
        <v>0</v>
      </c>
      <c r="AI356" s="2">
        <f t="shared" si="33"/>
        <v>0</v>
      </c>
      <c r="AJ356" s="2"/>
      <c r="AK356" s="2"/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0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0-0-0</v>
      </c>
      <c r="AP356" s="2" t="str">
        <f>INDEX(Sheet5!$B$2:$AG$33, MATCH(Table2[[#This Row],[HomeTeam]],Sheet5!$A$2:$A$33, 0), MATCH(Table2[[#This Row],[AwayTeam]],Sheet5!$A$2:$A$33, 0))</f>
        <v>0-0-0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1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/>
      <c r="B357" s="3">
        <v>45986</v>
      </c>
      <c r="C357" s="5">
        <v>2025020355</v>
      </c>
      <c r="D357" s="2" t="s">
        <v>12</v>
      </c>
      <c r="E357" s="2" t="s">
        <v>19</v>
      </c>
      <c r="F357" s="2"/>
      <c r="G357" s="2"/>
      <c r="H357" s="2" t="str">
        <f t="shared" si="29"/>
        <v>_</v>
      </c>
      <c r="I357" s="2"/>
      <c r="J357" s="2"/>
      <c r="K357" s="2"/>
      <c r="L357" s="2" t="str">
        <f t="shared" si="30"/>
        <v>_</v>
      </c>
      <c r="M357" s="2"/>
      <c r="N357" s="2">
        <f>IF(ISBLANK(Table2[[#This Row],[ActualResult]]), 0, 1)</f>
        <v>0</v>
      </c>
      <c r="O357" s="2" t="str">
        <f>IF(ISBLANK(Table2[[#This Row],[ActualResult]]), "_", IF(Table2[[#This Row],[ActualWinner]]=Table2[[#This Row],[PredictedWinner]], "Y", "N"))</f>
        <v>_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7" s="2"/>
      <c r="S357" s="2" t="str">
        <f t="shared" si="31"/>
        <v>_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7" s="2">
        <f>Table2[[#This Row],[ActualAwayScore]]-Table2[[#This Row],[PredictedAwayScore]]</f>
        <v>0</v>
      </c>
      <c r="AG357" s="2">
        <f>Table2[[#This Row],[ActualHomeScore]]-Table2[[#This Row],[PredictedHomeScore]]</f>
        <v>0</v>
      </c>
      <c r="AH357" s="2">
        <f t="shared" si="32"/>
        <v>0</v>
      </c>
      <c r="AI357" s="2">
        <f t="shared" si="33"/>
        <v>0</v>
      </c>
      <c r="AJ357" s="2"/>
      <c r="AK357" s="2"/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0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0-0-0</v>
      </c>
      <c r="AP357" s="2" t="str">
        <f>INDEX(Sheet5!$B$2:$AG$33, MATCH(Table2[[#This Row],[HomeTeam]],Sheet5!$A$2:$A$33, 0), MATCH(Table2[[#This Row],[AwayTeam]],Sheet5!$A$2:$A$33, 0))</f>
        <v>0-0-0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1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/>
      <c r="B358" s="3">
        <v>45986</v>
      </c>
      <c r="C358" s="5">
        <v>2025020356</v>
      </c>
      <c r="D358" s="2" t="s">
        <v>35</v>
      </c>
      <c r="E358" s="2" t="s">
        <v>43</v>
      </c>
      <c r="F358" s="2"/>
      <c r="G358" s="2"/>
      <c r="H358" s="2" t="str">
        <f t="shared" si="29"/>
        <v>_</v>
      </c>
      <c r="I358" s="2"/>
      <c r="J358" s="2"/>
      <c r="K358" s="2"/>
      <c r="L358" s="2" t="str">
        <f t="shared" si="30"/>
        <v>_</v>
      </c>
      <c r="M358" s="2"/>
      <c r="N358" s="2">
        <f>IF(ISBLANK(Table2[[#This Row],[ActualResult]]), 0, 1)</f>
        <v>0</v>
      </c>
      <c r="O358" s="2" t="str">
        <f>IF(ISBLANK(Table2[[#This Row],[ActualResult]]), "_", IF(Table2[[#This Row],[ActualWinner]]=Table2[[#This Row],[PredictedWinner]], "Y", "N"))</f>
        <v>_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8" s="2"/>
      <c r="S358" s="2" t="str">
        <f t="shared" si="31"/>
        <v>_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8" s="2">
        <f>Table2[[#This Row],[ActualAwayScore]]-Table2[[#This Row],[PredictedAwayScore]]</f>
        <v>0</v>
      </c>
      <c r="AG358" s="2">
        <f>Table2[[#This Row],[ActualHomeScore]]-Table2[[#This Row],[PredictedHomeScore]]</f>
        <v>0</v>
      </c>
      <c r="AH358" s="2">
        <f t="shared" si="32"/>
        <v>0</v>
      </c>
      <c r="AI358" s="2">
        <f t="shared" si="33"/>
        <v>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0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0-1-0</v>
      </c>
      <c r="AP358" s="2" t="str">
        <f>INDEX(Sheet5!$B$2:$AG$33, MATCH(Table2[[#This Row],[HomeTeam]],Sheet5!$A$2:$A$33, 0), MATCH(Table2[[#This Row],[AwayTeam]],Sheet5!$A$2:$A$33, 0))</f>
        <v>1-0-0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1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/>
      <c r="B359" s="3">
        <v>45986</v>
      </c>
      <c r="C359" s="5">
        <v>2025020357</v>
      </c>
      <c r="D359" s="2" t="s">
        <v>13</v>
      </c>
      <c r="E359" s="2" t="s">
        <v>34</v>
      </c>
      <c r="F359" s="2"/>
      <c r="G359" s="2"/>
      <c r="H359" s="2" t="str">
        <f t="shared" si="29"/>
        <v>_</v>
      </c>
      <c r="I359" s="2"/>
      <c r="J359" s="2"/>
      <c r="K359" s="2"/>
      <c r="L359" s="2" t="str">
        <f t="shared" si="30"/>
        <v>_</v>
      </c>
      <c r="M359" s="2"/>
      <c r="N359" s="2">
        <f>IF(ISBLANK(Table2[[#This Row],[ActualResult]]), 0, 1)</f>
        <v>0</v>
      </c>
      <c r="O359" s="2" t="str">
        <f>IF(ISBLANK(Table2[[#This Row],[ActualResult]]), "_", IF(Table2[[#This Row],[ActualWinner]]=Table2[[#This Row],[PredictedWinner]], "Y", "N"))</f>
        <v>_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9" s="2"/>
      <c r="S359" s="2" t="str">
        <f t="shared" si="31"/>
        <v>_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9" s="2">
        <f>Table2[[#This Row],[ActualAwayScore]]-Table2[[#This Row],[PredictedAwayScore]]</f>
        <v>0</v>
      </c>
      <c r="AG359" s="2">
        <f>Table2[[#This Row],[ActualHomeScore]]-Table2[[#This Row],[PredictedHomeScore]]</f>
        <v>0</v>
      </c>
      <c r="AH359" s="2">
        <f t="shared" si="32"/>
        <v>0</v>
      </c>
      <c r="AI359" s="2">
        <f t="shared" si="33"/>
        <v>0</v>
      </c>
      <c r="AJ359" s="2"/>
      <c r="AK359" s="2"/>
      <c r="AL359" s="2">
        <f>IF(Table2[[#This Row],[GameIsOver]]=0,0,IF(Table2[[#This Row],[ActualWinner]]=Table2[[#This Row],[AwayTeam]], 1, 0))</f>
        <v>0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0-0-0</v>
      </c>
      <c r="AP359" s="2" t="str">
        <f>INDEX(Sheet5!$B$2:$AG$33, MATCH(Table2[[#This Row],[HomeTeam]],Sheet5!$A$2:$A$33, 0), MATCH(Table2[[#This Row],[AwayTeam]],Sheet5!$A$2:$A$33, 0))</f>
        <v>0-0-0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0</v>
      </c>
      <c r="AS359" s="2">
        <f>IF(ABS(Table2[[#This Row],[ActualAwayScore]]-Table2[[#This Row],[ActualHomeScore]])&gt;=5, 1, 0)</f>
        <v>0</v>
      </c>
      <c r="AT359" s="2">
        <f>IF(Table2[[#This Row],[ActualAwayScore]] + Table2[[#This Row],[ActualHomeScore]] &lt;= 3, 1, 0)</f>
        <v>1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/>
      <c r="B360" s="3">
        <v>45986</v>
      </c>
      <c r="C360" s="5">
        <v>2025020358</v>
      </c>
      <c r="D360" s="2" t="s">
        <v>26</v>
      </c>
      <c r="E360" s="2" t="s">
        <v>14</v>
      </c>
      <c r="F360" s="2"/>
      <c r="G360" s="2"/>
      <c r="H360" s="2" t="str">
        <f t="shared" si="29"/>
        <v>_</v>
      </c>
      <c r="I360" s="2"/>
      <c r="J360" s="2"/>
      <c r="K360" s="2"/>
      <c r="L360" s="2" t="str">
        <f t="shared" si="30"/>
        <v>_</v>
      </c>
      <c r="M360" s="2"/>
      <c r="N360" s="2">
        <f>IF(ISBLANK(Table2[[#This Row],[ActualResult]]), 0, 1)</f>
        <v>0</v>
      </c>
      <c r="O360" s="2" t="str">
        <f>IF(ISBLANK(Table2[[#This Row],[ActualResult]]), "_", IF(Table2[[#This Row],[ActualWinner]]=Table2[[#This Row],[PredictedWinner]], "Y", "N"))</f>
        <v>_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0" s="2"/>
      <c r="S360" s="2" t="str">
        <f t="shared" si="31"/>
        <v>_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0" s="2">
        <f>Table2[[#This Row],[ActualAwayScore]]-Table2[[#This Row],[PredictedAwayScore]]</f>
        <v>0</v>
      </c>
      <c r="AG360" s="2">
        <f>Table2[[#This Row],[ActualHomeScore]]-Table2[[#This Row],[PredictedHomeScore]]</f>
        <v>0</v>
      </c>
      <c r="AH360" s="2">
        <f t="shared" si="32"/>
        <v>0</v>
      </c>
      <c r="AI360" s="2">
        <f t="shared" si="33"/>
        <v>0</v>
      </c>
      <c r="AJ360" s="2"/>
      <c r="AK360" s="2"/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0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0-0-0</v>
      </c>
      <c r="AP360" s="2" t="str">
        <f>INDEX(Sheet5!$B$2:$AG$33, MATCH(Table2[[#This Row],[HomeTeam]],Sheet5!$A$2:$A$33, 0), MATCH(Table2[[#This Row],[AwayTeam]],Sheet5!$A$2:$A$33, 0))</f>
        <v>0-0-0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1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3"/>
      <c r="B361" s="3">
        <v>45986</v>
      </c>
      <c r="C361" s="5">
        <v>2025020359</v>
      </c>
      <c r="D361" s="2" t="s">
        <v>29</v>
      </c>
      <c r="E361" s="2" t="s">
        <v>27</v>
      </c>
      <c r="F361" s="2"/>
      <c r="G361" s="2"/>
      <c r="H361" s="2" t="str">
        <f t="shared" si="29"/>
        <v>_</v>
      </c>
      <c r="I361" s="2"/>
      <c r="J361" s="2"/>
      <c r="K361" s="2"/>
      <c r="L361" s="2" t="str">
        <f t="shared" si="30"/>
        <v>_</v>
      </c>
      <c r="M361" s="2"/>
      <c r="N361" s="2">
        <f>IF(ISBLANK(Table2[[#This Row],[ActualResult]]), 0, 1)</f>
        <v>0</v>
      </c>
      <c r="O361" s="2" t="str">
        <f>IF(ISBLANK(Table2[[#This Row],[ActualResult]]), "_", IF(Table2[[#This Row],[ActualWinner]]=Table2[[#This Row],[PredictedWinner]], "Y", "N"))</f>
        <v>_</v>
      </c>
      <c r="P3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1" s="2"/>
      <c r="S361" s="2" t="str">
        <f t="shared" si="31"/>
        <v>_</v>
      </c>
      <c r="T3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2">
        <f>IF(Table2[[#This Row],[InterConf]]=1,IF(Table2[[#This Row],[InterDiv]]=0, 1, 0), 0)</f>
        <v>0</v>
      </c>
      <c r="W3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2"/>
      <c r="Y361" s="2"/>
      <c r="Z361" s="145">
        <f>IF(AND(Table2[[#This Row],[GameIsOver]]=1,Table2[[#This Row],[ActualHomeScore]]*Table2[[#This Row],[ActualAwayScore]]=0), 1,0)</f>
        <v>0</v>
      </c>
      <c r="AA3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1" s="2">
        <f>Table2[[#This Row],[ActualAwayScore]]-Table2[[#This Row],[PredictedAwayScore]]</f>
        <v>0</v>
      </c>
      <c r="AG361" s="2">
        <f>Table2[[#This Row],[ActualHomeScore]]-Table2[[#This Row],[PredictedHomeScore]]</f>
        <v>0</v>
      </c>
      <c r="AH361" s="2">
        <f t="shared" si="32"/>
        <v>0</v>
      </c>
      <c r="AI361" s="2">
        <f t="shared" si="33"/>
        <v>0</v>
      </c>
      <c r="AJ361" s="2"/>
      <c r="AK361" s="2"/>
      <c r="AL361" s="2">
        <f>IF(Table2[[#This Row],[GameIsOver]]=0,0,IF(Table2[[#This Row],[ActualWinner]]=Table2[[#This Row],[AwayTeam]], 1, 0))</f>
        <v>0</v>
      </c>
      <c r="AM361" s="2">
        <f>IF(Table2[[#This Row],[GameIsOver]]=0,0,IF(Table2[[#This Row],[ActualWinner]]=Table2[[#This Row],[HomeTeam]], 1, 0))</f>
        <v>0</v>
      </c>
      <c r="AN3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2" t="str">
        <f>INDEX(Sheet5!$B$2:$AG$33, MATCH(Table2[[#This Row],[AwayTeam]],Sheet5!$A$2:$A$33, 0), MATCH(Table2[[#This Row],[HomeTeam]],Sheet5!$A$2:$A$33, 0))</f>
        <v>0-0-0</v>
      </c>
      <c r="AP361" s="2" t="str">
        <f>INDEX(Sheet5!$B$2:$AG$33, MATCH(Table2[[#This Row],[HomeTeam]],Sheet5!$A$2:$A$33, 0), MATCH(Table2[[#This Row],[AwayTeam]],Sheet5!$A$2:$A$33, 0))</f>
        <v>0-0-0</v>
      </c>
      <c r="AQ361" s="2">
        <f>IF(Table2[[#This Row],[GameHasShutOut]], 1, 0)</f>
        <v>0</v>
      </c>
      <c r="AR361" s="2">
        <f>IF(Table2[[#This Row],[ActualAwayScore]] + Table2[[#This Row],[ActualHomeScore]] &gt;= 10, 1, 0)</f>
        <v>0</v>
      </c>
      <c r="AS361" s="2">
        <f>IF(ABS(Table2[[#This Row],[ActualAwayScore]]-Table2[[#This Row],[ActualHomeScore]])&gt;=5, 1, 0)</f>
        <v>0</v>
      </c>
      <c r="AT361" s="2">
        <f>IF(Table2[[#This Row],[ActualAwayScore]] + Table2[[#This Row],[ActualHomeScore]] &lt;= 3, 1, 0)</f>
        <v>1</v>
      </c>
      <c r="AU3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3"/>
      <c r="B362" s="3">
        <v>45987</v>
      </c>
      <c r="C362" s="5">
        <v>2025020360</v>
      </c>
      <c r="D362" s="2" t="s">
        <v>33</v>
      </c>
      <c r="E362" s="2" t="s">
        <v>22</v>
      </c>
      <c r="F362" s="2"/>
      <c r="G362" s="2"/>
      <c r="H362" s="2" t="str">
        <f t="shared" si="29"/>
        <v>_</v>
      </c>
      <c r="I362" s="2"/>
      <c r="J362" s="2"/>
      <c r="K362" s="2"/>
      <c r="L362" s="2" t="str">
        <f t="shared" si="30"/>
        <v>_</v>
      </c>
      <c r="M362" s="2"/>
      <c r="N362" s="2">
        <f>IF(ISBLANK(Table2[[#This Row],[ActualResult]]), 0, 1)</f>
        <v>0</v>
      </c>
      <c r="O362" s="2" t="str">
        <f>IF(ISBLANK(Table2[[#This Row],[ActualResult]]), "_", IF(Table2[[#This Row],[ActualWinner]]=Table2[[#This Row],[PredictedWinner]], "Y", "N"))</f>
        <v>_</v>
      </c>
      <c r="P3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2" s="2"/>
      <c r="S362" s="2" t="str">
        <f t="shared" si="31"/>
        <v>_</v>
      </c>
      <c r="T3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2">
        <f>IF(Table2[[#This Row],[InterConf]]=1,IF(Table2[[#This Row],[InterDiv]]=0, 1, 0), 0)</f>
        <v>1</v>
      </c>
      <c r="W3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2"/>
      <c r="Y362" s="2"/>
      <c r="Z362" s="145">
        <f>IF(AND(Table2[[#This Row],[GameIsOver]]=1,Table2[[#This Row],[ActualHomeScore]]*Table2[[#This Row],[ActualAwayScore]]=0), 1,0)</f>
        <v>0</v>
      </c>
      <c r="AA3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2" s="2">
        <f>Table2[[#This Row],[ActualAwayScore]]-Table2[[#This Row],[PredictedAwayScore]]</f>
        <v>0</v>
      </c>
      <c r="AG362" s="2">
        <f>Table2[[#This Row],[ActualHomeScore]]-Table2[[#This Row],[PredictedHomeScore]]</f>
        <v>0</v>
      </c>
      <c r="AH362" s="2">
        <f t="shared" si="32"/>
        <v>0</v>
      </c>
      <c r="AI362" s="2">
        <f t="shared" si="33"/>
        <v>0</v>
      </c>
      <c r="AJ362" s="2"/>
      <c r="AK362" s="2"/>
      <c r="AL362" s="2">
        <f>IF(Table2[[#This Row],[GameIsOver]]=0,0,IF(Table2[[#This Row],[ActualWinner]]=Table2[[#This Row],[AwayTeam]], 1, 0))</f>
        <v>0</v>
      </c>
      <c r="AM362" s="2">
        <f>IF(Table2[[#This Row],[GameIsOver]]=0,0,IF(Table2[[#This Row],[ActualWinner]]=Table2[[#This Row],[HomeTeam]], 1, 0))</f>
        <v>0</v>
      </c>
      <c r="AN3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2" t="str">
        <f>INDEX(Sheet5!$B$2:$AG$33, MATCH(Table2[[#This Row],[AwayTeam]],Sheet5!$A$2:$A$33, 0), MATCH(Table2[[#This Row],[HomeTeam]],Sheet5!$A$2:$A$33, 0))</f>
        <v>1-0-0</v>
      </c>
      <c r="AP362" s="2" t="str">
        <f>INDEX(Sheet5!$B$2:$AG$33, MATCH(Table2[[#This Row],[HomeTeam]],Sheet5!$A$2:$A$33, 0), MATCH(Table2[[#This Row],[AwayTeam]],Sheet5!$A$2:$A$33, 0))</f>
        <v>0-0-1</v>
      </c>
      <c r="AQ362" s="2">
        <f>IF(Table2[[#This Row],[GameHasShutOut]], 1, 0)</f>
        <v>0</v>
      </c>
      <c r="AR362" s="2">
        <f>IF(Table2[[#This Row],[ActualAwayScore]] + Table2[[#This Row],[ActualHomeScore]] &gt;= 10, 1, 0)</f>
        <v>0</v>
      </c>
      <c r="AS362" s="2">
        <f>IF(ABS(Table2[[#This Row],[ActualAwayScore]]-Table2[[#This Row],[ActualHomeScore]])&gt;=5, 1, 0)</f>
        <v>0</v>
      </c>
      <c r="AT362" s="2">
        <f>IF(Table2[[#This Row],[ActualAwayScore]] + Table2[[#This Row],[ActualHomeScore]] &lt;= 3, 1, 0)</f>
        <v>1</v>
      </c>
      <c r="AU3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/>
      <c r="B363" s="3">
        <v>45988</v>
      </c>
      <c r="C363" s="5">
        <v>2025020361</v>
      </c>
      <c r="D363" s="2" t="s">
        <v>34</v>
      </c>
      <c r="E363" s="2" t="s">
        <v>30</v>
      </c>
      <c r="F363" s="2"/>
      <c r="G363" s="2"/>
      <c r="H363" s="2" t="str">
        <f t="shared" si="29"/>
        <v>_</v>
      </c>
      <c r="I363" s="2"/>
      <c r="J363" s="2"/>
      <c r="K363" s="2"/>
      <c r="L363" s="2" t="str">
        <f t="shared" si="30"/>
        <v>_</v>
      </c>
      <c r="M363" s="2"/>
      <c r="N363" s="2">
        <f>IF(ISBLANK(Table2[[#This Row],[ActualResult]]), 0, 1)</f>
        <v>0</v>
      </c>
      <c r="O363" s="2" t="str">
        <f>IF(ISBLANK(Table2[[#This Row],[ActualResult]]), "_", IF(Table2[[#This Row],[ActualWinner]]=Table2[[#This Row],[PredictedWinner]], "Y", "N"))</f>
        <v>_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3" s="2"/>
      <c r="S363" s="2" t="str">
        <f t="shared" si="31"/>
        <v>_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3" s="2">
        <f>Table2[[#This Row],[ActualAwayScore]]-Table2[[#This Row],[PredictedAwayScore]]</f>
        <v>0</v>
      </c>
      <c r="AG363" s="2">
        <f>Table2[[#This Row],[ActualHomeScore]]-Table2[[#This Row],[PredictedHomeScore]]</f>
        <v>0</v>
      </c>
      <c r="AH363" s="2">
        <f t="shared" si="32"/>
        <v>0</v>
      </c>
      <c r="AI363" s="2">
        <f t="shared" si="33"/>
        <v>0</v>
      </c>
      <c r="AJ363" s="2"/>
      <c r="AK363" s="2"/>
      <c r="AL363" s="2">
        <f>IF(Table2[[#This Row],[GameIsOver]]=0,0,IF(Table2[[#This Row],[ActualWinner]]=Table2[[#This Row],[AwayTeam]], 1, 0))</f>
        <v>0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0-0-0</v>
      </c>
      <c r="AP363" s="2" t="str">
        <f>INDEX(Sheet5!$B$2:$AG$33, MATCH(Table2[[#This Row],[HomeTeam]],Sheet5!$A$2:$A$33, 0), MATCH(Table2[[#This Row],[AwayTeam]],Sheet5!$A$2:$A$33, 0))</f>
        <v>0-0-0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1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/>
      <c r="B364" s="3">
        <v>45988</v>
      </c>
      <c r="C364" s="5">
        <v>2025020362</v>
      </c>
      <c r="D364" s="2" t="s">
        <v>23</v>
      </c>
      <c r="E364" s="2" t="s">
        <v>40</v>
      </c>
      <c r="F364" s="2"/>
      <c r="G364" s="2"/>
      <c r="H364" s="2" t="str">
        <f t="shared" si="29"/>
        <v>_</v>
      </c>
      <c r="I364" s="2"/>
      <c r="J364" s="2"/>
      <c r="K364" s="2"/>
      <c r="L364" s="2" t="str">
        <f t="shared" si="30"/>
        <v>_</v>
      </c>
      <c r="M364" s="2"/>
      <c r="N364" s="2">
        <f>IF(ISBLANK(Table2[[#This Row],[ActualResult]]), 0, 1)</f>
        <v>0</v>
      </c>
      <c r="O364" s="2" t="str">
        <f>IF(ISBLANK(Table2[[#This Row],[ActualResult]]), "_", IF(Table2[[#This Row],[ActualWinner]]=Table2[[#This Row],[PredictedWinner]], "Y", "N"))</f>
        <v>_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4" s="2"/>
      <c r="S364" s="2" t="str">
        <f t="shared" si="31"/>
        <v>_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4" s="2">
        <f>Table2[[#This Row],[ActualAwayScore]]-Table2[[#This Row],[PredictedAwayScore]]</f>
        <v>0</v>
      </c>
      <c r="AG364" s="2">
        <f>Table2[[#This Row],[ActualHomeScore]]-Table2[[#This Row],[PredictedHomeScore]]</f>
        <v>0</v>
      </c>
      <c r="AH364" s="2">
        <f t="shared" si="32"/>
        <v>0</v>
      </c>
      <c r="AI364" s="2">
        <f t="shared" si="33"/>
        <v>0</v>
      </c>
      <c r="AJ364" s="2"/>
      <c r="AK364" s="2"/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0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0-0-0</v>
      </c>
      <c r="AP364" s="2" t="str">
        <f>INDEX(Sheet5!$B$2:$AG$33, MATCH(Table2[[#This Row],[HomeTeam]],Sheet5!$A$2:$A$33, 0), MATCH(Table2[[#This Row],[AwayTeam]],Sheet5!$A$2:$A$33, 0))</f>
        <v>0-0-0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1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/>
      <c r="B365" s="3">
        <v>45988</v>
      </c>
      <c r="C365" s="5">
        <v>2025020363</v>
      </c>
      <c r="D365" s="2" t="s">
        <v>42</v>
      </c>
      <c r="E365" s="2" t="s">
        <v>13</v>
      </c>
      <c r="F365" s="2"/>
      <c r="G365" s="2"/>
      <c r="H365" s="2" t="str">
        <f t="shared" si="29"/>
        <v>_</v>
      </c>
      <c r="I365" s="2"/>
      <c r="J365" s="2"/>
      <c r="K365" s="2"/>
      <c r="L365" s="2" t="str">
        <f t="shared" si="30"/>
        <v>_</v>
      </c>
      <c r="M365" s="2"/>
      <c r="N365" s="2">
        <f>IF(ISBLANK(Table2[[#This Row],[ActualResult]]), 0, 1)</f>
        <v>0</v>
      </c>
      <c r="O365" s="2" t="str">
        <f>IF(ISBLANK(Table2[[#This Row],[ActualResult]]), "_", IF(Table2[[#This Row],[ActualWinner]]=Table2[[#This Row],[PredictedWinner]], "Y", "N"))</f>
        <v>_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5" s="2"/>
      <c r="S365" s="2" t="str">
        <f t="shared" si="31"/>
        <v>_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5" s="2">
        <f>Table2[[#This Row],[ActualAwayScore]]-Table2[[#This Row],[PredictedAwayScore]]</f>
        <v>0</v>
      </c>
      <c r="AG365" s="2">
        <f>Table2[[#This Row],[ActualHomeScore]]-Table2[[#This Row],[PredictedHomeScore]]</f>
        <v>0</v>
      </c>
      <c r="AH365" s="2">
        <f t="shared" si="32"/>
        <v>0</v>
      </c>
      <c r="AI365" s="2">
        <f t="shared" si="33"/>
        <v>0</v>
      </c>
      <c r="AJ365" s="2"/>
      <c r="AK365" s="2"/>
      <c r="AL365" s="2">
        <f>IF(Table2[[#This Row],[GameIsOver]]=0,0,IF(Table2[[#This Row],[ActualWinner]]=Table2[[#This Row],[AwayTeam]], 1, 0))</f>
        <v>0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1-1-0</v>
      </c>
      <c r="AP365" s="2" t="str">
        <f>INDEX(Sheet5!$B$2:$AG$33, MATCH(Table2[[#This Row],[HomeTeam]],Sheet5!$A$2:$A$33, 0), MATCH(Table2[[#This Row],[AwayTeam]],Sheet5!$A$2:$A$33, 0))</f>
        <v>1-1-0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1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/>
      <c r="B366" s="3">
        <v>45988</v>
      </c>
      <c r="C366" s="5">
        <v>2025020364</v>
      </c>
      <c r="D366" s="2" t="s">
        <v>12</v>
      </c>
      <c r="E366" s="2" t="s">
        <v>31</v>
      </c>
      <c r="F366" s="2"/>
      <c r="G366" s="2"/>
      <c r="H366" s="2" t="str">
        <f t="shared" si="29"/>
        <v>_</v>
      </c>
      <c r="I366" s="2"/>
      <c r="J366" s="2"/>
      <c r="K366" s="2"/>
      <c r="L366" s="2" t="str">
        <f t="shared" si="30"/>
        <v>_</v>
      </c>
      <c r="M366" s="2"/>
      <c r="N366" s="2">
        <f>IF(ISBLANK(Table2[[#This Row],[ActualResult]]), 0, 1)</f>
        <v>0</v>
      </c>
      <c r="O366" s="2" t="str">
        <f>IF(ISBLANK(Table2[[#This Row],[ActualResult]]), "_", IF(Table2[[#This Row],[ActualWinner]]=Table2[[#This Row],[PredictedWinner]], "Y", "N"))</f>
        <v>_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6" s="2"/>
      <c r="S366" s="2" t="str">
        <f t="shared" si="31"/>
        <v>_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6" s="2">
        <f>Table2[[#This Row],[ActualAwayScore]]-Table2[[#This Row],[PredictedAwayScore]]</f>
        <v>0</v>
      </c>
      <c r="AG366" s="2">
        <f>Table2[[#This Row],[ActualHomeScore]]-Table2[[#This Row],[PredictedHomeScore]]</f>
        <v>0</v>
      </c>
      <c r="AH366" s="2">
        <f t="shared" si="32"/>
        <v>0</v>
      </c>
      <c r="AI366" s="2">
        <f t="shared" si="33"/>
        <v>0</v>
      </c>
      <c r="AJ366" s="2"/>
      <c r="AK366" s="2"/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0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0-0-0</v>
      </c>
      <c r="AP366" s="2" t="str">
        <f>INDEX(Sheet5!$B$2:$AG$33, MATCH(Table2[[#This Row],[HomeTeam]],Sheet5!$A$2:$A$33, 0), MATCH(Table2[[#This Row],[AwayTeam]],Sheet5!$A$2:$A$33, 0))</f>
        <v>0-0-0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1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/>
      <c r="B367" s="3">
        <v>45988</v>
      </c>
      <c r="C367" s="5">
        <v>2025020365</v>
      </c>
      <c r="D367" s="2" t="s">
        <v>15</v>
      </c>
      <c r="E367" s="2" t="s">
        <v>32</v>
      </c>
      <c r="F367" s="2"/>
      <c r="G367" s="2"/>
      <c r="H367" s="2" t="str">
        <f t="shared" si="29"/>
        <v>_</v>
      </c>
      <c r="I367" s="2"/>
      <c r="J367" s="2"/>
      <c r="K367" s="2"/>
      <c r="L367" s="2" t="str">
        <f t="shared" si="30"/>
        <v>_</v>
      </c>
      <c r="M367" s="2"/>
      <c r="N367" s="2">
        <f>IF(ISBLANK(Table2[[#This Row],[ActualResult]]), 0, 1)</f>
        <v>0</v>
      </c>
      <c r="O367" s="2" t="str">
        <f>IF(ISBLANK(Table2[[#This Row],[ActualResult]]), "_", IF(Table2[[#This Row],[ActualWinner]]=Table2[[#This Row],[PredictedWinner]], "Y", "N"))</f>
        <v>_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7" s="2"/>
      <c r="S367" s="2" t="str">
        <f t="shared" si="31"/>
        <v>_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7" s="2">
        <f>Table2[[#This Row],[ActualAwayScore]]-Table2[[#This Row],[PredictedAwayScore]]</f>
        <v>0</v>
      </c>
      <c r="AG367" s="2">
        <f>Table2[[#This Row],[ActualHomeScore]]-Table2[[#This Row],[PredictedHomeScore]]</f>
        <v>0</v>
      </c>
      <c r="AH367" s="2">
        <f t="shared" si="32"/>
        <v>0</v>
      </c>
      <c r="AI367" s="2">
        <f t="shared" si="33"/>
        <v>0</v>
      </c>
      <c r="AJ367" s="2"/>
      <c r="AK367" s="2"/>
      <c r="AL367" s="2">
        <f>IF(Table2[[#This Row],[GameIsOver]]=0,0,IF(Table2[[#This Row],[ActualWinner]]=Table2[[#This Row],[AwayTeam]], 1, 0))</f>
        <v>0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2-0-0</v>
      </c>
      <c r="AP367" s="2" t="str">
        <f>INDEX(Sheet5!$B$2:$AG$33, MATCH(Table2[[#This Row],[HomeTeam]],Sheet5!$A$2:$A$33, 0), MATCH(Table2[[#This Row],[AwayTeam]],Sheet5!$A$2:$A$33, 0))</f>
        <v>0-1-1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1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/>
      <c r="B368" s="3">
        <v>45988</v>
      </c>
      <c r="C368" s="5">
        <v>2025020366</v>
      </c>
      <c r="D368" s="2" t="s">
        <v>28</v>
      </c>
      <c r="E368" s="2" t="s">
        <v>20</v>
      </c>
      <c r="F368" s="2"/>
      <c r="G368" s="2"/>
      <c r="H368" s="2" t="str">
        <f t="shared" si="29"/>
        <v>_</v>
      </c>
      <c r="I368" s="2"/>
      <c r="J368" s="2"/>
      <c r="K368" s="2"/>
      <c r="L368" s="2" t="str">
        <f t="shared" si="30"/>
        <v>_</v>
      </c>
      <c r="M368" s="2"/>
      <c r="N368" s="2">
        <f>IF(ISBLANK(Table2[[#This Row],[ActualResult]]), 0, 1)</f>
        <v>0</v>
      </c>
      <c r="O368" s="2" t="str">
        <f>IF(ISBLANK(Table2[[#This Row],[ActualResult]]), "_", IF(Table2[[#This Row],[ActualWinner]]=Table2[[#This Row],[PredictedWinner]], "Y", "N"))</f>
        <v>_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8" s="2"/>
      <c r="S368" s="2" t="str">
        <f t="shared" si="31"/>
        <v>_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8" s="2">
        <f>Table2[[#This Row],[ActualAwayScore]]-Table2[[#This Row],[PredictedAwayScore]]</f>
        <v>0</v>
      </c>
      <c r="AG368" s="2">
        <f>Table2[[#This Row],[ActualHomeScore]]-Table2[[#This Row],[PredictedHomeScore]]</f>
        <v>0</v>
      </c>
      <c r="AH368" s="2">
        <f t="shared" si="32"/>
        <v>0</v>
      </c>
      <c r="AI368" s="2">
        <f t="shared" si="33"/>
        <v>0</v>
      </c>
      <c r="AJ368" s="2"/>
      <c r="AK368" s="2"/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0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0-0-0</v>
      </c>
      <c r="AP368" s="2" t="str">
        <f>INDEX(Sheet5!$B$2:$AG$33, MATCH(Table2[[#This Row],[HomeTeam]],Sheet5!$A$2:$A$33, 0), MATCH(Table2[[#This Row],[AwayTeam]],Sheet5!$A$2:$A$33, 0))</f>
        <v>0-0-0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1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/>
      <c r="B369" s="3">
        <v>45988</v>
      </c>
      <c r="C369" s="5">
        <v>2025020367</v>
      </c>
      <c r="D369" s="2" t="s">
        <v>21</v>
      </c>
      <c r="E369" s="2" t="s">
        <v>43</v>
      </c>
      <c r="F369" s="2"/>
      <c r="G369" s="2"/>
      <c r="H369" s="2" t="str">
        <f t="shared" si="29"/>
        <v>_</v>
      </c>
      <c r="I369" s="2"/>
      <c r="J369" s="2"/>
      <c r="K369" s="2"/>
      <c r="L369" s="2" t="str">
        <f t="shared" si="30"/>
        <v>_</v>
      </c>
      <c r="M369" s="2"/>
      <c r="N369" s="2">
        <f>IF(ISBLANK(Table2[[#This Row],[ActualResult]]), 0, 1)</f>
        <v>0</v>
      </c>
      <c r="O369" s="2" t="str">
        <f>IF(ISBLANK(Table2[[#This Row],[ActualResult]]), "_", IF(Table2[[#This Row],[ActualWinner]]=Table2[[#This Row],[PredictedWinner]], "Y", "N"))</f>
        <v>_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9" s="2"/>
      <c r="S369" s="2" t="str">
        <f t="shared" si="31"/>
        <v>_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9" s="2">
        <f>Table2[[#This Row],[ActualAwayScore]]-Table2[[#This Row],[PredictedAwayScore]]</f>
        <v>0</v>
      </c>
      <c r="AG369" s="2">
        <f>Table2[[#This Row],[ActualHomeScore]]-Table2[[#This Row],[PredictedHomeScore]]</f>
        <v>0</v>
      </c>
      <c r="AH369" s="2">
        <f t="shared" si="32"/>
        <v>0</v>
      </c>
      <c r="AI369" s="2">
        <f t="shared" si="33"/>
        <v>0</v>
      </c>
      <c r="AJ369" s="2"/>
      <c r="AK369" s="2"/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0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0-0-0</v>
      </c>
      <c r="AP369" s="2" t="str">
        <f>INDEX(Sheet5!$B$2:$AG$33, MATCH(Table2[[#This Row],[HomeTeam]],Sheet5!$A$2:$A$33, 0), MATCH(Table2[[#This Row],[AwayTeam]],Sheet5!$A$2:$A$33, 0))</f>
        <v>0-0-0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1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/>
      <c r="B370" s="3">
        <v>45988</v>
      </c>
      <c r="C370" s="5">
        <v>2025020368</v>
      </c>
      <c r="D370" s="2" t="s">
        <v>19</v>
      </c>
      <c r="E370" s="2" t="s">
        <v>41</v>
      </c>
      <c r="F370" s="2"/>
      <c r="G370" s="2"/>
      <c r="H370" s="2" t="str">
        <f t="shared" si="29"/>
        <v>_</v>
      </c>
      <c r="I370" s="2"/>
      <c r="J370" s="2"/>
      <c r="K370" s="2"/>
      <c r="L370" s="2" t="str">
        <f t="shared" si="30"/>
        <v>_</v>
      </c>
      <c r="M370" s="2"/>
      <c r="N370" s="2">
        <f>IF(ISBLANK(Table2[[#This Row],[ActualResult]]), 0, 1)</f>
        <v>0</v>
      </c>
      <c r="O370" s="2" t="str">
        <f>IF(ISBLANK(Table2[[#This Row],[ActualResult]]), "_", IF(Table2[[#This Row],[ActualWinner]]=Table2[[#This Row],[PredictedWinner]], "Y", "N"))</f>
        <v>_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0" s="2"/>
      <c r="S370" s="2" t="str">
        <f t="shared" si="31"/>
        <v>_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0" s="2">
        <f>Table2[[#This Row],[ActualAwayScore]]-Table2[[#This Row],[PredictedAwayScore]]</f>
        <v>0</v>
      </c>
      <c r="AG370" s="2">
        <f>Table2[[#This Row],[ActualHomeScore]]-Table2[[#This Row],[PredictedHomeScore]]</f>
        <v>0</v>
      </c>
      <c r="AH370" s="2">
        <f t="shared" si="32"/>
        <v>0</v>
      </c>
      <c r="AI370" s="2">
        <f t="shared" si="33"/>
        <v>0</v>
      </c>
      <c r="AJ370" s="2"/>
      <c r="AK370" s="2"/>
      <c r="AL370" s="2">
        <f>IF(Table2[[#This Row],[GameIsOver]]=0,0,IF(Table2[[#This Row],[ActualWinner]]=Table2[[#This Row],[AwayTeam]], 1, 0))</f>
        <v>0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0-1-0</v>
      </c>
      <c r="AP370" s="2" t="str">
        <f>INDEX(Sheet5!$B$2:$AG$33, MATCH(Table2[[#This Row],[HomeTeam]],Sheet5!$A$2:$A$33, 0), MATCH(Table2[[#This Row],[AwayTeam]],Sheet5!$A$2:$A$33, 0))</f>
        <v>1-0-0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1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/>
      <c r="B371" s="3">
        <v>45988</v>
      </c>
      <c r="C371" s="5">
        <v>2025020369</v>
      </c>
      <c r="D371" s="2" t="s">
        <v>17</v>
      </c>
      <c r="E371" s="2" t="s">
        <v>35</v>
      </c>
      <c r="F371" s="2"/>
      <c r="G371" s="2"/>
      <c r="H371" s="2" t="str">
        <f t="shared" si="29"/>
        <v>_</v>
      </c>
      <c r="I371" s="2"/>
      <c r="J371" s="2"/>
      <c r="K371" s="2"/>
      <c r="L371" s="2" t="str">
        <f t="shared" si="30"/>
        <v>_</v>
      </c>
      <c r="M371" s="2"/>
      <c r="N371" s="2">
        <f>IF(ISBLANK(Table2[[#This Row],[ActualResult]]), 0, 1)</f>
        <v>0</v>
      </c>
      <c r="O371" s="2" t="str">
        <f>IF(ISBLANK(Table2[[#This Row],[ActualResult]]), "_", IF(Table2[[#This Row],[ActualWinner]]=Table2[[#This Row],[PredictedWinner]], "Y", "N"))</f>
        <v>_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1" s="2"/>
      <c r="S371" s="2" t="str">
        <f t="shared" si="31"/>
        <v>_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1" s="2">
        <f>Table2[[#This Row],[ActualAwayScore]]-Table2[[#This Row],[PredictedAwayScore]]</f>
        <v>0</v>
      </c>
      <c r="AG371" s="2">
        <f>Table2[[#This Row],[ActualHomeScore]]-Table2[[#This Row],[PredictedHomeScore]]</f>
        <v>0</v>
      </c>
      <c r="AH371" s="2">
        <f t="shared" si="32"/>
        <v>0</v>
      </c>
      <c r="AI371" s="2">
        <f t="shared" si="33"/>
        <v>0</v>
      </c>
      <c r="AJ371" s="2"/>
      <c r="AK371" s="2"/>
      <c r="AL371" s="2">
        <f>IF(Table2[[#This Row],[GameIsOver]]=0,0,IF(Table2[[#This Row],[ActualWinner]]=Table2[[#This Row],[AwayTeam]], 1, 0))</f>
        <v>0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0-1-0</v>
      </c>
      <c r="AP371" s="2" t="str">
        <f>INDEX(Sheet5!$B$2:$AG$33, MATCH(Table2[[#This Row],[HomeTeam]],Sheet5!$A$2:$A$33, 0), MATCH(Table2[[#This Row],[AwayTeam]],Sheet5!$A$2:$A$33, 0))</f>
        <v>1-0-0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/>
      <c r="B372" s="3">
        <v>45988</v>
      </c>
      <c r="C372" s="5">
        <v>2025020370</v>
      </c>
      <c r="D372" s="2" t="s">
        <v>36</v>
      </c>
      <c r="E372" s="2" t="s">
        <v>16</v>
      </c>
      <c r="F372" s="2"/>
      <c r="G372" s="2"/>
      <c r="H372" s="2" t="str">
        <f t="shared" si="29"/>
        <v>_</v>
      </c>
      <c r="I372" s="2"/>
      <c r="J372" s="2"/>
      <c r="K372" s="2"/>
      <c r="L372" s="2" t="str">
        <f t="shared" si="30"/>
        <v>_</v>
      </c>
      <c r="M372" s="2"/>
      <c r="N372" s="2">
        <f>IF(ISBLANK(Table2[[#This Row],[ActualResult]]), 0, 1)</f>
        <v>0</v>
      </c>
      <c r="O372" s="2" t="str">
        <f>IF(ISBLANK(Table2[[#This Row],[ActualResult]]), "_", IF(Table2[[#This Row],[ActualWinner]]=Table2[[#This Row],[PredictedWinner]], "Y", "N"))</f>
        <v>_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2" s="2"/>
      <c r="S372" s="2" t="str">
        <f t="shared" si="31"/>
        <v>_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2" s="2">
        <f>Table2[[#This Row],[ActualAwayScore]]-Table2[[#This Row],[PredictedAwayScore]]</f>
        <v>0</v>
      </c>
      <c r="AG372" s="2">
        <f>Table2[[#This Row],[ActualHomeScore]]-Table2[[#This Row],[PredictedHomeScore]]</f>
        <v>0</v>
      </c>
      <c r="AH372" s="2">
        <f t="shared" si="32"/>
        <v>0</v>
      </c>
      <c r="AI372" s="2">
        <f t="shared" si="33"/>
        <v>0</v>
      </c>
      <c r="AJ372" s="2"/>
      <c r="AK372" s="2"/>
      <c r="AL372" s="2">
        <f>IF(Table2[[#This Row],[GameIsOver]]=0,0,IF(Table2[[#This Row],[ActualWinner]]=Table2[[#This Row],[AwayTeam]], 1, 0))</f>
        <v>0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0-0-0</v>
      </c>
      <c r="AP372" s="2" t="str">
        <f>INDEX(Sheet5!$B$2:$AG$33, MATCH(Table2[[#This Row],[HomeTeam]],Sheet5!$A$2:$A$33, 0), MATCH(Table2[[#This Row],[AwayTeam]],Sheet5!$A$2:$A$33, 0))</f>
        <v>0-0-0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1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/>
      <c r="B373" s="3">
        <v>45988</v>
      </c>
      <c r="C373" s="5">
        <v>2025020371</v>
      </c>
      <c r="D373" s="2" t="s">
        <v>37</v>
      </c>
      <c r="E373" s="2" t="s">
        <v>25</v>
      </c>
      <c r="F373" s="2"/>
      <c r="G373" s="2"/>
      <c r="H373" s="2" t="str">
        <f t="shared" si="29"/>
        <v>_</v>
      </c>
      <c r="I373" s="2"/>
      <c r="J373" s="2"/>
      <c r="K373" s="2"/>
      <c r="L373" s="2" t="str">
        <f t="shared" si="30"/>
        <v>_</v>
      </c>
      <c r="M373" s="2"/>
      <c r="N373" s="2">
        <f>IF(ISBLANK(Table2[[#This Row],[ActualResult]]), 0, 1)</f>
        <v>0</v>
      </c>
      <c r="O373" s="2" t="str">
        <f>IF(ISBLANK(Table2[[#This Row],[ActualResult]]), "_", IF(Table2[[#This Row],[ActualWinner]]=Table2[[#This Row],[PredictedWinner]], "Y", "N"))</f>
        <v>_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3" s="2"/>
      <c r="S373" s="2" t="str">
        <f t="shared" si="31"/>
        <v>_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0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3" s="2">
        <f>Table2[[#This Row],[ActualAwayScore]]-Table2[[#This Row],[PredictedAwayScore]]</f>
        <v>0</v>
      </c>
      <c r="AG373" s="2">
        <f>Table2[[#This Row],[ActualHomeScore]]-Table2[[#This Row],[PredictedHomeScore]]</f>
        <v>0</v>
      </c>
      <c r="AH373" s="2">
        <f t="shared" si="32"/>
        <v>0</v>
      </c>
      <c r="AI373" s="2">
        <f t="shared" si="33"/>
        <v>0</v>
      </c>
      <c r="AJ373" s="2"/>
      <c r="AK373" s="2"/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0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1-0-0</v>
      </c>
      <c r="AP373" s="2" t="str">
        <f>INDEX(Sheet5!$B$2:$AG$33, MATCH(Table2[[#This Row],[HomeTeam]],Sheet5!$A$2:$A$33, 0), MATCH(Table2[[#This Row],[AwayTeam]],Sheet5!$A$2:$A$33, 0))</f>
        <v>0-0-1</v>
      </c>
      <c r="AQ373" s="2">
        <f>IF(Table2[[#This Row],[GameHasShutOut]], 1, 0)</f>
        <v>0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0</v>
      </c>
      <c r="AT373" s="2">
        <f>IF(Table2[[#This Row],[ActualAwayScore]] + Table2[[#This Row],[ActualHomeScore]] &lt;= 3, 1, 0)</f>
        <v>1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/>
      <c r="B374" s="3">
        <v>45988</v>
      </c>
      <c r="C374" s="5">
        <v>2025020372</v>
      </c>
      <c r="D374" s="2" t="s">
        <v>18</v>
      </c>
      <c r="E374" s="2" t="s">
        <v>14</v>
      </c>
      <c r="F374" s="2"/>
      <c r="G374" s="2"/>
      <c r="H374" s="2" t="str">
        <f t="shared" si="29"/>
        <v>_</v>
      </c>
      <c r="I374" s="2"/>
      <c r="J374" s="2"/>
      <c r="K374" s="2"/>
      <c r="L374" s="2" t="str">
        <f t="shared" si="30"/>
        <v>_</v>
      </c>
      <c r="M374" s="2"/>
      <c r="N374" s="2">
        <f>IF(ISBLANK(Table2[[#This Row],[ActualResult]]), 0, 1)</f>
        <v>0</v>
      </c>
      <c r="O374" s="2" t="str">
        <f>IF(ISBLANK(Table2[[#This Row],[ActualResult]]), "_", IF(Table2[[#This Row],[ActualWinner]]=Table2[[#This Row],[PredictedWinner]], "Y", "N"))</f>
        <v>_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4" s="2"/>
      <c r="S374" s="2" t="str">
        <f t="shared" si="31"/>
        <v>_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4" s="2">
        <f>Table2[[#This Row],[ActualAwayScore]]-Table2[[#This Row],[PredictedAwayScore]]</f>
        <v>0</v>
      </c>
      <c r="AG374" s="2">
        <f>Table2[[#This Row],[ActualHomeScore]]-Table2[[#This Row],[PredictedHomeScore]]</f>
        <v>0</v>
      </c>
      <c r="AH374" s="2">
        <f t="shared" si="32"/>
        <v>0</v>
      </c>
      <c r="AI374" s="2">
        <f t="shared" si="33"/>
        <v>0</v>
      </c>
      <c r="AJ374" s="2"/>
      <c r="AK374" s="2"/>
      <c r="AL374" s="2">
        <f>IF(Table2[[#This Row],[GameIsOver]]=0,0,IF(Table2[[#This Row],[ActualWinner]]=Table2[[#This Row],[AwayTeam]], 1, 0))</f>
        <v>0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1-0-0</v>
      </c>
      <c r="AP374" s="2" t="str">
        <f>INDEX(Sheet5!$B$2:$AG$33, MATCH(Table2[[#This Row],[HomeTeam]],Sheet5!$A$2:$A$33, 0), MATCH(Table2[[#This Row],[AwayTeam]],Sheet5!$A$2:$A$33, 0))</f>
        <v>0-1-0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1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/>
      <c r="B375" s="3">
        <v>45988</v>
      </c>
      <c r="C375" s="5">
        <v>2025020373</v>
      </c>
      <c r="D375" s="2" t="s">
        <v>29</v>
      </c>
      <c r="E375" s="2" t="s">
        <v>26</v>
      </c>
      <c r="F375" s="2"/>
      <c r="G375" s="2"/>
      <c r="H375" s="2" t="str">
        <f t="shared" si="29"/>
        <v>_</v>
      </c>
      <c r="I375" s="2"/>
      <c r="J375" s="2"/>
      <c r="K375" s="2"/>
      <c r="L375" s="2" t="str">
        <f t="shared" si="30"/>
        <v>_</v>
      </c>
      <c r="M375" s="2"/>
      <c r="N375" s="2">
        <f>IF(ISBLANK(Table2[[#This Row],[ActualResult]]), 0, 1)</f>
        <v>0</v>
      </c>
      <c r="O375" s="2" t="str">
        <f>IF(ISBLANK(Table2[[#This Row],[ActualResult]]), "_", IF(Table2[[#This Row],[ActualWinner]]=Table2[[#This Row],[PredictedWinner]], "Y", "N"))</f>
        <v>_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5" s="2"/>
      <c r="S375" s="2" t="str">
        <f t="shared" si="31"/>
        <v>_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5" s="2">
        <f>Table2[[#This Row],[ActualAwayScore]]-Table2[[#This Row],[PredictedAwayScore]]</f>
        <v>0</v>
      </c>
      <c r="AG375" s="2">
        <f>Table2[[#This Row],[ActualHomeScore]]-Table2[[#This Row],[PredictedHomeScore]]</f>
        <v>0</v>
      </c>
      <c r="AH375" s="2">
        <f t="shared" si="32"/>
        <v>0</v>
      </c>
      <c r="AI375" s="2">
        <f t="shared" si="33"/>
        <v>0</v>
      </c>
      <c r="AJ375" s="2"/>
      <c r="AK375" s="2"/>
      <c r="AL375" s="2">
        <f>IF(Table2[[#This Row],[GameIsOver]]=0,0,IF(Table2[[#This Row],[ActualWinner]]=Table2[[#This Row],[AwayTeam]], 1, 0))</f>
        <v>0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0-0-0</v>
      </c>
      <c r="AP375" s="2" t="str">
        <f>INDEX(Sheet5!$B$2:$AG$33, MATCH(Table2[[#This Row],[HomeTeam]],Sheet5!$A$2:$A$33, 0), MATCH(Table2[[#This Row],[AwayTeam]],Sheet5!$A$2:$A$33, 0))</f>
        <v>0-0-0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1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/>
      <c r="B376" s="3">
        <v>45988</v>
      </c>
      <c r="C376" s="5">
        <v>2025020374</v>
      </c>
      <c r="D376" s="2" t="s">
        <v>24</v>
      </c>
      <c r="E376" s="2" t="s">
        <v>44</v>
      </c>
      <c r="F376" s="2"/>
      <c r="G376" s="2"/>
      <c r="H376" s="2" t="str">
        <f t="shared" si="29"/>
        <v>_</v>
      </c>
      <c r="I376" s="2"/>
      <c r="J376" s="2"/>
      <c r="K376" s="2"/>
      <c r="L376" s="2" t="str">
        <f t="shared" si="30"/>
        <v>_</v>
      </c>
      <c r="M376" s="2"/>
      <c r="N376" s="2">
        <f>IF(ISBLANK(Table2[[#This Row],[ActualResult]]), 0, 1)</f>
        <v>0</v>
      </c>
      <c r="O376" s="2" t="str">
        <f>IF(ISBLANK(Table2[[#This Row],[ActualResult]]), "_", IF(Table2[[#This Row],[ActualWinner]]=Table2[[#This Row],[PredictedWinner]], "Y", "N"))</f>
        <v>_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6" s="2"/>
      <c r="S376" s="2" t="str">
        <f t="shared" si="31"/>
        <v>_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6" s="2">
        <f>Table2[[#This Row],[ActualAwayScore]]-Table2[[#This Row],[PredictedAwayScore]]</f>
        <v>0</v>
      </c>
      <c r="AG376" s="2">
        <f>Table2[[#This Row],[ActualHomeScore]]-Table2[[#This Row],[PredictedHomeScore]]</f>
        <v>0</v>
      </c>
      <c r="AH376" s="2">
        <f t="shared" si="32"/>
        <v>0</v>
      </c>
      <c r="AI376" s="2">
        <f t="shared" si="33"/>
        <v>0</v>
      </c>
      <c r="AJ376" s="2"/>
      <c r="AK376" s="2"/>
      <c r="AL376" s="2">
        <f>IF(Table2[[#This Row],[GameIsOver]]=0,0,IF(Table2[[#This Row],[ActualWinner]]=Table2[[#This Row],[AwayTeam]], 1, 0))</f>
        <v>0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0-0-0</v>
      </c>
      <c r="AP376" s="2" t="str">
        <f>INDEX(Sheet5!$B$2:$AG$33, MATCH(Table2[[#This Row],[HomeTeam]],Sheet5!$A$2:$A$33, 0), MATCH(Table2[[#This Row],[AwayTeam]],Sheet5!$A$2:$A$33, 0))</f>
        <v>0-0-0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1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3"/>
      <c r="B377" s="3">
        <v>45988</v>
      </c>
      <c r="C377" s="5">
        <v>2025020375</v>
      </c>
      <c r="D377" s="2" t="s">
        <v>33</v>
      </c>
      <c r="E377" s="2" t="s">
        <v>11</v>
      </c>
      <c r="F377" s="2"/>
      <c r="G377" s="2"/>
      <c r="H377" s="2" t="str">
        <f t="shared" si="29"/>
        <v>_</v>
      </c>
      <c r="I377" s="2"/>
      <c r="J377" s="2"/>
      <c r="K377" s="2"/>
      <c r="L377" s="2" t="str">
        <f t="shared" si="30"/>
        <v>_</v>
      </c>
      <c r="M377" s="2"/>
      <c r="N377" s="2">
        <f>IF(ISBLANK(Table2[[#This Row],[ActualResult]]), 0, 1)</f>
        <v>0</v>
      </c>
      <c r="O377" s="2" t="str">
        <f>IF(ISBLANK(Table2[[#This Row],[ActualResult]]), "_", IF(Table2[[#This Row],[ActualWinner]]=Table2[[#This Row],[PredictedWinner]], "Y", "N"))</f>
        <v>_</v>
      </c>
      <c r="P3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7" s="2"/>
      <c r="S377" s="2" t="str">
        <f t="shared" si="31"/>
        <v>_</v>
      </c>
      <c r="T3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2">
        <f>IF(Table2[[#This Row],[InterConf]]=1,IF(Table2[[#This Row],[InterDiv]]=0, 1, 0), 0)</f>
        <v>1</v>
      </c>
      <c r="W3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2"/>
      <c r="Y377" s="2"/>
      <c r="Z377" s="145">
        <f>IF(AND(Table2[[#This Row],[GameIsOver]]=1,Table2[[#This Row],[ActualHomeScore]]*Table2[[#This Row],[ActualAwayScore]]=0), 1,0)</f>
        <v>0</v>
      </c>
      <c r="AA3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7" s="2">
        <f>Table2[[#This Row],[ActualAwayScore]]-Table2[[#This Row],[PredictedAwayScore]]</f>
        <v>0</v>
      </c>
      <c r="AG377" s="2">
        <f>Table2[[#This Row],[ActualHomeScore]]-Table2[[#This Row],[PredictedHomeScore]]</f>
        <v>0</v>
      </c>
      <c r="AH377" s="2">
        <f t="shared" si="32"/>
        <v>0</v>
      </c>
      <c r="AI377" s="2">
        <f t="shared" si="33"/>
        <v>0</v>
      </c>
      <c r="AJ377" s="2"/>
      <c r="AK377" s="2"/>
      <c r="AL377" s="2">
        <f>IF(Table2[[#This Row],[GameIsOver]]=0,0,IF(Table2[[#This Row],[ActualWinner]]=Table2[[#This Row],[AwayTeam]], 1, 0))</f>
        <v>0</v>
      </c>
      <c r="AM377" s="2">
        <f>IF(Table2[[#This Row],[GameIsOver]]=0,0,IF(Table2[[#This Row],[ActualWinner]]=Table2[[#This Row],[HomeTeam]], 1, 0))</f>
        <v>0</v>
      </c>
      <c r="AN3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2" t="str">
        <f>INDEX(Sheet5!$B$2:$AG$33, MATCH(Table2[[#This Row],[AwayTeam]],Sheet5!$A$2:$A$33, 0), MATCH(Table2[[#This Row],[HomeTeam]],Sheet5!$A$2:$A$33, 0))</f>
        <v>1-0-0</v>
      </c>
      <c r="AP377" s="2" t="str">
        <f>INDEX(Sheet5!$B$2:$AG$33, MATCH(Table2[[#This Row],[HomeTeam]],Sheet5!$A$2:$A$33, 0), MATCH(Table2[[#This Row],[AwayTeam]],Sheet5!$A$2:$A$33, 0))</f>
        <v>0-1-0</v>
      </c>
      <c r="AQ377" s="2">
        <f>IF(Table2[[#This Row],[GameHasShutOut]], 1, 0)</f>
        <v>0</v>
      </c>
      <c r="AR377" s="2">
        <f>IF(Table2[[#This Row],[ActualAwayScore]] + Table2[[#This Row],[ActualHomeScore]] &gt;= 10, 1, 0)</f>
        <v>0</v>
      </c>
      <c r="AS377" s="2">
        <f>IF(ABS(Table2[[#This Row],[ActualAwayScore]]-Table2[[#This Row],[ActualHomeScore]])&gt;=5, 1, 0)</f>
        <v>0</v>
      </c>
      <c r="AT377" s="2">
        <f>IF(Table2[[#This Row],[ActualAwayScore]] + Table2[[#This Row],[ActualHomeScore]] &lt;= 3, 1, 0)</f>
        <v>1</v>
      </c>
      <c r="AU3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/>
      <c r="B378" s="3">
        <v>45989</v>
      </c>
      <c r="C378" s="5">
        <v>2025020376</v>
      </c>
      <c r="D378" s="2" t="s">
        <v>19</v>
      </c>
      <c r="E378" s="2" t="s">
        <v>15</v>
      </c>
      <c r="F378" s="2"/>
      <c r="G378" s="2"/>
      <c r="H378" s="2" t="str">
        <f t="shared" si="29"/>
        <v>_</v>
      </c>
      <c r="I378" s="2"/>
      <c r="J378" s="2"/>
      <c r="K378" s="2"/>
      <c r="L378" s="2" t="str">
        <f t="shared" si="30"/>
        <v>_</v>
      </c>
      <c r="M378" s="2"/>
      <c r="N378" s="2">
        <f>IF(ISBLANK(Table2[[#This Row],[ActualResult]]), 0, 1)</f>
        <v>0</v>
      </c>
      <c r="O378" s="2" t="str">
        <f>IF(ISBLANK(Table2[[#This Row],[ActualResult]]), "_", IF(Table2[[#This Row],[ActualWinner]]=Table2[[#This Row],[PredictedWinner]], "Y", "N"))</f>
        <v>_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8" s="2"/>
      <c r="S378" s="2" t="str">
        <f t="shared" si="31"/>
        <v>_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0</v>
      </c>
      <c r="AG378" s="2">
        <f>Table2[[#This Row],[ActualHomeScore]]-Table2[[#This Row],[PredictedHomeScore]]</f>
        <v>0</v>
      </c>
      <c r="AH378" s="2">
        <f t="shared" si="32"/>
        <v>0</v>
      </c>
      <c r="AI378" s="2">
        <f t="shared" si="33"/>
        <v>0</v>
      </c>
      <c r="AJ378" s="2"/>
      <c r="AK378" s="2"/>
      <c r="AL378" s="2">
        <f>IF(Table2[[#This Row],[GameIsOver]]=0,0,IF(Table2[[#This Row],[ActualWinner]]=Table2[[#This Row],[AwayTeam]], 1, 0))</f>
        <v>0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0-0-0</v>
      </c>
      <c r="AP378" s="2" t="str">
        <f>INDEX(Sheet5!$B$2:$AG$33, MATCH(Table2[[#This Row],[HomeTeam]],Sheet5!$A$2:$A$33, 0), MATCH(Table2[[#This Row],[AwayTeam]],Sheet5!$A$2:$A$33, 0))</f>
        <v>0-0-0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1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/>
      <c r="B379" s="3">
        <v>45989</v>
      </c>
      <c r="C379" s="5">
        <v>2025020377</v>
      </c>
      <c r="D379" s="2" t="s">
        <v>40</v>
      </c>
      <c r="E379" s="2" t="s">
        <v>30</v>
      </c>
      <c r="F379" s="2"/>
      <c r="G379" s="2"/>
      <c r="H379" s="2" t="str">
        <f t="shared" si="29"/>
        <v>_</v>
      </c>
      <c r="I379" s="2"/>
      <c r="J379" s="2"/>
      <c r="K379" s="2"/>
      <c r="L379" s="2" t="str">
        <f t="shared" si="30"/>
        <v>_</v>
      </c>
      <c r="M379" s="2"/>
      <c r="N379" s="2">
        <f>IF(ISBLANK(Table2[[#This Row],[ActualResult]]), 0, 1)</f>
        <v>0</v>
      </c>
      <c r="O379" s="2" t="str">
        <f>IF(ISBLANK(Table2[[#This Row],[ActualResult]]), "_", IF(Table2[[#This Row],[ActualWinner]]=Table2[[#This Row],[PredictedWinner]], "Y", "N"))</f>
        <v>_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9" s="2"/>
      <c r="S379" s="2" t="str">
        <f t="shared" si="31"/>
        <v>_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0</v>
      </c>
      <c r="AG379" s="2">
        <f>Table2[[#This Row],[ActualHomeScore]]-Table2[[#This Row],[PredictedHomeScore]]</f>
        <v>0</v>
      </c>
      <c r="AH379" s="2">
        <f t="shared" si="32"/>
        <v>0</v>
      </c>
      <c r="AI379" s="2">
        <f t="shared" si="33"/>
        <v>0</v>
      </c>
      <c r="AJ379" s="2"/>
      <c r="AK379" s="2"/>
      <c r="AL379" s="2">
        <f>IF(Table2[[#This Row],[GameIsOver]]=0,0,IF(Table2[[#This Row],[ActualWinner]]=Table2[[#This Row],[AwayTeam]], 1, 0))</f>
        <v>0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0-0-1</v>
      </c>
      <c r="AP379" s="2" t="str">
        <f>INDEX(Sheet5!$B$2:$AG$33, MATCH(Table2[[#This Row],[HomeTeam]],Sheet5!$A$2:$A$33, 0), MATCH(Table2[[#This Row],[AwayTeam]],Sheet5!$A$2:$A$33, 0))</f>
        <v>1-0-0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1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/>
      <c r="B380" s="3">
        <v>45989</v>
      </c>
      <c r="C380" s="5">
        <v>2025020378</v>
      </c>
      <c r="D380" s="2" t="s">
        <v>25</v>
      </c>
      <c r="E380" s="2" t="s">
        <v>36</v>
      </c>
      <c r="F380" s="2"/>
      <c r="G380" s="2"/>
      <c r="H380" s="2" t="str">
        <f t="shared" si="29"/>
        <v>_</v>
      </c>
      <c r="I380" s="2"/>
      <c r="J380" s="2"/>
      <c r="K380" s="2"/>
      <c r="L380" s="2" t="str">
        <f t="shared" si="30"/>
        <v>_</v>
      </c>
      <c r="M380" s="2"/>
      <c r="N380" s="2">
        <f>IF(ISBLANK(Table2[[#This Row],[ActualResult]]), 0, 1)</f>
        <v>0</v>
      </c>
      <c r="O380" s="2" t="str">
        <f>IF(ISBLANK(Table2[[#This Row],[ActualResult]]), "_", IF(Table2[[#This Row],[ActualWinner]]=Table2[[#This Row],[PredictedWinner]], "Y", "N"))</f>
        <v>_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0" s="2"/>
      <c r="S380" s="2" t="str">
        <f t="shared" si="31"/>
        <v>_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0</v>
      </c>
      <c r="AG380" s="2">
        <f>Table2[[#This Row],[ActualHomeScore]]-Table2[[#This Row],[PredictedHomeScore]]</f>
        <v>0</v>
      </c>
      <c r="AH380" s="2">
        <f t="shared" si="32"/>
        <v>0</v>
      </c>
      <c r="AI380" s="2">
        <f t="shared" si="33"/>
        <v>0</v>
      </c>
      <c r="AJ380" s="2"/>
      <c r="AK380" s="2"/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0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0-0-0</v>
      </c>
      <c r="AP380" s="2" t="str">
        <f>INDEX(Sheet5!$B$2:$AG$33, MATCH(Table2[[#This Row],[HomeTeam]],Sheet5!$A$2:$A$33, 0), MATCH(Table2[[#This Row],[AwayTeam]],Sheet5!$A$2:$A$33, 0))</f>
        <v>0-0-0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1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/>
      <c r="B381" s="3">
        <v>45989</v>
      </c>
      <c r="C381" s="5">
        <v>2025020379</v>
      </c>
      <c r="D381" s="2" t="s">
        <v>31</v>
      </c>
      <c r="E381" s="2" t="s">
        <v>28</v>
      </c>
      <c r="F381" s="2"/>
      <c r="G381" s="2"/>
      <c r="H381" s="2" t="str">
        <f t="shared" si="29"/>
        <v>_</v>
      </c>
      <c r="I381" s="2"/>
      <c r="J381" s="2"/>
      <c r="K381" s="2"/>
      <c r="L381" s="2" t="str">
        <f t="shared" si="30"/>
        <v>_</v>
      </c>
      <c r="M381" s="2"/>
      <c r="N381" s="2">
        <f>IF(ISBLANK(Table2[[#This Row],[ActualResult]]), 0, 1)</f>
        <v>0</v>
      </c>
      <c r="O381" s="2" t="str">
        <f>IF(ISBLANK(Table2[[#This Row],[ActualResult]]), "_", IF(Table2[[#This Row],[ActualWinner]]=Table2[[#This Row],[PredictedWinner]], "Y", "N"))</f>
        <v>_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1" s="2"/>
      <c r="S381" s="2" t="str">
        <f t="shared" si="31"/>
        <v>_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0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0</v>
      </c>
      <c r="AG381" s="2">
        <f>Table2[[#This Row],[ActualHomeScore]]-Table2[[#This Row],[PredictedHomeScore]]</f>
        <v>0</v>
      </c>
      <c r="AH381" s="2">
        <f t="shared" si="32"/>
        <v>0</v>
      </c>
      <c r="AI381" s="2">
        <f t="shared" si="33"/>
        <v>0</v>
      </c>
      <c r="AJ381" s="2"/>
      <c r="AK381" s="2"/>
      <c r="AL381" s="2">
        <f>IF(Table2[[#This Row],[GameIsOver]]=0,0,IF(Table2[[#This Row],[ActualWinner]]=Table2[[#This Row],[AwayTeam]], 1, 0))</f>
        <v>0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0-0-0</v>
      </c>
      <c r="AP381" s="2" t="str">
        <f>INDEX(Sheet5!$B$2:$AG$33, MATCH(Table2[[#This Row],[HomeTeam]],Sheet5!$A$2:$A$33, 0), MATCH(Table2[[#This Row],[AwayTeam]],Sheet5!$A$2:$A$33, 0))</f>
        <v>0-0-0</v>
      </c>
      <c r="AQ381" s="2">
        <f>IF(Table2[[#This Row],[GameHasShutOut]], 1, 0)</f>
        <v>0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0</v>
      </c>
      <c r="AT381" s="2">
        <f>IF(Table2[[#This Row],[ActualAwayScore]] + Table2[[#This Row],[ActualHomeScore]] &lt;= 3, 1, 0)</f>
        <v>1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/>
      <c r="B382" s="3">
        <v>45989</v>
      </c>
      <c r="C382" s="5">
        <v>2025020380</v>
      </c>
      <c r="D382" s="2" t="s">
        <v>23</v>
      </c>
      <c r="E382" s="2" t="s">
        <v>13</v>
      </c>
      <c r="F382" s="2"/>
      <c r="G382" s="2"/>
      <c r="H382" s="2" t="str">
        <f t="shared" si="29"/>
        <v>_</v>
      </c>
      <c r="I382" s="2"/>
      <c r="J382" s="2"/>
      <c r="K382" s="2"/>
      <c r="L382" s="2" t="str">
        <f t="shared" si="30"/>
        <v>_</v>
      </c>
      <c r="M382" s="2"/>
      <c r="N382" s="2">
        <f>IF(ISBLANK(Table2[[#This Row],[ActualResult]]), 0, 1)</f>
        <v>0</v>
      </c>
      <c r="O382" s="2" t="str">
        <f>IF(ISBLANK(Table2[[#This Row],[ActualResult]]), "_", IF(Table2[[#This Row],[ActualWinner]]=Table2[[#This Row],[PredictedWinner]], "Y", "N"))</f>
        <v>_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2" s="2"/>
      <c r="S382" s="2" t="str">
        <f t="shared" si="31"/>
        <v>_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0</v>
      </c>
      <c r="AG382" s="2">
        <f>Table2[[#This Row],[ActualHomeScore]]-Table2[[#This Row],[PredictedHomeScore]]</f>
        <v>0</v>
      </c>
      <c r="AH382" s="2">
        <f t="shared" si="32"/>
        <v>0</v>
      </c>
      <c r="AI382" s="2">
        <f t="shared" si="33"/>
        <v>0</v>
      </c>
      <c r="AJ382" s="2"/>
      <c r="AK382" s="2"/>
      <c r="AL382" s="2">
        <f>IF(Table2[[#This Row],[GameIsOver]]=0,0,IF(Table2[[#This Row],[ActualWinner]]=Table2[[#This Row],[AwayTeam]], 1, 0))</f>
        <v>0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0-0-0</v>
      </c>
      <c r="AP382" s="2" t="str">
        <f>INDEX(Sheet5!$B$2:$AG$33, MATCH(Table2[[#This Row],[HomeTeam]],Sheet5!$A$2:$A$33, 0), MATCH(Table2[[#This Row],[AwayTeam]],Sheet5!$A$2:$A$33, 0))</f>
        <v>0-0-0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1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/>
      <c r="B383" s="3">
        <v>45989</v>
      </c>
      <c r="C383" s="5">
        <v>2025020381</v>
      </c>
      <c r="D383" s="2" t="s">
        <v>42</v>
      </c>
      <c r="E383" s="2" t="s">
        <v>32</v>
      </c>
      <c r="F383" s="2"/>
      <c r="G383" s="2"/>
      <c r="H383" s="2" t="str">
        <f t="shared" si="29"/>
        <v>_</v>
      </c>
      <c r="I383" s="2"/>
      <c r="J383" s="2"/>
      <c r="K383" s="2"/>
      <c r="L383" s="2" t="str">
        <f t="shared" si="30"/>
        <v>_</v>
      </c>
      <c r="M383" s="2"/>
      <c r="N383" s="2">
        <f>IF(ISBLANK(Table2[[#This Row],[ActualResult]]), 0, 1)</f>
        <v>0</v>
      </c>
      <c r="O383" s="2" t="str">
        <f>IF(ISBLANK(Table2[[#This Row],[ActualResult]]), "_", IF(Table2[[#This Row],[ActualWinner]]=Table2[[#This Row],[PredictedWinner]], "Y", "N"))</f>
        <v>_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3" s="2"/>
      <c r="S383" s="2" t="str">
        <f t="shared" si="31"/>
        <v>_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0</v>
      </c>
      <c r="AG383" s="2">
        <f>Table2[[#This Row],[ActualHomeScore]]-Table2[[#This Row],[PredictedHomeScore]]</f>
        <v>0</v>
      </c>
      <c r="AH383" s="2">
        <f t="shared" si="32"/>
        <v>0</v>
      </c>
      <c r="AI383" s="2">
        <f t="shared" si="33"/>
        <v>0</v>
      </c>
      <c r="AJ383" s="2"/>
      <c r="AK383" s="2"/>
      <c r="AL383" s="2">
        <f>IF(Table2[[#This Row],[GameIsOver]]=0,0,IF(Table2[[#This Row],[ActualWinner]]=Table2[[#This Row],[AwayTeam]], 1, 0))</f>
        <v>0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1-0-0</v>
      </c>
      <c r="AP383" s="2" t="str">
        <f>INDEX(Sheet5!$B$2:$AG$33, MATCH(Table2[[#This Row],[HomeTeam]],Sheet5!$A$2:$A$33, 0), MATCH(Table2[[#This Row],[AwayTeam]],Sheet5!$A$2:$A$33, 0))</f>
        <v>0-0-1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1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/>
      <c r="B384" s="3">
        <v>45989</v>
      </c>
      <c r="C384" s="5">
        <v>2025020382</v>
      </c>
      <c r="D384" s="2" t="s">
        <v>29</v>
      </c>
      <c r="E384" s="2" t="s">
        <v>12</v>
      </c>
      <c r="F384" s="2"/>
      <c r="G384" s="2"/>
      <c r="H384" s="2" t="str">
        <f t="shared" si="29"/>
        <v>_</v>
      </c>
      <c r="I384" s="2"/>
      <c r="J384" s="2"/>
      <c r="K384" s="2"/>
      <c r="L384" s="2" t="str">
        <f t="shared" si="30"/>
        <v>_</v>
      </c>
      <c r="M384" s="2"/>
      <c r="N384" s="2">
        <f>IF(ISBLANK(Table2[[#This Row],[ActualResult]]), 0, 1)</f>
        <v>0</v>
      </c>
      <c r="O384" s="2" t="str">
        <f>IF(ISBLANK(Table2[[#This Row],[ActualResult]]), "_", IF(Table2[[#This Row],[ActualWinner]]=Table2[[#This Row],[PredictedWinner]], "Y", "N"))</f>
        <v>_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4" s="2"/>
      <c r="S384" s="2" t="str">
        <f t="shared" si="31"/>
        <v>_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0</v>
      </c>
      <c r="AG384" s="2">
        <f>Table2[[#This Row],[ActualHomeScore]]-Table2[[#This Row],[PredictedHomeScore]]</f>
        <v>0</v>
      </c>
      <c r="AH384" s="2">
        <f t="shared" si="32"/>
        <v>0</v>
      </c>
      <c r="AI384" s="2">
        <f t="shared" si="33"/>
        <v>0</v>
      </c>
      <c r="AJ384" s="2"/>
      <c r="AK384" s="2"/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0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0-0-0</v>
      </c>
      <c r="AP384" s="2" t="str">
        <f>INDEX(Sheet5!$B$2:$AG$33, MATCH(Table2[[#This Row],[HomeTeam]],Sheet5!$A$2:$A$33, 0), MATCH(Table2[[#This Row],[AwayTeam]],Sheet5!$A$2:$A$33, 0))</f>
        <v>0-0-0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1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/>
      <c r="B385" s="3">
        <v>45989</v>
      </c>
      <c r="C385" s="5">
        <v>2025020383</v>
      </c>
      <c r="D385" s="2" t="s">
        <v>18</v>
      </c>
      <c r="E385" s="2" t="s">
        <v>26</v>
      </c>
      <c r="F385" s="2"/>
      <c r="G385" s="2"/>
      <c r="H385" s="2" t="str">
        <f t="shared" si="29"/>
        <v>_</v>
      </c>
      <c r="I385" s="2"/>
      <c r="J385" s="2"/>
      <c r="K385" s="2"/>
      <c r="L385" s="2" t="str">
        <f t="shared" si="30"/>
        <v>_</v>
      </c>
      <c r="M385" s="2"/>
      <c r="N385" s="2">
        <f>IF(ISBLANK(Table2[[#This Row],[ActualResult]]), 0, 1)</f>
        <v>0</v>
      </c>
      <c r="O385" s="2" t="str">
        <f>IF(ISBLANK(Table2[[#This Row],[ActualResult]]), "_", IF(Table2[[#This Row],[ActualWinner]]=Table2[[#This Row],[PredictedWinner]], "Y", "N"))</f>
        <v>_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5" s="2"/>
      <c r="S385" s="2" t="str">
        <f t="shared" si="31"/>
        <v>_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0</v>
      </c>
      <c r="AH385" s="2">
        <f t="shared" si="32"/>
        <v>0</v>
      </c>
      <c r="AI385" s="2">
        <f t="shared" si="33"/>
        <v>0</v>
      </c>
      <c r="AJ385" s="2"/>
      <c r="AK385" s="2"/>
      <c r="AL385" s="2">
        <f>IF(Table2[[#This Row],[GameIsOver]]=0,0,IF(Table2[[#This Row],[ActualWinner]]=Table2[[#This Row],[AwayTeam]], 1, 0))</f>
        <v>0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0-0-0</v>
      </c>
      <c r="AP385" s="2" t="str">
        <f>INDEX(Sheet5!$B$2:$AG$33, MATCH(Table2[[#This Row],[HomeTeam]],Sheet5!$A$2:$A$33, 0), MATCH(Table2[[#This Row],[AwayTeam]],Sheet5!$A$2:$A$33, 0))</f>
        <v>0-0-0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1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/>
      <c r="B386" s="3">
        <v>45989</v>
      </c>
      <c r="C386" s="5">
        <v>2025020384</v>
      </c>
      <c r="D386" s="2" t="s">
        <v>27</v>
      </c>
      <c r="E386" s="2" t="s">
        <v>44</v>
      </c>
      <c r="F386" s="2"/>
      <c r="G386" s="2"/>
      <c r="H386" s="2" t="str">
        <f t="shared" si="29"/>
        <v>_</v>
      </c>
      <c r="I386" s="2"/>
      <c r="J386" s="2"/>
      <c r="K386" s="2"/>
      <c r="L386" s="2" t="str">
        <f t="shared" si="30"/>
        <v>_</v>
      </c>
      <c r="M386" s="2"/>
      <c r="N386" s="2">
        <f>IF(ISBLANK(Table2[[#This Row],[ActualResult]]), 0, 1)</f>
        <v>0</v>
      </c>
      <c r="O386" s="2" t="str">
        <f>IF(ISBLANK(Table2[[#This Row],[ActualResult]]), "_", IF(Table2[[#This Row],[ActualWinner]]=Table2[[#This Row],[PredictedWinner]], "Y", "N"))</f>
        <v>_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6" s="2"/>
      <c r="S386" s="2" t="str">
        <f t="shared" si="31"/>
        <v>_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0</v>
      </c>
      <c r="AG386" s="2">
        <f>Table2[[#This Row],[ActualHomeScore]]-Table2[[#This Row],[PredictedHomeScore]]</f>
        <v>0</v>
      </c>
      <c r="AH386" s="2">
        <f t="shared" si="32"/>
        <v>0</v>
      </c>
      <c r="AI386" s="2">
        <f t="shared" si="33"/>
        <v>0</v>
      </c>
      <c r="AJ386" s="2"/>
      <c r="AK386" s="2"/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0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0-0-0</v>
      </c>
      <c r="AP386" s="2" t="str">
        <f>INDEX(Sheet5!$B$2:$AG$33, MATCH(Table2[[#This Row],[HomeTeam]],Sheet5!$A$2:$A$33, 0), MATCH(Table2[[#This Row],[AwayTeam]],Sheet5!$A$2:$A$33, 0))</f>
        <v>0-0-0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1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/>
      <c r="B387" s="3">
        <v>45989</v>
      </c>
      <c r="C387" s="5">
        <v>2025020385</v>
      </c>
      <c r="D387" s="2" t="s">
        <v>24</v>
      </c>
      <c r="E387" s="2" t="s">
        <v>37</v>
      </c>
      <c r="F387" s="2"/>
      <c r="G387" s="2"/>
      <c r="H387" s="2" t="str">
        <f t="shared" ref="H387:H450" si="34">IF(AND(ISBLANK($F387),ISBLANK($G387)),"_",IF($F387&gt;$G387,$D387,$E387))</f>
        <v>_</v>
      </c>
      <c r="I387" s="2"/>
      <c r="J387" s="2"/>
      <c r="K387" s="2"/>
      <c r="L387" s="2" t="str">
        <f t="shared" ref="L387:L450" si="35">IF(OR($J387=$K387,AND(ISBLANK($J387),ISBLANK($K387))),"_",IF($J387&gt;$K387,$D387,$E387))</f>
        <v>_</v>
      </c>
      <c r="M387" s="2"/>
      <c r="N387" s="2">
        <f>IF(ISBLANK(Table2[[#This Row],[ActualResult]]), 0, 1)</f>
        <v>0</v>
      </c>
      <c r="O387" s="2" t="str">
        <f>IF(ISBLANK(Table2[[#This Row],[ActualResult]]), "_", IF(Table2[[#This Row],[ActualWinner]]=Table2[[#This Row],[PredictedWinner]], "Y", "N"))</f>
        <v>_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7" s="2"/>
      <c r="S387" s="2" t="str">
        <f t="shared" ref="S387:S450" si="36">IF($L387="_", "_", IF($L387=$D387,$E387,$D387))</f>
        <v>_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0</v>
      </c>
      <c r="AI387" s="2">
        <f t="shared" ref="AI387:AI450" si="38">SUMIF($B$3:$B$1315, $B387, $AG$3:$AG$1315)</f>
        <v>0</v>
      </c>
      <c r="AJ387" s="2"/>
      <c r="AK387" s="2"/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0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0-0-0</v>
      </c>
      <c r="AP387" s="2" t="str">
        <f>INDEX(Sheet5!$B$2:$AG$33, MATCH(Table2[[#This Row],[HomeTeam]],Sheet5!$A$2:$A$33, 0), MATCH(Table2[[#This Row],[AwayTeam]],Sheet5!$A$2:$A$33, 0))</f>
        <v>0-0-0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1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/>
      <c r="B388" s="3">
        <v>45989</v>
      </c>
      <c r="C388" s="5">
        <v>2025020386</v>
      </c>
      <c r="D388" s="2" t="s">
        <v>17</v>
      </c>
      <c r="E388" s="2" t="s">
        <v>43</v>
      </c>
      <c r="F388" s="2"/>
      <c r="G388" s="2"/>
      <c r="H388" s="2" t="str">
        <f t="shared" si="34"/>
        <v>_</v>
      </c>
      <c r="I388" s="2"/>
      <c r="J388" s="2"/>
      <c r="K388" s="2"/>
      <c r="L388" s="2" t="str">
        <f t="shared" si="35"/>
        <v>_</v>
      </c>
      <c r="M388" s="2"/>
      <c r="N388" s="2">
        <f>IF(ISBLANK(Table2[[#This Row],[ActualResult]]), 0, 1)</f>
        <v>0</v>
      </c>
      <c r="O388" s="2" t="str">
        <f>IF(ISBLANK(Table2[[#This Row],[ActualResult]]), "_", IF(Table2[[#This Row],[ActualWinner]]=Table2[[#This Row],[PredictedWinner]], "Y", "N"))</f>
        <v>_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8" s="2"/>
      <c r="S388" s="2" t="str">
        <f t="shared" si="36"/>
        <v>_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0</v>
      </c>
      <c r="AI388" s="2">
        <f t="shared" si="38"/>
        <v>0</v>
      </c>
      <c r="AJ388" s="2"/>
      <c r="AK388" s="2"/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0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0-0-0</v>
      </c>
      <c r="AP388" s="2" t="str">
        <f>INDEX(Sheet5!$B$2:$AG$33, MATCH(Table2[[#This Row],[HomeTeam]],Sheet5!$A$2:$A$33, 0), MATCH(Table2[[#This Row],[AwayTeam]],Sheet5!$A$2:$A$33, 0))</f>
        <v>0-0-0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1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/>
      <c r="B389" s="3">
        <v>45989</v>
      </c>
      <c r="C389" s="5">
        <v>2025020387</v>
      </c>
      <c r="D389" s="2" t="s">
        <v>21</v>
      </c>
      <c r="E389" s="2" t="s">
        <v>41</v>
      </c>
      <c r="F389" s="2"/>
      <c r="G389" s="2"/>
      <c r="H389" s="2" t="str">
        <f t="shared" si="34"/>
        <v>_</v>
      </c>
      <c r="I389" s="2"/>
      <c r="J389" s="2"/>
      <c r="K389" s="2"/>
      <c r="L389" s="2" t="str">
        <f t="shared" si="35"/>
        <v>_</v>
      </c>
      <c r="M389" s="2"/>
      <c r="N389" s="2">
        <f>IF(ISBLANK(Table2[[#This Row],[ActualResult]]), 0, 1)</f>
        <v>0</v>
      </c>
      <c r="O389" s="2" t="str">
        <f>IF(ISBLANK(Table2[[#This Row],[ActualResult]]), "_", IF(Table2[[#This Row],[ActualWinner]]=Table2[[#This Row],[PredictedWinner]], "Y", "N"))</f>
        <v>_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9" s="2"/>
      <c r="S389" s="2" t="str">
        <f t="shared" si="36"/>
        <v>_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0</v>
      </c>
      <c r="AH389" s="2">
        <f t="shared" si="37"/>
        <v>0</v>
      </c>
      <c r="AI389" s="2">
        <f t="shared" si="38"/>
        <v>0</v>
      </c>
      <c r="AJ389" s="2"/>
      <c r="AK389" s="2"/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0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0-0-0</v>
      </c>
      <c r="AP389" s="2" t="str">
        <f>INDEX(Sheet5!$B$2:$AG$33, MATCH(Table2[[#This Row],[HomeTeam]],Sheet5!$A$2:$A$33, 0), MATCH(Table2[[#This Row],[AwayTeam]],Sheet5!$A$2:$A$33, 0))</f>
        <v>0-0-0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1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/>
      <c r="B390" s="3">
        <v>45990</v>
      </c>
      <c r="C390" s="5">
        <v>2025020388</v>
      </c>
      <c r="D390" s="2" t="s">
        <v>20</v>
      </c>
      <c r="E390" s="2" t="s">
        <v>35</v>
      </c>
      <c r="F390" s="2"/>
      <c r="G390" s="2"/>
      <c r="H390" s="2" t="str">
        <f t="shared" si="34"/>
        <v>_</v>
      </c>
      <c r="I390" s="2"/>
      <c r="J390" s="2"/>
      <c r="K390" s="2"/>
      <c r="L390" s="2" t="str">
        <f t="shared" si="35"/>
        <v>_</v>
      </c>
      <c r="M390" s="2"/>
      <c r="N390" s="2">
        <f>IF(ISBLANK(Table2[[#This Row],[ActualResult]]), 0, 1)</f>
        <v>0</v>
      </c>
      <c r="O390" s="2" t="str">
        <f>IF(ISBLANK(Table2[[#This Row],[ActualResult]]), "_", IF(Table2[[#This Row],[ActualWinner]]=Table2[[#This Row],[PredictedWinner]], "Y", "N"))</f>
        <v>_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0" s="2"/>
      <c r="S390" s="2" t="str">
        <f t="shared" si="36"/>
        <v>_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0" s="2">
        <f>Table2[[#This Row],[ActualAwayScore]]-Table2[[#This Row],[PredictedAwayScore]]</f>
        <v>0</v>
      </c>
      <c r="AG390" s="2">
        <f>Table2[[#This Row],[ActualHomeScore]]-Table2[[#This Row],[PredictedHomeScore]]</f>
        <v>0</v>
      </c>
      <c r="AH390" s="2">
        <f t="shared" si="37"/>
        <v>0</v>
      </c>
      <c r="AI390" s="2">
        <f t="shared" si="38"/>
        <v>0</v>
      </c>
      <c r="AJ390" s="2"/>
      <c r="AK390" s="2"/>
      <c r="AL390" s="2">
        <f>IF(Table2[[#This Row],[GameIsOver]]=0,0,IF(Table2[[#This Row],[ActualWinner]]=Table2[[#This Row],[AwayTeam]], 1, 0))</f>
        <v>0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0-0-1</v>
      </c>
      <c r="AP390" s="2" t="str">
        <f>INDEX(Sheet5!$B$2:$AG$33, MATCH(Table2[[#This Row],[HomeTeam]],Sheet5!$A$2:$A$33, 0), MATCH(Table2[[#This Row],[AwayTeam]],Sheet5!$A$2:$A$33, 0))</f>
        <v>1-0-0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1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/>
      <c r="B391" s="3">
        <v>45990</v>
      </c>
      <c r="C391" s="5">
        <v>2025020389</v>
      </c>
      <c r="D391" s="2" t="s">
        <v>34</v>
      </c>
      <c r="E391" s="2" t="s">
        <v>16</v>
      </c>
      <c r="F391" s="2"/>
      <c r="G391" s="2"/>
      <c r="H391" s="2" t="str">
        <f t="shared" si="34"/>
        <v>_</v>
      </c>
      <c r="I391" s="2"/>
      <c r="J391" s="2"/>
      <c r="K391" s="2"/>
      <c r="L391" s="2" t="str">
        <f t="shared" si="35"/>
        <v>_</v>
      </c>
      <c r="M391" s="2"/>
      <c r="N391" s="2">
        <f>IF(ISBLANK(Table2[[#This Row],[ActualResult]]), 0, 1)</f>
        <v>0</v>
      </c>
      <c r="O391" s="2" t="str">
        <f>IF(ISBLANK(Table2[[#This Row],[ActualResult]]), "_", IF(Table2[[#This Row],[ActualWinner]]=Table2[[#This Row],[PredictedWinner]], "Y", "N"))</f>
        <v>_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1" s="2"/>
      <c r="S391" s="2" t="str">
        <f t="shared" si="36"/>
        <v>_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1" s="2">
        <f>Table2[[#This Row],[ActualAwayScore]]-Table2[[#This Row],[PredictedAwayScore]]</f>
        <v>0</v>
      </c>
      <c r="AG391" s="2">
        <f>Table2[[#This Row],[ActualHomeScore]]-Table2[[#This Row],[PredictedHomeScore]]</f>
        <v>0</v>
      </c>
      <c r="AH391" s="2">
        <f t="shared" si="37"/>
        <v>0</v>
      </c>
      <c r="AI391" s="2">
        <f t="shared" si="38"/>
        <v>0</v>
      </c>
      <c r="AJ391" s="2"/>
      <c r="AK391" s="2"/>
      <c r="AL391" s="2">
        <f>IF(Table2[[#This Row],[GameIsOver]]=0,0,IF(Table2[[#This Row],[ActualWinner]]=Table2[[#This Row],[AwayTeam]], 1, 0))</f>
        <v>0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0-0-0</v>
      </c>
      <c r="AP391" s="2" t="str">
        <f>INDEX(Sheet5!$B$2:$AG$33, MATCH(Table2[[#This Row],[HomeTeam]],Sheet5!$A$2:$A$33, 0), MATCH(Table2[[#This Row],[AwayTeam]],Sheet5!$A$2:$A$33, 0))</f>
        <v>0-0-0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1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3"/>
      <c r="B392" s="3">
        <v>45990</v>
      </c>
      <c r="C392" s="5">
        <v>2025020390</v>
      </c>
      <c r="D392" s="2" t="s">
        <v>14</v>
      </c>
      <c r="E392" s="2" t="s">
        <v>33</v>
      </c>
      <c r="F392" s="2"/>
      <c r="G392" s="2"/>
      <c r="H392" s="2" t="str">
        <f t="shared" si="34"/>
        <v>_</v>
      </c>
      <c r="I392" s="2"/>
      <c r="J392" s="2"/>
      <c r="K392" s="2"/>
      <c r="L392" s="2" t="str">
        <f t="shared" si="35"/>
        <v>_</v>
      </c>
      <c r="M392" s="2"/>
      <c r="N392" s="2">
        <f>IF(ISBLANK(Table2[[#This Row],[ActualResult]]), 0, 1)</f>
        <v>0</v>
      </c>
      <c r="O392" s="2" t="str">
        <f>IF(ISBLANK(Table2[[#This Row],[ActualResult]]), "_", IF(Table2[[#This Row],[ActualWinner]]=Table2[[#This Row],[PredictedWinner]], "Y", "N"))</f>
        <v>_</v>
      </c>
      <c r="P3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2" s="2"/>
      <c r="S392" s="2" t="str">
        <f t="shared" si="36"/>
        <v>_</v>
      </c>
      <c r="T3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2">
        <f>IF(Table2[[#This Row],[InterConf]]=1,IF(Table2[[#This Row],[InterDiv]]=0, 1, 0), 0)</f>
        <v>0</v>
      </c>
      <c r="W3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2"/>
      <c r="Y392" s="2"/>
      <c r="Z392" s="145">
        <f>IF(AND(Table2[[#This Row],[GameIsOver]]=1,Table2[[#This Row],[ActualHomeScore]]*Table2[[#This Row],[ActualAwayScore]]=0), 1,0)</f>
        <v>0</v>
      </c>
      <c r="AA3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2" s="2">
        <f>Table2[[#This Row],[ActualAwayScore]]-Table2[[#This Row],[PredictedAwayScore]]</f>
        <v>0</v>
      </c>
      <c r="AG392" s="2">
        <f>Table2[[#This Row],[ActualHomeScore]]-Table2[[#This Row],[PredictedHomeScore]]</f>
        <v>0</v>
      </c>
      <c r="AH392" s="2">
        <f t="shared" si="37"/>
        <v>0</v>
      </c>
      <c r="AI392" s="2">
        <f t="shared" si="38"/>
        <v>0</v>
      </c>
      <c r="AJ392" s="2"/>
      <c r="AK392" s="2"/>
      <c r="AL392" s="2">
        <f>IF(Table2[[#This Row],[GameIsOver]]=0,0,IF(Table2[[#This Row],[ActualWinner]]=Table2[[#This Row],[AwayTeam]], 1, 0))</f>
        <v>0</v>
      </c>
      <c r="AM392" s="2">
        <f>IF(Table2[[#This Row],[GameIsOver]]=0,0,IF(Table2[[#This Row],[ActualWinner]]=Table2[[#This Row],[HomeTeam]], 1, 0))</f>
        <v>0</v>
      </c>
      <c r="AN3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2" t="str">
        <f>INDEX(Sheet5!$B$2:$AG$33, MATCH(Table2[[#This Row],[AwayTeam]],Sheet5!$A$2:$A$33, 0), MATCH(Table2[[#This Row],[HomeTeam]],Sheet5!$A$2:$A$33, 0))</f>
        <v>0-0-0</v>
      </c>
      <c r="AP392" s="2" t="str">
        <f>INDEX(Sheet5!$B$2:$AG$33, MATCH(Table2[[#This Row],[HomeTeam]],Sheet5!$A$2:$A$33, 0), MATCH(Table2[[#This Row],[AwayTeam]],Sheet5!$A$2:$A$33, 0))</f>
        <v>0-0-0</v>
      </c>
      <c r="AQ392" s="2">
        <f>IF(Table2[[#This Row],[GameHasShutOut]], 1, 0)</f>
        <v>0</v>
      </c>
      <c r="AR392" s="2">
        <f>IF(Table2[[#This Row],[ActualAwayScore]] + Table2[[#This Row],[ActualHomeScore]] &gt;= 10, 1, 0)</f>
        <v>0</v>
      </c>
      <c r="AS392" s="2">
        <f>IF(ABS(Table2[[#This Row],[ActualAwayScore]]-Table2[[#This Row],[ActualHomeScore]])&gt;=5, 1, 0)</f>
        <v>0</v>
      </c>
      <c r="AT392" s="2">
        <f>IF(Table2[[#This Row],[ActualAwayScore]] + Table2[[#This Row],[ActualHomeScore]] &lt;= 3, 1, 0)</f>
        <v>1</v>
      </c>
      <c r="AU3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/>
      <c r="B393" s="3">
        <v>45990</v>
      </c>
      <c r="C393" s="5">
        <v>2025020391</v>
      </c>
      <c r="D393" s="2" t="s">
        <v>40</v>
      </c>
      <c r="E393" s="2" t="s">
        <v>19</v>
      </c>
      <c r="F393" s="2"/>
      <c r="G393" s="2"/>
      <c r="H393" s="2" t="str">
        <f t="shared" si="34"/>
        <v>_</v>
      </c>
      <c r="I393" s="2"/>
      <c r="J393" s="2"/>
      <c r="K393" s="2"/>
      <c r="L393" s="2" t="str">
        <f t="shared" si="35"/>
        <v>_</v>
      </c>
      <c r="M393" s="2"/>
      <c r="N393" s="2">
        <f>IF(ISBLANK(Table2[[#This Row],[ActualResult]]), 0, 1)</f>
        <v>0</v>
      </c>
      <c r="O393" s="2" t="str">
        <f>IF(ISBLANK(Table2[[#This Row],[ActualResult]]), "_", IF(Table2[[#This Row],[ActualWinner]]=Table2[[#This Row],[PredictedWinner]], "Y", "N"))</f>
        <v>_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3" s="2"/>
      <c r="S393" s="2" t="str">
        <f t="shared" si="36"/>
        <v>_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0</v>
      </c>
      <c r="AH393" s="2">
        <f t="shared" si="37"/>
        <v>0</v>
      </c>
      <c r="AI393" s="2">
        <f t="shared" si="38"/>
        <v>0</v>
      </c>
      <c r="AJ393" s="2"/>
      <c r="AK393" s="2"/>
      <c r="AL393" s="2">
        <f>IF(Table2[[#This Row],[GameIsOver]]=0,0,IF(Table2[[#This Row],[ActualWinner]]=Table2[[#This Row],[AwayTeam]], 1, 0))</f>
        <v>0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0-1-0</v>
      </c>
      <c r="AP393" s="2" t="str">
        <f>INDEX(Sheet5!$B$2:$AG$33, MATCH(Table2[[#This Row],[HomeTeam]],Sheet5!$A$2:$A$33, 0), MATCH(Table2[[#This Row],[AwayTeam]],Sheet5!$A$2:$A$33, 0))</f>
        <v>1-0-0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1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/>
      <c r="B394" s="3">
        <v>45990</v>
      </c>
      <c r="C394" s="5">
        <v>2025020392</v>
      </c>
      <c r="D394" s="2" t="s">
        <v>18</v>
      </c>
      <c r="E394" s="2" t="s">
        <v>25</v>
      </c>
      <c r="F394" s="2"/>
      <c r="G394" s="2"/>
      <c r="H394" s="2" t="str">
        <f t="shared" si="34"/>
        <v>_</v>
      </c>
      <c r="I394" s="2"/>
      <c r="J394" s="2"/>
      <c r="K394" s="2"/>
      <c r="L394" s="2" t="str">
        <f t="shared" si="35"/>
        <v>_</v>
      </c>
      <c r="M394" s="2"/>
      <c r="N394" s="2">
        <f>IF(ISBLANK(Table2[[#This Row],[ActualResult]]), 0, 1)</f>
        <v>0</v>
      </c>
      <c r="O394" s="2" t="str">
        <f>IF(ISBLANK(Table2[[#This Row],[ActualResult]]), "_", IF(Table2[[#This Row],[ActualWinner]]=Table2[[#This Row],[PredictedWinner]], "Y", "N"))</f>
        <v>_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4" s="2"/>
      <c r="S394" s="2" t="str">
        <f t="shared" si="36"/>
        <v>_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0</v>
      </c>
      <c r="AG394" s="2">
        <f>Table2[[#This Row],[ActualHomeScore]]-Table2[[#This Row],[PredictedHomeScore]]</f>
        <v>0</v>
      </c>
      <c r="AH394" s="2">
        <f t="shared" si="37"/>
        <v>0</v>
      </c>
      <c r="AI394" s="2">
        <f t="shared" si="38"/>
        <v>0</v>
      </c>
      <c r="AJ394" s="2"/>
      <c r="AK394" s="2"/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0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0-0-0</v>
      </c>
      <c r="AP394" s="2" t="str">
        <f>INDEX(Sheet5!$B$2:$AG$33, MATCH(Table2[[#This Row],[HomeTeam]],Sheet5!$A$2:$A$33, 0), MATCH(Table2[[#This Row],[AwayTeam]],Sheet5!$A$2:$A$33, 0))</f>
        <v>0-0-0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0</v>
      </c>
      <c r="AT394" s="2">
        <f>IF(Table2[[#This Row],[ActualAwayScore]] + Table2[[#This Row],[ActualHomeScore]] &lt;= 3, 1, 0)</f>
        <v>1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/>
      <c r="B395" s="3">
        <v>45990</v>
      </c>
      <c r="C395" s="5">
        <v>2025020393</v>
      </c>
      <c r="D395" s="2" t="s">
        <v>22</v>
      </c>
      <c r="E395" s="2" t="s">
        <v>11</v>
      </c>
      <c r="F395" s="2"/>
      <c r="G395" s="2"/>
      <c r="H395" s="2" t="str">
        <f t="shared" si="34"/>
        <v>_</v>
      </c>
      <c r="I395" s="2"/>
      <c r="J395" s="2"/>
      <c r="K395" s="2"/>
      <c r="L395" s="2" t="str">
        <f t="shared" si="35"/>
        <v>_</v>
      </c>
      <c r="M395" s="2"/>
      <c r="N395" s="2">
        <f>IF(ISBLANK(Table2[[#This Row],[ActualResult]]), 0, 1)</f>
        <v>0</v>
      </c>
      <c r="O395" s="2" t="str">
        <f>IF(ISBLANK(Table2[[#This Row],[ActualResult]]), "_", IF(Table2[[#This Row],[ActualWinner]]=Table2[[#This Row],[PredictedWinner]], "Y", "N"))</f>
        <v>_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5" s="2"/>
      <c r="S395" s="2" t="str">
        <f t="shared" si="36"/>
        <v>_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0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0</v>
      </c>
      <c r="AG395" s="2">
        <f>Table2[[#This Row],[ActualHomeScore]]-Table2[[#This Row],[PredictedHomeScore]]</f>
        <v>0</v>
      </c>
      <c r="AH395" s="2">
        <f t="shared" si="37"/>
        <v>0</v>
      </c>
      <c r="AI395" s="2">
        <f t="shared" si="38"/>
        <v>0</v>
      </c>
      <c r="AJ395" s="2"/>
      <c r="AK395" s="2"/>
      <c r="AL395" s="2">
        <f>IF(Table2[[#This Row],[GameIsOver]]=0,0,IF(Table2[[#This Row],[ActualWinner]]=Table2[[#This Row],[AwayTeam]], 1, 0))</f>
        <v>0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0-1-0</v>
      </c>
      <c r="AP395" s="2" t="str">
        <f>INDEX(Sheet5!$B$2:$AG$33, MATCH(Table2[[#This Row],[HomeTeam]],Sheet5!$A$2:$A$33, 0), MATCH(Table2[[#This Row],[AwayTeam]],Sheet5!$A$2:$A$33, 0))</f>
        <v>1-0-0</v>
      </c>
      <c r="AQ395" s="2">
        <f>IF(Table2[[#This Row],[GameHasShutOut]], 1, 0)</f>
        <v>0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1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/>
      <c r="B396" s="3">
        <v>45991</v>
      </c>
      <c r="C396" s="5">
        <v>2025020394</v>
      </c>
      <c r="D396" s="2" t="s">
        <v>30</v>
      </c>
      <c r="E396" s="2" t="s">
        <v>15</v>
      </c>
      <c r="F396" s="2"/>
      <c r="G396" s="2"/>
      <c r="H396" s="2" t="str">
        <f t="shared" si="34"/>
        <v>_</v>
      </c>
      <c r="I396" s="2"/>
      <c r="J396" s="2"/>
      <c r="K396" s="2"/>
      <c r="L396" s="2" t="str">
        <f t="shared" si="35"/>
        <v>_</v>
      </c>
      <c r="M396" s="2"/>
      <c r="N396" s="2">
        <f>IF(ISBLANK(Table2[[#This Row],[ActualResult]]), 0, 1)</f>
        <v>0</v>
      </c>
      <c r="O396" s="2" t="str">
        <f>IF(ISBLANK(Table2[[#This Row],[ActualResult]]), "_", IF(Table2[[#This Row],[ActualWinner]]=Table2[[#This Row],[PredictedWinner]], "Y", "N"))</f>
        <v>_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6" s="2"/>
      <c r="S396" s="2" t="str">
        <f t="shared" si="36"/>
        <v>_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6" s="2">
        <f>Table2[[#This Row],[ActualAwayScore]]-Table2[[#This Row],[PredictedAwayScore]]</f>
        <v>0</v>
      </c>
      <c r="AG396" s="2">
        <f>Table2[[#This Row],[ActualHomeScore]]-Table2[[#This Row],[PredictedHomeScore]]</f>
        <v>0</v>
      </c>
      <c r="AH396" s="2">
        <f t="shared" si="37"/>
        <v>0</v>
      </c>
      <c r="AI396" s="2">
        <f t="shared" si="38"/>
        <v>0</v>
      </c>
      <c r="AJ396" s="2"/>
      <c r="AK396" s="2"/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0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0-0-0</v>
      </c>
      <c r="AP396" s="2" t="str">
        <f>INDEX(Sheet5!$B$2:$AG$33, MATCH(Table2[[#This Row],[HomeTeam]],Sheet5!$A$2:$A$33, 0), MATCH(Table2[[#This Row],[AwayTeam]],Sheet5!$A$2:$A$33, 0))</f>
        <v>0-0-0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1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/>
      <c r="B397" s="3">
        <v>45991</v>
      </c>
      <c r="C397" s="5">
        <v>2025020395</v>
      </c>
      <c r="D397" s="2" t="s">
        <v>42</v>
      </c>
      <c r="E397" s="2" t="s">
        <v>31</v>
      </c>
      <c r="F397" s="2"/>
      <c r="G397" s="2"/>
      <c r="H397" s="2" t="str">
        <f t="shared" si="34"/>
        <v>_</v>
      </c>
      <c r="I397" s="2"/>
      <c r="J397" s="2"/>
      <c r="K397" s="2"/>
      <c r="L397" s="2" t="str">
        <f t="shared" si="35"/>
        <v>_</v>
      </c>
      <c r="M397" s="2"/>
      <c r="N397" s="2">
        <f>IF(ISBLANK(Table2[[#This Row],[ActualResult]]), 0, 1)</f>
        <v>0</v>
      </c>
      <c r="O397" s="2" t="str">
        <f>IF(ISBLANK(Table2[[#This Row],[ActualResult]]), "_", IF(Table2[[#This Row],[ActualWinner]]=Table2[[#This Row],[PredictedWinner]], "Y", "N"))</f>
        <v>_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7" s="2"/>
      <c r="S397" s="2" t="str">
        <f t="shared" si="36"/>
        <v>_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7" s="2">
        <f>Table2[[#This Row],[ActualAwayScore]]-Table2[[#This Row],[PredictedAwayScore]]</f>
        <v>0</v>
      </c>
      <c r="AG397" s="2">
        <f>Table2[[#This Row],[ActualHomeScore]]-Table2[[#This Row],[PredictedHomeScore]]</f>
        <v>0</v>
      </c>
      <c r="AH397" s="2">
        <f t="shared" si="37"/>
        <v>0</v>
      </c>
      <c r="AI397" s="2">
        <f t="shared" si="38"/>
        <v>0</v>
      </c>
      <c r="AJ397" s="2"/>
      <c r="AK397" s="2"/>
      <c r="AL397" s="2">
        <f>IF(Table2[[#This Row],[GameIsOver]]=0,0,IF(Table2[[#This Row],[ActualWinner]]=Table2[[#This Row],[AwayTeam]], 1, 0))</f>
        <v>0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0-0-0</v>
      </c>
      <c r="AP397" s="2" t="str">
        <f>INDEX(Sheet5!$B$2:$AG$33, MATCH(Table2[[#This Row],[HomeTeam]],Sheet5!$A$2:$A$33, 0), MATCH(Table2[[#This Row],[AwayTeam]],Sheet5!$A$2:$A$33, 0))</f>
        <v>0-0-0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1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/>
      <c r="B398" s="3">
        <v>45991</v>
      </c>
      <c r="C398" s="5">
        <v>2025020396</v>
      </c>
      <c r="D398" s="2" t="s">
        <v>17</v>
      </c>
      <c r="E398" s="2" t="s">
        <v>20</v>
      </c>
      <c r="F398" s="2"/>
      <c r="G398" s="2"/>
      <c r="H398" s="2" t="str">
        <f t="shared" si="34"/>
        <v>_</v>
      </c>
      <c r="I398" s="2"/>
      <c r="J398" s="2"/>
      <c r="K398" s="2"/>
      <c r="L398" s="2" t="str">
        <f t="shared" si="35"/>
        <v>_</v>
      </c>
      <c r="M398" s="2"/>
      <c r="N398" s="2">
        <f>IF(ISBLANK(Table2[[#This Row],[ActualResult]]), 0, 1)</f>
        <v>0</v>
      </c>
      <c r="O398" s="2" t="str">
        <f>IF(ISBLANK(Table2[[#This Row],[ActualResult]]), "_", IF(Table2[[#This Row],[ActualWinner]]=Table2[[#This Row],[PredictedWinner]], "Y", "N"))</f>
        <v>_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8" s="2"/>
      <c r="S398" s="2" t="str">
        <f t="shared" si="36"/>
        <v>_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8" s="2">
        <f>Table2[[#This Row],[ActualAwayScore]]-Table2[[#This Row],[PredictedAwayScore]]</f>
        <v>0</v>
      </c>
      <c r="AG398" s="2">
        <f>Table2[[#This Row],[ActualHomeScore]]-Table2[[#This Row],[PredictedHomeScore]]</f>
        <v>0</v>
      </c>
      <c r="AH398" s="2">
        <f t="shared" si="37"/>
        <v>0</v>
      </c>
      <c r="AI398" s="2">
        <f t="shared" si="38"/>
        <v>0</v>
      </c>
      <c r="AJ398" s="2"/>
      <c r="AK398" s="2"/>
      <c r="AL398" s="2">
        <f>IF(Table2[[#This Row],[GameIsOver]]=0,0,IF(Table2[[#This Row],[ActualWinner]]=Table2[[#This Row],[AwayTeam]], 1, 0))</f>
        <v>0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1-0-0</v>
      </c>
      <c r="AP398" s="2" t="str">
        <f>INDEX(Sheet5!$B$2:$AG$33, MATCH(Table2[[#This Row],[HomeTeam]],Sheet5!$A$2:$A$33, 0), MATCH(Table2[[#This Row],[AwayTeam]],Sheet5!$A$2:$A$33, 0))</f>
        <v>0-1-0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0</v>
      </c>
      <c r="AT398" s="2">
        <f>IF(Table2[[#This Row],[ActualAwayScore]] + Table2[[#This Row],[ActualHomeScore]] &lt;= 3, 1, 0)</f>
        <v>1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/>
      <c r="B399" s="3">
        <v>45991</v>
      </c>
      <c r="C399" s="5">
        <v>2025020397</v>
      </c>
      <c r="D399" s="2" t="s">
        <v>21</v>
      </c>
      <c r="E399" s="2" t="s">
        <v>34</v>
      </c>
      <c r="F399" s="2"/>
      <c r="G399" s="2"/>
      <c r="H399" s="2" t="str">
        <f t="shared" si="34"/>
        <v>_</v>
      </c>
      <c r="I399" s="2"/>
      <c r="J399" s="2"/>
      <c r="K399" s="2"/>
      <c r="L399" s="2" t="str">
        <f t="shared" si="35"/>
        <v>_</v>
      </c>
      <c r="M399" s="2"/>
      <c r="N399" s="2">
        <f>IF(ISBLANK(Table2[[#This Row],[ActualResult]]), 0, 1)</f>
        <v>0</v>
      </c>
      <c r="O399" s="2" t="str">
        <f>IF(ISBLANK(Table2[[#This Row],[ActualResult]]), "_", IF(Table2[[#This Row],[ActualWinner]]=Table2[[#This Row],[PredictedWinner]], "Y", "N"))</f>
        <v>_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9" s="2"/>
      <c r="S399" s="2" t="str">
        <f t="shared" si="36"/>
        <v>_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9" s="2">
        <f>Table2[[#This Row],[ActualAwayScore]]-Table2[[#This Row],[PredictedAwayScore]]</f>
        <v>0</v>
      </c>
      <c r="AG399" s="2">
        <f>Table2[[#This Row],[ActualHomeScore]]-Table2[[#This Row],[PredictedHomeScore]]</f>
        <v>0</v>
      </c>
      <c r="AH399" s="2">
        <f t="shared" si="37"/>
        <v>0</v>
      </c>
      <c r="AI399" s="2">
        <f t="shared" si="38"/>
        <v>0</v>
      </c>
      <c r="AJ399" s="2"/>
      <c r="AK399" s="2"/>
      <c r="AL399" s="2">
        <f>IF(Table2[[#This Row],[GameIsOver]]=0,0,IF(Table2[[#This Row],[ActualWinner]]=Table2[[#This Row],[AwayTeam]], 1, 0))</f>
        <v>0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1-0-0</v>
      </c>
      <c r="AP399" s="2" t="str">
        <f>INDEX(Sheet5!$B$2:$AG$33, MATCH(Table2[[#This Row],[HomeTeam]],Sheet5!$A$2:$A$33, 0), MATCH(Table2[[#This Row],[AwayTeam]],Sheet5!$A$2:$A$33, 0))</f>
        <v>0-1-0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1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/>
      <c r="B400" s="3">
        <v>45991</v>
      </c>
      <c r="C400" s="5">
        <v>2025020398</v>
      </c>
      <c r="D400" s="2" t="s">
        <v>14</v>
      </c>
      <c r="E400" s="2" t="s">
        <v>12</v>
      </c>
      <c r="F400" s="2"/>
      <c r="G400" s="2"/>
      <c r="H400" s="2" t="str">
        <f t="shared" si="34"/>
        <v>_</v>
      </c>
      <c r="I400" s="2"/>
      <c r="J400" s="2"/>
      <c r="K400" s="2"/>
      <c r="L400" s="2" t="str">
        <f t="shared" si="35"/>
        <v>_</v>
      </c>
      <c r="M400" s="2"/>
      <c r="N400" s="2">
        <f>IF(ISBLANK(Table2[[#This Row],[ActualResult]]), 0, 1)</f>
        <v>0</v>
      </c>
      <c r="O400" s="2" t="str">
        <f>IF(ISBLANK(Table2[[#This Row],[ActualResult]]), "_", IF(Table2[[#This Row],[ActualWinner]]=Table2[[#This Row],[PredictedWinner]], "Y", "N"))</f>
        <v>_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0" s="2"/>
      <c r="S400" s="2" t="str">
        <f t="shared" si="36"/>
        <v>_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0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0" s="2">
        <f>Table2[[#This Row],[ActualAwayScore]]-Table2[[#This Row],[PredictedAwayScore]]</f>
        <v>0</v>
      </c>
      <c r="AG400" s="2">
        <f>Table2[[#This Row],[ActualHomeScore]]-Table2[[#This Row],[PredictedHomeScore]]</f>
        <v>0</v>
      </c>
      <c r="AH400" s="2">
        <f t="shared" si="37"/>
        <v>0</v>
      </c>
      <c r="AI400" s="2">
        <f t="shared" si="38"/>
        <v>0</v>
      </c>
      <c r="AJ400" s="2"/>
      <c r="AK400" s="2"/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0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1-0-0</v>
      </c>
      <c r="AP400" s="2" t="str">
        <f>INDEX(Sheet5!$B$2:$AG$33, MATCH(Table2[[#This Row],[HomeTeam]],Sheet5!$A$2:$A$33, 0), MATCH(Table2[[#This Row],[AwayTeam]],Sheet5!$A$2:$A$33, 0))</f>
        <v>0-1-0</v>
      </c>
      <c r="AQ400" s="2">
        <f>IF(Table2[[#This Row],[GameHasShutOut]], 1, 0)</f>
        <v>0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/>
      <c r="B401" s="3">
        <v>45991</v>
      </c>
      <c r="C401" s="5">
        <v>2025020399</v>
      </c>
      <c r="D401" s="2" t="s">
        <v>28</v>
      </c>
      <c r="E401" s="2" t="s">
        <v>36</v>
      </c>
      <c r="F401" s="2"/>
      <c r="G401" s="2"/>
      <c r="H401" s="2" t="str">
        <f t="shared" si="34"/>
        <v>_</v>
      </c>
      <c r="I401" s="2"/>
      <c r="J401" s="2"/>
      <c r="K401" s="2"/>
      <c r="L401" s="2" t="str">
        <f t="shared" si="35"/>
        <v>_</v>
      </c>
      <c r="M401" s="2"/>
      <c r="N401" s="2">
        <f>IF(ISBLANK(Table2[[#This Row],[ActualResult]]), 0, 1)</f>
        <v>0</v>
      </c>
      <c r="O401" s="2" t="str">
        <f>IF(ISBLANK(Table2[[#This Row],[ActualResult]]), "_", IF(Table2[[#This Row],[ActualWinner]]=Table2[[#This Row],[PredictedWinner]], "Y", "N"))</f>
        <v>_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1" s="2"/>
      <c r="S401" s="2" t="str">
        <f t="shared" si="36"/>
        <v>_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1" s="2">
        <f>Table2[[#This Row],[ActualAwayScore]]-Table2[[#This Row],[PredictedAwayScore]]</f>
        <v>0</v>
      </c>
      <c r="AG401" s="2">
        <f>Table2[[#This Row],[ActualHomeScore]]-Table2[[#This Row],[PredictedHomeScore]]</f>
        <v>0</v>
      </c>
      <c r="AH401" s="2">
        <f t="shared" si="37"/>
        <v>0</v>
      </c>
      <c r="AI401" s="2">
        <f t="shared" si="38"/>
        <v>0</v>
      </c>
      <c r="AJ401" s="2"/>
      <c r="AK401" s="2"/>
      <c r="AL401" s="2">
        <f>IF(Table2[[#This Row],[GameIsOver]]=0,0,IF(Table2[[#This Row],[ActualWinner]]=Table2[[#This Row],[AwayTeam]], 1, 0))</f>
        <v>0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0-0-0</v>
      </c>
      <c r="AP401" s="2" t="str">
        <f>INDEX(Sheet5!$B$2:$AG$33, MATCH(Table2[[#This Row],[HomeTeam]],Sheet5!$A$2:$A$33, 0), MATCH(Table2[[#This Row],[AwayTeam]],Sheet5!$A$2:$A$33, 0))</f>
        <v>0-0-0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1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/>
      <c r="B402" s="3">
        <v>45991</v>
      </c>
      <c r="C402" s="5">
        <v>2025020400</v>
      </c>
      <c r="D402" s="2" t="s">
        <v>37</v>
      </c>
      <c r="E402" s="2" t="s">
        <v>26</v>
      </c>
      <c r="F402" s="2"/>
      <c r="G402" s="2"/>
      <c r="H402" s="2" t="str">
        <f t="shared" si="34"/>
        <v>_</v>
      </c>
      <c r="I402" s="2"/>
      <c r="J402" s="2"/>
      <c r="K402" s="2"/>
      <c r="L402" s="2" t="str">
        <f t="shared" si="35"/>
        <v>_</v>
      </c>
      <c r="M402" s="2"/>
      <c r="N402" s="2">
        <f>IF(ISBLANK(Table2[[#This Row],[ActualResult]]), 0, 1)</f>
        <v>0</v>
      </c>
      <c r="O402" s="2" t="str">
        <f>IF(ISBLANK(Table2[[#This Row],[ActualResult]]), "_", IF(Table2[[#This Row],[ActualWinner]]=Table2[[#This Row],[PredictedWinner]], "Y", "N"))</f>
        <v>_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2" s="2"/>
      <c r="S402" s="2" t="str">
        <f t="shared" si="36"/>
        <v>_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2" s="2">
        <f>Table2[[#This Row],[ActualAwayScore]]-Table2[[#This Row],[PredictedAwayScore]]</f>
        <v>0</v>
      </c>
      <c r="AG402" s="2">
        <f>Table2[[#This Row],[ActualHomeScore]]-Table2[[#This Row],[PredictedHomeScore]]</f>
        <v>0</v>
      </c>
      <c r="AH402" s="2">
        <f t="shared" si="37"/>
        <v>0</v>
      </c>
      <c r="AI402" s="2">
        <f t="shared" si="38"/>
        <v>0</v>
      </c>
      <c r="AJ402" s="2"/>
      <c r="AK402" s="2"/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0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0-0-1</v>
      </c>
      <c r="AP402" s="2" t="str">
        <f>INDEX(Sheet5!$B$2:$AG$33, MATCH(Table2[[#This Row],[HomeTeam]],Sheet5!$A$2:$A$33, 0), MATCH(Table2[[#This Row],[AwayTeam]],Sheet5!$A$2:$A$33, 0))</f>
        <v>1-0-0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1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3"/>
      <c r="B403" s="3">
        <v>45991</v>
      </c>
      <c r="C403" s="5">
        <v>2025020401</v>
      </c>
      <c r="D403" s="2" t="s">
        <v>24</v>
      </c>
      <c r="E403" s="2" t="s">
        <v>27</v>
      </c>
      <c r="F403" s="2"/>
      <c r="G403" s="2"/>
      <c r="H403" s="2" t="str">
        <f t="shared" si="34"/>
        <v>_</v>
      </c>
      <c r="I403" s="2"/>
      <c r="J403" s="2"/>
      <c r="K403" s="2"/>
      <c r="L403" s="2" t="str">
        <f t="shared" si="35"/>
        <v>_</v>
      </c>
      <c r="M403" s="2"/>
      <c r="N403" s="2">
        <f>IF(ISBLANK(Table2[[#This Row],[ActualResult]]), 0, 1)</f>
        <v>0</v>
      </c>
      <c r="O403" s="2" t="str">
        <f>IF(ISBLANK(Table2[[#This Row],[ActualResult]]), "_", IF(Table2[[#This Row],[ActualWinner]]=Table2[[#This Row],[PredictedWinner]], "Y", "N"))</f>
        <v>_</v>
      </c>
      <c r="P4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3" s="2"/>
      <c r="S403" s="2" t="str">
        <f t="shared" si="36"/>
        <v>_</v>
      </c>
      <c r="T4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2">
        <f>IF(Table2[[#This Row],[InterConf]]=1,IF(Table2[[#This Row],[InterDiv]]=0, 1, 0), 0)</f>
        <v>0</v>
      </c>
      <c r="W4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2"/>
      <c r="Y403" s="2"/>
      <c r="Z403" s="145">
        <f>IF(AND(Table2[[#This Row],[GameIsOver]]=1,Table2[[#This Row],[ActualHomeScore]]*Table2[[#This Row],[ActualAwayScore]]=0), 1,0)</f>
        <v>0</v>
      </c>
      <c r="AA4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3" s="2">
        <f>Table2[[#This Row],[ActualAwayScore]]-Table2[[#This Row],[PredictedAwayScore]]</f>
        <v>0</v>
      </c>
      <c r="AG403" s="2">
        <f>Table2[[#This Row],[ActualHomeScore]]-Table2[[#This Row],[PredictedHomeScore]]</f>
        <v>0</v>
      </c>
      <c r="AH403" s="2">
        <f t="shared" si="37"/>
        <v>0</v>
      </c>
      <c r="AI403" s="2">
        <f t="shared" si="38"/>
        <v>0</v>
      </c>
      <c r="AJ403" s="2"/>
      <c r="AK403" s="2"/>
      <c r="AL403" s="2">
        <f>IF(Table2[[#This Row],[GameIsOver]]=0,0,IF(Table2[[#This Row],[ActualWinner]]=Table2[[#This Row],[AwayTeam]], 1, 0))</f>
        <v>0</v>
      </c>
      <c r="AM403" s="2">
        <f>IF(Table2[[#This Row],[GameIsOver]]=0,0,IF(Table2[[#This Row],[ActualWinner]]=Table2[[#This Row],[HomeTeam]], 1, 0))</f>
        <v>0</v>
      </c>
      <c r="AN4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2" t="str">
        <f>INDEX(Sheet5!$B$2:$AG$33, MATCH(Table2[[#This Row],[AwayTeam]],Sheet5!$A$2:$A$33, 0), MATCH(Table2[[#This Row],[HomeTeam]],Sheet5!$A$2:$A$33, 0))</f>
        <v>0-0-0</v>
      </c>
      <c r="AP403" s="2" t="str">
        <f>INDEX(Sheet5!$B$2:$AG$33, MATCH(Table2[[#This Row],[HomeTeam]],Sheet5!$A$2:$A$33, 0), MATCH(Table2[[#This Row],[AwayTeam]],Sheet5!$A$2:$A$33, 0))</f>
        <v>0-0-0</v>
      </c>
      <c r="AQ403" s="2">
        <f>IF(Table2[[#This Row],[GameHasShutOut]], 1, 0)</f>
        <v>0</v>
      </c>
      <c r="AR403" s="2">
        <f>IF(Table2[[#This Row],[ActualAwayScore]] + Table2[[#This Row],[ActualHomeScore]] &gt;= 10, 1, 0)</f>
        <v>0</v>
      </c>
      <c r="AS403" s="2">
        <f>IF(ABS(Table2[[#This Row],[ActualAwayScore]]-Table2[[#This Row],[ActualHomeScore]])&gt;=5, 1, 0)</f>
        <v>0</v>
      </c>
      <c r="AT403" s="2">
        <f>IF(Table2[[#This Row],[ActualAwayScore]] + Table2[[#This Row],[ActualHomeScore]] &lt;= 3, 1, 0)</f>
        <v>1</v>
      </c>
      <c r="AU4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/>
      <c r="B404" s="3">
        <v>45991</v>
      </c>
      <c r="C404" s="5">
        <v>2025020402</v>
      </c>
      <c r="D404" s="2" t="s">
        <v>43</v>
      </c>
      <c r="E404" s="2" t="s">
        <v>32</v>
      </c>
      <c r="F404" s="2"/>
      <c r="G404" s="2"/>
      <c r="H404" s="2" t="str">
        <f t="shared" si="34"/>
        <v>_</v>
      </c>
      <c r="I404" s="2"/>
      <c r="J404" s="2"/>
      <c r="K404" s="2"/>
      <c r="L404" s="2" t="str">
        <f t="shared" si="35"/>
        <v>_</v>
      </c>
      <c r="M404" s="2"/>
      <c r="N404" s="2">
        <f>IF(ISBLANK(Table2[[#This Row],[ActualResult]]), 0, 1)</f>
        <v>0</v>
      </c>
      <c r="O404" s="2" t="str">
        <f>IF(ISBLANK(Table2[[#This Row],[ActualResult]]), "_", IF(Table2[[#This Row],[ActualWinner]]=Table2[[#This Row],[PredictedWinner]], "Y", "N"))</f>
        <v>_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4" s="2"/>
      <c r="S404" s="2" t="str">
        <f t="shared" si="36"/>
        <v>_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0</v>
      </c>
      <c r="AG404" s="2">
        <f>Table2[[#This Row],[ActualHomeScore]]-Table2[[#This Row],[PredictedHomeScore]]</f>
        <v>0</v>
      </c>
      <c r="AH404" s="2">
        <f t="shared" si="37"/>
        <v>0</v>
      </c>
      <c r="AI404" s="2">
        <f t="shared" si="38"/>
        <v>0</v>
      </c>
      <c r="AJ404" s="2"/>
      <c r="AK404" s="2"/>
      <c r="AL404" s="2">
        <f>IF(Table2[[#This Row],[GameIsOver]]=0,0,IF(Table2[[#This Row],[ActualWinner]]=Table2[[#This Row],[AwayTeam]], 1, 0))</f>
        <v>0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1-1-0</v>
      </c>
      <c r="AP404" s="2" t="str">
        <f>INDEX(Sheet5!$B$2:$AG$33, MATCH(Table2[[#This Row],[HomeTeam]],Sheet5!$A$2:$A$33, 0), MATCH(Table2[[#This Row],[AwayTeam]],Sheet5!$A$2:$A$33, 0))</f>
        <v>1-1-0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1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/>
      <c r="B405" s="3">
        <v>45991</v>
      </c>
      <c r="C405" s="5">
        <v>2025020403</v>
      </c>
      <c r="D405" s="2" t="s">
        <v>44</v>
      </c>
      <c r="E405" s="2" t="s">
        <v>16</v>
      </c>
      <c r="F405" s="2"/>
      <c r="G405" s="2"/>
      <c r="H405" s="2" t="str">
        <f t="shared" si="34"/>
        <v>_</v>
      </c>
      <c r="I405" s="2"/>
      <c r="J405" s="2"/>
      <c r="K405" s="2"/>
      <c r="L405" s="2" t="str">
        <f t="shared" si="35"/>
        <v>_</v>
      </c>
      <c r="M405" s="2"/>
      <c r="N405" s="2">
        <f>IF(ISBLANK(Table2[[#This Row],[ActualResult]]), 0, 1)</f>
        <v>0</v>
      </c>
      <c r="O405" s="2" t="str">
        <f>IF(ISBLANK(Table2[[#This Row],[ActualResult]]), "_", IF(Table2[[#This Row],[ActualWinner]]=Table2[[#This Row],[PredictedWinner]], "Y", "N"))</f>
        <v>_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5" s="2"/>
      <c r="S405" s="2" t="str">
        <f t="shared" si="36"/>
        <v>_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0</v>
      </c>
      <c r="AG405" s="2">
        <f>Table2[[#This Row],[ActualHomeScore]]-Table2[[#This Row],[PredictedHomeScore]]</f>
        <v>0</v>
      </c>
      <c r="AH405" s="2">
        <f t="shared" si="37"/>
        <v>0</v>
      </c>
      <c r="AI405" s="2">
        <f t="shared" si="38"/>
        <v>0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0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0-0-1</v>
      </c>
      <c r="AP405" s="2" t="str">
        <f>INDEX(Sheet5!$B$2:$AG$33, MATCH(Table2[[#This Row],[HomeTeam]],Sheet5!$A$2:$A$33, 0), MATCH(Table2[[#This Row],[AwayTeam]],Sheet5!$A$2:$A$33, 0))</f>
        <v>1-0-0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1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/>
      <c r="B406" s="3">
        <v>45991</v>
      </c>
      <c r="C406" s="5">
        <v>2025020404</v>
      </c>
      <c r="D406" s="2" t="s">
        <v>23</v>
      </c>
      <c r="E406" s="2" t="s">
        <v>41</v>
      </c>
      <c r="F406" s="2"/>
      <c r="G406" s="2"/>
      <c r="H406" s="2" t="str">
        <f t="shared" si="34"/>
        <v>_</v>
      </c>
      <c r="I406" s="2"/>
      <c r="J406" s="2"/>
      <c r="K406" s="2"/>
      <c r="L406" s="2" t="str">
        <f t="shared" si="35"/>
        <v>_</v>
      </c>
      <c r="M406" s="2"/>
      <c r="N406" s="2">
        <f>IF(ISBLANK(Table2[[#This Row],[ActualResult]]), 0, 1)</f>
        <v>0</v>
      </c>
      <c r="O406" s="2" t="str">
        <f>IF(ISBLANK(Table2[[#This Row],[ActualResult]]), "_", IF(Table2[[#This Row],[ActualWinner]]=Table2[[#This Row],[PredictedWinner]], "Y", "N"))</f>
        <v>_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6" s="2"/>
      <c r="S406" s="2" t="str">
        <f t="shared" si="36"/>
        <v>_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0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0</v>
      </c>
      <c r="AG406" s="2">
        <f>Table2[[#This Row],[ActualHomeScore]]-Table2[[#This Row],[PredictedHomeScore]]</f>
        <v>0</v>
      </c>
      <c r="AH406" s="2">
        <f t="shared" si="37"/>
        <v>0</v>
      </c>
      <c r="AI406" s="2">
        <f t="shared" si="38"/>
        <v>0</v>
      </c>
      <c r="AJ406" s="2"/>
      <c r="AK406" s="2"/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0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0-0-0</v>
      </c>
      <c r="AP406" s="2" t="str">
        <f>INDEX(Sheet5!$B$2:$AG$33, MATCH(Table2[[#This Row],[HomeTeam]],Sheet5!$A$2:$A$33, 0), MATCH(Table2[[#This Row],[AwayTeam]],Sheet5!$A$2:$A$33, 0))</f>
        <v>0-0-0</v>
      </c>
      <c r="AQ406" s="2">
        <f>IF(Table2[[#This Row],[GameHasShutOut]], 1, 0)</f>
        <v>0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3"/>
      <c r="B407" s="3">
        <v>45991</v>
      </c>
      <c r="C407" s="5">
        <v>2025020405</v>
      </c>
      <c r="D407" s="2" t="s">
        <v>29</v>
      </c>
      <c r="E407" s="2" t="s">
        <v>33</v>
      </c>
      <c r="F407" s="2"/>
      <c r="G407" s="2"/>
      <c r="H407" s="2" t="str">
        <f t="shared" si="34"/>
        <v>_</v>
      </c>
      <c r="I407" s="2"/>
      <c r="J407" s="2"/>
      <c r="K407" s="2"/>
      <c r="L407" s="2" t="str">
        <f t="shared" si="35"/>
        <v>_</v>
      </c>
      <c r="M407" s="2"/>
      <c r="N407" s="2">
        <f>IF(ISBLANK(Table2[[#This Row],[ActualResult]]), 0, 1)</f>
        <v>0</v>
      </c>
      <c r="O407" s="2" t="str">
        <f>IF(ISBLANK(Table2[[#This Row],[ActualResult]]), "_", IF(Table2[[#This Row],[ActualWinner]]=Table2[[#This Row],[PredictedWinner]], "Y", "N"))</f>
        <v>_</v>
      </c>
      <c r="P4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7" s="2"/>
      <c r="S407" s="2" t="str">
        <f t="shared" si="36"/>
        <v>_</v>
      </c>
      <c r="T4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2">
        <f>IF(Table2[[#This Row],[InterConf]]=1,IF(Table2[[#This Row],[InterDiv]]=0, 1, 0), 0)</f>
        <v>0</v>
      </c>
      <c r="W4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2"/>
      <c r="Y407" s="2"/>
      <c r="Z407" s="145">
        <f>IF(AND(Table2[[#This Row],[GameIsOver]]=1,Table2[[#This Row],[ActualHomeScore]]*Table2[[#This Row],[ActualAwayScore]]=0), 1,0)</f>
        <v>0</v>
      </c>
      <c r="AA4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2">
        <f>Table2[[#This Row],[ActualAwayScore]]-Table2[[#This Row],[PredictedAwayScore]]</f>
        <v>0</v>
      </c>
      <c r="AG407" s="2">
        <f>Table2[[#This Row],[ActualHomeScore]]-Table2[[#This Row],[PredictedHomeScore]]</f>
        <v>0</v>
      </c>
      <c r="AH407" s="2">
        <f t="shared" si="37"/>
        <v>0</v>
      </c>
      <c r="AI407" s="2">
        <f t="shared" si="38"/>
        <v>0</v>
      </c>
      <c r="AJ407" s="2"/>
      <c r="AK407" s="2"/>
      <c r="AL407" s="2">
        <f>IF(Table2[[#This Row],[GameIsOver]]=0,0,IF(Table2[[#This Row],[ActualWinner]]=Table2[[#This Row],[AwayTeam]], 1, 0))</f>
        <v>0</v>
      </c>
      <c r="AM407" s="2">
        <f>IF(Table2[[#This Row],[GameIsOver]]=0,0,IF(Table2[[#This Row],[ActualWinner]]=Table2[[#This Row],[HomeTeam]], 1, 0))</f>
        <v>0</v>
      </c>
      <c r="AN4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2" t="str">
        <f>INDEX(Sheet5!$B$2:$AG$33, MATCH(Table2[[#This Row],[AwayTeam]],Sheet5!$A$2:$A$33, 0), MATCH(Table2[[#This Row],[HomeTeam]],Sheet5!$A$2:$A$33, 0))</f>
        <v>0-0-1</v>
      </c>
      <c r="AP407" s="2" t="str">
        <f>INDEX(Sheet5!$B$2:$AG$33, MATCH(Table2[[#This Row],[HomeTeam]],Sheet5!$A$2:$A$33, 0), MATCH(Table2[[#This Row],[AwayTeam]],Sheet5!$A$2:$A$33, 0))</f>
        <v>1-0-0</v>
      </c>
      <c r="AQ407" s="2">
        <f>IF(Table2[[#This Row],[GameHasShutOut]], 1, 0)</f>
        <v>0</v>
      </c>
      <c r="AR407" s="2">
        <f>IF(Table2[[#This Row],[ActualAwayScore]] + Table2[[#This Row],[ActualHomeScore]] &gt;= 10, 1, 0)</f>
        <v>0</v>
      </c>
      <c r="AS407" s="2">
        <f>IF(ABS(Table2[[#This Row],[ActualAwayScore]]-Table2[[#This Row],[ActualHomeScore]])&gt;=5, 1, 0)</f>
        <v>0</v>
      </c>
      <c r="AT407" s="2">
        <f>IF(Table2[[#This Row],[ActualAwayScore]] + Table2[[#This Row],[ActualHomeScore]] &lt;= 3, 1, 0)</f>
        <v>1</v>
      </c>
      <c r="AU4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/>
      <c r="B408" s="3">
        <v>45993</v>
      </c>
      <c r="C408" s="5">
        <v>2025020406</v>
      </c>
      <c r="D408" s="2" t="s">
        <v>35</v>
      </c>
      <c r="E408" s="2" t="s">
        <v>31</v>
      </c>
      <c r="F408" s="2"/>
      <c r="G408" s="2"/>
      <c r="H408" s="2" t="str">
        <f t="shared" si="34"/>
        <v>_</v>
      </c>
      <c r="I408" s="2"/>
      <c r="J408" s="2"/>
      <c r="K408" s="2"/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/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8" s="2">
        <f>Table2[[#This Row],[ActualAwayScore]]-Table2[[#This Row],[PredictedAwayScore]]</f>
        <v>0</v>
      </c>
      <c r="AG408" s="2">
        <f>Table2[[#This Row],[ActualHomeScore]]-Table2[[#This Row],[PredictedHomeScore]]</f>
        <v>0</v>
      </c>
      <c r="AH408" s="2">
        <f t="shared" si="37"/>
        <v>0</v>
      </c>
      <c r="AI408" s="2">
        <f t="shared" si="38"/>
        <v>0</v>
      </c>
      <c r="AJ408" s="2"/>
      <c r="AK408" s="2"/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1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/>
      <c r="B409" s="3">
        <v>45993</v>
      </c>
      <c r="C409" s="5">
        <v>2025020407</v>
      </c>
      <c r="D409" s="2" t="s">
        <v>20</v>
      </c>
      <c r="E409" s="2" t="s">
        <v>42</v>
      </c>
      <c r="F409" s="2"/>
      <c r="G409" s="2"/>
      <c r="H409" s="2" t="str">
        <f t="shared" si="34"/>
        <v>_</v>
      </c>
      <c r="I409" s="2"/>
      <c r="J409" s="2"/>
      <c r="K409" s="2"/>
      <c r="L409" s="2" t="str">
        <f t="shared" si="35"/>
        <v>_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/>
      <c r="S409" s="2" t="str">
        <f t="shared" si="36"/>
        <v>_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9" s="2">
        <f>Table2[[#This Row],[ActualAwayScore]]-Table2[[#This Row],[PredictedAwayScore]]</f>
        <v>0</v>
      </c>
      <c r="AG409" s="2">
        <f>Table2[[#This Row],[ActualHomeScore]]-Table2[[#This Row],[PredictedHomeScore]]</f>
        <v>0</v>
      </c>
      <c r="AH409" s="2">
        <f t="shared" si="37"/>
        <v>0</v>
      </c>
      <c r="AI409" s="2">
        <f t="shared" si="38"/>
        <v>0</v>
      </c>
      <c r="AJ409" s="2"/>
      <c r="AK409" s="2"/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/>
      <c r="B410" s="3">
        <v>45993</v>
      </c>
      <c r="C410" s="5">
        <v>2025020408</v>
      </c>
      <c r="D410" s="2" t="s">
        <v>21</v>
      </c>
      <c r="E410" s="2" t="s">
        <v>28</v>
      </c>
      <c r="F410" s="2"/>
      <c r="G410" s="2"/>
      <c r="H410" s="2" t="str">
        <f t="shared" si="34"/>
        <v>_</v>
      </c>
      <c r="I410" s="2"/>
      <c r="J410" s="2"/>
      <c r="K410" s="2"/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/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0" s="2">
        <f>Table2[[#This Row],[ActualAwayScore]]-Table2[[#This Row],[PredictedAwayScore]]</f>
        <v>0</v>
      </c>
      <c r="AG410" s="2">
        <f>Table2[[#This Row],[ActualHomeScore]]-Table2[[#This Row],[PredictedHomeScore]]</f>
        <v>0</v>
      </c>
      <c r="AH410" s="2">
        <f t="shared" si="37"/>
        <v>0</v>
      </c>
      <c r="AI410" s="2">
        <f t="shared" si="38"/>
        <v>0</v>
      </c>
      <c r="AJ410" s="2"/>
      <c r="AK410" s="2"/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/>
      <c r="B411" s="3">
        <v>45993</v>
      </c>
      <c r="C411" s="5">
        <v>2025020409</v>
      </c>
      <c r="D411" s="2" t="s">
        <v>44</v>
      </c>
      <c r="E411" s="2" t="s">
        <v>12</v>
      </c>
      <c r="F411" s="2"/>
      <c r="G411" s="2"/>
      <c r="H411" s="2" t="str">
        <f t="shared" si="34"/>
        <v>_</v>
      </c>
      <c r="I411" s="2"/>
      <c r="J411" s="2"/>
      <c r="K411" s="2"/>
      <c r="L411" s="2" t="str">
        <f t="shared" si="35"/>
        <v>_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1" s="2"/>
      <c r="S411" s="2" t="str">
        <f t="shared" si="36"/>
        <v>_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1" s="2">
        <f>Table2[[#This Row],[ActualAwayScore]]-Table2[[#This Row],[PredictedAwayScore]]</f>
        <v>0</v>
      </c>
      <c r="AG411" s="2">
        <f>Table2[[#This Row],[ActualHomeScore]]-Table2[[#This Row],[PredictedHomeScore]]</f>
        <v>0</v>
      </c>
      <c r="AH411" s="2">
        <f t="shared" si="37"/>
        <v>0</v>
      </c>
      <c r="AI411" s="2">
        <f t="shared" si="38"/>
        <v>0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1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3"/>
      <c r="B412" s="3">
        <v>45993</v>
      </c>
      <c r="C412" s="5">
        <v>2025020410</v>
      </c>
      <c r="D412" s="2" t="s">
        <v>14</v>
      </c>
      <c r="E412" s="2" t="s">
        <v>37</v>
      </c>
      <c r="F412" s="2"/>
      <c r="G412" s="2"/>
      <c r="H412" s="2" t="str">
        <f t="shared" si="34"/>
        <v>_</v>
      </c>
      <c r="I412" s="2"/>
      <c r="J412" s="2"/>
      <c r="K412" s="2"/>
      <c r="L412" s="2" t="str">
        <f t="shared" si="35"/>
        <v>_</v>
      </c>
      <c r="M412" s="2"/>
      <c r="N412" s="2">
        <f>IF(ISBLANK(Table2[[#This Row],[ActualResult]]), 0, 1)</f>
        <v>0</v>
      </c>
      <c r="O412" s="2" t="str">
        <f>IF(ISBLANK(Table2[[#This Row],[ActualResult]]), "_", IF(Table2[[#This Row],[ActualWinner]]=Table2[[#This Row],[PredictedWinner]], "Y", "N"))</f>
        <v>_</v>
      </c>
      <c r="P4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2"/>
      <c r="S412" s="2" t="str">
        <f t="shared" si="36"/>
        <v>_</v>
      </c>
      <c r="T4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2">
        <f>IF(Table2[[#This Row],[InterConf]]=1,IF(Table2[[#This Row],[InterDiv]]=0, 1, 0), 0)</f>
        <v>1</v>
      </c>
      <c r="W4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2"/>
      <c r="Y412" s="2"/>
      <c r="Z412" s="145">
        <f>IF(AND(Table2[[#This Row],[GameIsOver]]=1,Table2[[#This Row],[ActualHomeScore]]*Table2[[#This Row],[ActualAwayScore]]=0), 1,0)</f>
        <v>0</v>
      </c>
      <c r="AA4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2" s="2">
        <f>Table2[[#This Row],[ActualAwayScore]]-Table2[[#This Row],[PredictedAwayScore]]</f>
        <v>0</v>
      </c>
      <c r="AG412" s="2">
        <f>Table2[[#This Row],[ActualHomeScore]]-Table2[[#This Row],[PredictedHomeScore]]</f>
        <v>0</v>
      </c>
      <c r="AH412" s="2">
        <f t="shared" si="37"/>
        <v>0</v>
      </c>
      <c r="AI412" s="2">
        <f t="shared" si="38"/>
        <v>0</v>
      </c>
      <c r="AJ412" s="2"/>
      <c r="AK412" s="2"/>
      <c r="AL412" s="2">
        <f>IF(Table2[[#This Row],[GameIsOver]]=0,0,IF(Table2[[#This Row],[ActualWinner]]=Table2[[#This Row],[AwayTeam]], 1, 0))</f>
        <v>0</v>
      </c>
      <c r="AM412" s="2">
        <f>IF(Table2[[#This Row],[GameIsOver]]=0,0,IF(Table2[[#This Row],[ActualWinner]]=Table2[[#This Row],[HomeTeam]], 1, 0))</f>
        <v>0</v>
      </c>
      <c r="AN4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2" t="str">
        <f>INDEX(Sheet5!$B$2:$AG$33, MATCH(Table2[[#This Row],[AwayTeam]],Sheet5!$A$2:$A$33, 0), MATCH(Table2[[#This Row],[HomeTeam]],Sheet5!$A$2:$A$33, 0))</f>
        <v>1-0-0</v>
      </c>
      <c r="AP412" s="2" t="str">
        <f>INDEX(Sheet5!$B$2:$AG$33, MATCH(Table2[[#This Row],[HomeTeam]],Sheet5!$A$2:$A$33, 0), MATCH(Table2[[#This Row],[AwayTeam]],Sheet5!$A$2:$A$33, 0))</f>
        <v>0-1-0</v>
      </c>
      <c r="AQ412" s="2">
        <f>IF(Table2[[#This Row],[GameHasShutOut]], 1, 0)</f>
        <v>0</v>
      </c>
      <c r="AR412" s="2">
        <f>IF(Table2[[#This Row],[ActualAwayScore]] + Table2[[#This Row],[ActualHomeScore]] &gt;= 10, 1, 0)</f>
        <v>0</v>
      </c>
      <c r="AS412" s="2">
        <f>IF(ABS(Table2[[#This Row],[ActualAwayScore]]-Table2[[#This Row],[ActualHomeScore]])&gt;=5, 1, 0)</f>
        <v>0</v>
      </c>
      <c r="AT412" s="2">
        <f>IF(Table2[[#This Row],[ActualAwayScore]] + Table2[[#This Row],[ActualHomeScore]] &lt;= 3, 1, 0)</f>
        <v>1</v>
      </c>
      <c r="AU4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45994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45994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0-0-0</v>
      </c>
      <c r="AP414" s="2" t="str">
        <f>INDEX(Sheet5!$B$2:$AG$33, MATCH(Table2[[#This Row],[HomeTeam]],Sheet5!$A$2:$A$33, 0), MATCH(Table2[[#This Row],[AwayTeam]],Sheet5!$A$2:$A$33, 0))</f>
        <v>0-0-0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45994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45994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45994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45994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45994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0-0-1</v>
      </c>
      <c r="AP419" s="2" t="str">
        <f>INDEX(Sheet5!$B$2:$AG$33, MATCH(Table2[[#This Row],[HomeTeam]],Sheet5!$A$2:$A$33, 0), MATCH(Table2[[#This Row],[AwayTeam]],Sheet5!$A$2:$A$33, 0))</f>
        <v>1-0-0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45994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45994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3"/>
      <c r="B422" s="3">
        <v>45994</v>
      </c>
      <c r="C422" s="5">
        <v>2025020420</v>
      </c>
      <c r="D422" s="2" t="s">
        <v>43</v>
      </c>
      <c r="E422" s="2" t="s">
        <v>27</v>
      </c>
      <c r="F422" s="2"/>
      <c r="G422" s="2"/>
      <c r="H422" s="2" t="str">
        <f t="shared" si="34"/>
        <v>_</v>
      </c>
      <c r="I422" s="2"/>
      <c r="J422" s="2"/>
      <c r="K422" s="2"/>
      <c r="L422" s="2" t="str">
        <f t="shared" si="35"/>
        <v>_</v>
      </c>
      <c r="M422" s="2"/>
      <c r="N422" s="2">
        <f>IF(ISBLANK(Table2[[#This Row],[ActualResult]]), 0, 1)</f>
        <v>0</v>
      </c>
      <c r="O422" s="2" t="str">
        <f>IF(ISBLANK(Table2[[#This Row],[ActualResult]]), "_", IF(Table2[[#This Row],[ActualWinner]]=Table2[[#This Row],[PredictedWinner]], "Y", "N"))</f>
        <v>_</v>
      </c>
      <c r="P4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2"/>
      <c r="S422" s="2" t="str">
        <f t="shared" si="36"/>
        <v>_</v>
      </c>
      <c r="T4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2">
        <f>IF(Table2[[#This Row],[InterConf]]=1,IF(Table2[[#This Row],[InterDiv]]=0, 1, 0), 0)</f>
        <v>0</v>
      </c>
      <c r="W4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2"/>
      <c r="Y422" s="2"/>
      <c r="Z422" s="145">
        <f>IF(AND(Table2[[#This Row],[GameIsOver]]=1,Table2[[#This Row],[ActualHomeScore]]*Table2[[#This Row],[ActualAwayScore]]=0), 1,0)</f>
        <v>0</v>
      </c>
      <c r="AA4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2" s="2">
        <f>Table2[[#This Row],[ActualAwayScore]]-Table2[[#This Row],[PredictedAwayScore]]</f>
        <v>0</v>
      </c>
      <c r="AG422" s="2">
        <f>Table2[[#This Row],[ActualHomeScore]]-Table2[[#This Row],[PredictedHomeScore]]</f>
        <v>0</v>
      </c>
      <c r="AH422" s="2">
        <f t="shared" si="37"/>
        <v>0</v>
      </c>
      <c r="AI422" s="2">
        <f t="shared" si="38"/>
        <v>0</v>
      </c>
      <c r="AJ422" s="2"/>
      <c r="AK422" s="2"/>
      <c r="AL422" s="2">
        <f>IF(Table2[[#This Row],[GameIsOver]]=0,0,IF(Table2[[#This Row],[ActualWinner]]=Table2[[#This Row],[AwayTeam]], 1, 0))</f>
        <v>0</v>
      </c>
      <c r="AM422" s="2">
        <f>IF(Table2[[#This Row],[GameIsOver]]=0,0,IF(Table2[[#This Row],[ActualWinner]]=Table2[[#This Row],[HomeTeam]], 1, 0))</f>
        <v>0</v>
      </c>
      <c r="AN4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2" t="str">
        <f>INDEX(Sheet5!$B$2:$AG$33, MATCH(Table2[[#This Row],[AwayTeam]],Sheet5!$A$2:$A$33, 0), MATCH(Table2[[#This Row],[HomeTeam]],Sheet5!$A$2:$A$33, 0))</f>
        <v>0-0-0</v>
      </c>
      <c r="AP422" s="2" t="str">
        <f>INDEX(Sheet5!$B$2:$AG$33, MATCH(Table2[[#This Row],[HomeTeam]],Sheet5!$A$2:$A$33, 0), MATCH(Table2[[#This Row],[AwayTeam]],Sheet5!$A$2:$A$33, 0))</f>
        <v>0-0-0</v>
      </c>
      <c r="AQ422" s="2">
        <f>IF(Table2[[#This Row],[GameHasShutOut]], 1, 0)</f>
        <v>0</v>
      </c>
      <c r="AR422" s="2">
        <f>IF(Table2[[#This Row],[ActualAwayScore]] + Table2[[#This Row],[ActualHomeScore]] &gt;= 10, 1, 0)</f>
        <v>0</v>
      </c>
      <c r="AS422" s="2">
        <f>IF(ABS(Table2[[#This Row],[ActualAwayScore]]-Table2[[#This Row],[ActualHomeScore]])&gt;=5, 1, 0)</f>
        <v>0</v>
      </c>
      <c r="AT422" s="2">
        <f>IF(Table2[[#This Row],[ActualAwayScore]] + Table2[[#This Row],[ActualHomeScore]] &lt;= 3, 1, 0)</f>
        <v>1</v>
      </c>
      <c r="AU4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45995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45995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45995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45995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0-0-0</v>
      </c>
      <c r="AP426" s="2" t="str">
        <f>INDEX(Sheet5!$B$2:$AG$33, MATCH(Table2[[#This Row],[HomeTeam]],Sheet5!$A$2:$A$33, 0), MATCH(Table2[[#This Row],[AwayTeam]],Sheet5!$A$2:$A$33, 0))</f>
        <v>0-0-0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3"/>
      <c r="B427" s="3">
        <v>45995</v>
      </c>
      <c r="C427" s="5">
        <v>2025020425</v>
      </c>
      <c r="D427" s="2" t="s">
        <v>43</v>
      </c>
      <c r="E427" s="2" t="s">
        <v>37</v>
      </c>
      <c r="F427" s="2"/>
      <c r="G427" s="2"/>
      <c r="H427" s="2" t="str">
        <f t="shared" si="34"/>
        <v>_</v>
      </c>
      <c r="I427" s="2"/>
      <c r="J427" s="2"/>
      <c r="K427" s="2"/>
      <c r="L427" s="2" t="str">
        <f t="shared" si="35"/>
        <v>_</v>
      </c>
      <c r="M427" s="2"/>
      <c r="N427" s="2">
        <f>IF(ISBLANK(Table2[[#This Row],[ActualResult]]), 0, 1)</f>
        <v>0</v>
      </c>
      <c r="O427" s="2" t="str">
        <f>IF(ISBLANK(Table2[[#This Row],[ActualResult]]), "_", IF(Table2[[#This Row],[ActualWinner]]=Table2[[#This Row],[PredictedWinner]], "Y", "N"))</f>
        <v>_</v>
      </c>
      <c r="P4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2"/>
      <c r="S427" s="2" t="str">
        <f t="shared" si="36"/>
        <v>_</v>
      </c>
      <c r="T4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2">
        <f>IF(Table2[[#This Row],[InterConf]]=1,IF(Table2[[#This Row],[InterDiv]]=0, 1, 0), 0)</f>
        <v>0</v>
      </c>
      <c r="W4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2"/>
      <c r="Y427" s="2"/>
      <c r="Z427" s="145">
        <f>IF(AND(Table2[[#This Row],[GameIsOver]]=1,Table2[[#This Row],[ActualHomeScore]]*Table2[[#This Row],[ActualAwayScore]]=0), 1,0)</f>
        <v>0</v>
      </c>
      <c r="AA4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7" s="2">
        <f>Table2[[#This Row],[ActualAwayScore]]-Table2[[#This Row],[PredictedAwayScore]]</f>
        <v>0</v>
      </c>
      <c r="AG427" s="2">
        <f>Table2[[#This Row],[ActualHomeScore]]-Table2[[#This Row],[PredictedHomeScore]]</f>
        <v>0</v>
      </c>
      <c r="AH427" s="2">
        <f t="shared" si="37"/>
        <v>0</v>
      </c>
      <c r="AI427" s="2">
        <f t="shared" si="38"/>
        <v>0</v>
      </c>
      <c r="AJ427" s="2"/>
      <c r="AK427" s="2"/>
      <c r="AL427" s="2">
        <f>IF(Table2[[#This Row],[GameIsOver]]=0,0,IF(Table2[[#This Row],[ActualWinner]]=Table2[[#This Row],[AwayTeam]], 1, 0))</f>
        <v>0</v>
      </c>
      <c r="AM427" s="2">
        <f>IF(Table2[[#This Row],[GameIsOver]]=0,0,IF(Table2[[#This Row],[ActualWinner]]=Table2[[#This Row],[HomeTeam]], 1, 0))</f>
        <v>0</v>
      </c>
      <c r="AN4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2" t="str">
        <f>INDEX(Sheet5!$B$2:$AG$33, MATCH(Table2[[#This Row],[AwayTeam]],Sheet5!$A$2:$A$33, 0), MATCH(Table2[[#This Row],[HomeTeam]],Sheet5!$A$2:$A$33, 0))</f>
        <v>0-0-0</v>
      </c>
      <c r="AP427" s="2" t="str">
        <f>INDEX(Sheet5!$B$2:$AG$33, MATCH(Table2[[#This Row],[HomeTeam]],Sheet5!$A$2:$A$33, 0), MATCH(Table2[[#This Row],[AwayTeam]],Sheet5!$A$2:$A$33, 0))</f>
        <v>0-0-0</v>
      </c>
      <c r="AQ427" s="2">
        <f>IF(Table2[[#This Row],[GameHasShutOut]], 1, 0)</f>
        <v>0</v>
      </c>
      <c r="AR427" s="2">
        <f>IF(Table2[[#This Row],[ActualAwayScore]] + Table2[[#This Row],[ActualHomeScore]] &gt;= 10, 1, 0)</f>
        <v>0</v>
      </c>
      <c r="AS427" s="2">
        <f>IF(ABS(Table2[[#This Row],[ActualAwayScore]]-Table2[[#This Row],[ActualHomeScore]])&gt;=5, 1, 0)</f>
        <v>0</v>
      </c>
      <c r="AT427" s="2">
        <f>IF(Table2[[#This Row],[ActualAwayScore]] + Table2[[#This Row],[ActualHomeScore]] &lt;= 3, 1, 0)</f>
        <v>1</v>
      </c>
      <c r="AU4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45996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45996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45996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45996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0-0-0</v>
      </c>
      <c r="AP431" s="2" t="str">
        <f>INDEX(Sheet5!$B$2:$AG$33, MATCH(Table2[[#This Row],[HomeTeam]],Sheet5!$A$2:$A$33, 0), MATCH(Table2[[#This Row],[AwayTeam]],Sheet5!$A$2:$A$33, 0))</f>
        <v>0-0-0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45996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0-0-0</v>
      </c>
      <c r="AP432" s="2" t="str">
        <f>INDEX(Sheet5!$B$2:$AG$33, MATCH(Table2[[#This Row],[HomeTeam]],Sheet5!$A$2:$A$33, 0), MATCH(Table2[[#This Row],[AwayTeam]],Sheet5!$A$2:$A$33, 0))</f>
        <v>0-0-0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45996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45996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0-0-0</v>
      </c>
      <c r="AP434" s="2" t="str">
        <f>INDEX(Sheet5!$B$2:$AG$33, MATCH(Table2[[#This Row],[HomeTeam]],Sheet5!$A$2:$A$33, 0), MATCH(Table2[[#This Row],[AwayTeam]],Sheet5!$A$2:$A$33, 0))</f>
        <v>0-0-0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45996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45996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1-0-0</v>
      </c>
      <c r="AP436" s="2" t="str">
        <f>INDEX(Sheet5!$B$2:$AG$33, MATCH(Table2[[#This Row],[HomeTeam]],Sheet5!$A$2:$A$33, 0), MATCH(Table2[[#This Row],[AwayTeam]],Sheet5!$A$2:$A$33, 0))</f>
        <v>0-1-0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3"/>
      <c r="B437" s="3">
        <v>45996</v>
      </c>
      <c r="C437" s="5">
        <v>2025020435</v>
      </c>
      <c r="D437" s="2" t="s">
        <v>16</v>
      </c>
      <c r="E437" s="2" t="s">
        <v>27</v>
      </c>
      <c r="F437" s="2"/>
      <c r="G437" s="2"/>
      <c r="H437" s="2" t="str">
        <f t="shared" si="34"/>
        <v>_</v>
      </c>
      <c r="I437" s="2"/>
      <c r="J437" s="2"/>
      <c r="K437" s="2"/>
      <c r="L437" s="2" t="str">
        <f t="shared" si="35"/>
        <v>_</v>
      </c>
      <c r="M437" s="2"/>
      <c r="N437" s="2">
        <f>IF(ISBLANK(Table2[[#This Row],[ActualResult]]), 0, 1)</f>
        <v>0</v>
      </c>
      <c r="O437" s="2" t="str">
        <f>IF(ISBLANK(Table2[[#This Row],[ActualResult]]), "_", IF(Table2[[#This Row],[ActualWinner]]=Table2[[#This Row],[PredictedWinner]], "Y", "N"))</f>
        <v>_</v>
      </c>
      <c r="P4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2"/>
      <c r="S437" s="2" t="str">
        <f t="shared" si="36"/>
        <v>_</v>
      </c>
      <c r="T4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2">
        <f>IF(Table2[[#This Row],[InterConf]]=1,IF(Table2[[#This Row],[InterDiv]]=0, 1, 0), 0)</f>
        <v>1</v>
      </c>
      <c r="W4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2"/>
      <c r="Y437" s="2"/>
      <c r="Z437" s="145">
        <f>IF(AND(Table2[[#This Row],[GameIsOver]]=1,Table2[[#This Row],[ActualHomeScore]]*Table2[[#This Row],[ActualAwayScore]]=0), 1,0)</f>
        <v>0</v>
      </c>
      <c r="AA4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7" s="2">
        <f>Table2[[#This Row],[ActualAwayScore]]-Table2[[#This Row],[PredictedAwayScore]]</f>
        <v>0</v>
      </c>
      <c r="AG437" s="2">
        <f>Table2[[#This Row],[ActualHomeScore]]-Table2[[#This Row],[PredictedHomeScore]]</f>
        <v>0</v>
      </c>
      <c r="AH437" s="2">
        <f t="shared" si="37"/>
        <v>0</v>
      </c>
      <c r="AI437" s="2">
        <f t="shared" si="38"/>
        <v>0</v>
      </c>
      <c r="AJ437" s="2"/>
      <c r="AK437" s="2"/>
      <c r="AL437" s="2">
        <f>IF(Table2[[#This Row],[GameIsOver]]=0,0,IF(Table2[[#This Row],[ActualWinner]]=Table2[[#This Row],[AwayTeam]], 1, 0))</f>
        <v>0</v>
      </c>
      <c r="AM437" s="2">
        <f>IF(Table2[[#This Row],[GameIsOver]]=0,0,IF(Table2[[#This Row],[ActualWinner]]=Table2[[#This Row],[HomeTeam]], 1, 0))</f>
        <v>0</v>
      </c>
      <c r="AN4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2" t="str">
        <f>INDEX(Sheet5!$B$2:$AG$33, MATCH(Table2[[#This Row],[AwayTeam]],Sheet5!$A$2:$A$33, 0), MATCH(Table2[[#This Row],[HomeTeam]],Sheet5!$A$2:$A$33, 0))</f>
        <v>0-1-0</v>
      </c>
      <c r="AP437" s="2" t="str">
        <f>INDEX(Sheet5!$B$2:$AG$33, MATCH(Table2[[#This Row],[HomeTeam]],Sheet5!$A$2:$A$33, 0), MATCH(Table2[[#This Row],[AwayTeam]],Sheet5!$A$2:$A$33, 0))</f>
        <v>1-0-0</v>
      </c>
      <c r="AQ437" s="2">
        <f>IF(Table2[[#This Row],[GameHasShutOut]], 1, 0)</f>
        <v>0</v>
      </c>
      <c r="AR437" s="2">
        <f>IF(Table2[[#This Row],[ActualAwayScore]] + Table2[[#This Row],[ActualHomeScore]] &gt;= 10, 1, 0)</f>
        <v>0</v>
      </c>
      <c r="AS437" s="2">
        <f>IF(ABS(Table2[[#This Row],[ActualAwayScore]]-Table2[[#This Row],[ActualHomeScore]])&gt;=5, 1, 0)</f>
        <v>0</v>
      </c>
      <c r="AT437" s="2">
        <f>IF(Table2[[#This Row],[ActualAwayScore]] + Table2[[#This Row],[ActualHomeScore]] &lt;= 3, 1, 0)</f>
        <v>1</v>
      </c>
      <c r="AU4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45997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45997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45997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45997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3"/>
      <c r="B442" s="3">
        <v>45997</v>
      </c>
      <c r="C442" s="5">
        <v>2025020440</v>
      </c>
      <c r="D442" s="2" t="s">
        <v>43</v>
      </c>
      <c r="E442" s="2" t="s">
        <v>44</v>
      </c>
      <c r="F442" s="2"/>
      <c r="G442" s="2"/>
      <c r="H442" s="2" t="str">
        <f t="shared" si="34"/>
        <v>_</v>
      </c>
      <c r="I442" s="2"/>
      <c r="J442" s="2"/>
      <c r="K442" s="2"/>
      <c r="L442" s="2" t="str">
        <f t="shared" si="35"/>
        <v>_</v>
      </c>
      <c r="M442" s="2"/>
      <c r="N442" s="2">
        <f>IF(ISBLANK(Table2[[#This Row],[ActualResult]]), 0, 1)</f>
        <v>0</v>
      </c>
      <c r="O442" s="2" t="str">
        <f>IF(ISBLANK(Table2[[#This Row],[ActualResult]]), "_", IF(Table2[[#This Row],[ActualWinner]]=Table2[[#This Row],[PredictedWinner]], "Y", "N"))</f>
        <v>_</v>
      </c>
      <c r="P4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2"/>
      <c r="S442" s="2" t="str">
        <f t="shared" si="36"/>
        <v>_</v>
      </c>
      <c r="T4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2">
        <f>IF(Table2[[#This Row],[InterConf]]=1,IF(Table2[[#This Row],[InterDiv]]=0, 1, 0), 0)</f>
        <v>0</v>
      </c>
      <c r="W4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2"/>
      <c r="Y442" s="2"/>
      <c r="Z442" s="145">
        <f>IF(AND(Table2[[#This Row],[GameIsOver]]=1,Table2[[#This Row],[ActualHomeScore]]*Table2[[#This Row],[ActualAwayScore]]=0), 1,0)</f>
        <v>0</v>
      </c>
      <c r="AA4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2" s="2">
        <f>Table2[[#This Row],[ActualAwayScore]]-Table2[[#This Row],[PredictedAwayScore]]</f>
        <v>0</v>
      </c>
      <c r="AG442" s="2">
        <f>Table2[[#This Row],[ActualHomeScore]]-Table2[[#This Row],[PredictedHomeScore]]</f>
        <v>0</v>
      </c>
      <c r="AH442" s="2">
        <f t="shared" si="37"/>
        <v>0</v>
      </c>
      <c r="AI442" s="2">
        <f t="shared" si="38"/>
        <v>0</v>
      </c>
      <c r="AJ442" s="2"/>
      <c r="AK442" s="2"/>
      <c r="AL442" s="2">
        <f>IF(Table2[[#This Row],[GameIsOver]]=0,0,IF(Table2[[#This Row],[ActualWinner]]=Table2[[#This Row],[AwayTeam]], 1, 0))</f>
        <v>0</v>
      </c>
      <c r="AM442" s="2">
        <f>IF(Table2[[#This Row],[GameIsOver]]=0,0,IF(Table2[[#This Row],[ActualWinner]]=Table2[[#This Row],[HomeTeam]], 1, 0))</f>
        <v>0</v>
      </c>
      <c r="AN4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2" t="str">
        <f>INDEX(Sheet5!$B$2:$AG$33, MATCH(Table2[[#This Row],[AwayTeam]],Sheet5!$A$2:$A$33, 0), MATCH(Table2[[#This Row],[HomeTeam]],Sheet5!$A$2:$A$33, 0))</f>
        <v>0-0-0</v>
      </c>
      <c r="AP442" s="2" t="str">
        <f>INDEX(Sheet5!$B$2:$AG$33, MATCH(Table2[[#This Row],[HomeTeam]],Sheet5!$A$2:$A$33, 0), MATCH(Table2[[#This Row],[AwayTeam]],Sheet5!$A$2:$A$33, 0))</f>
        <v>0-0-0</v>
      </c>
      <c r="AQ442" s="2">
        <f>IF(Table2[[#This Row],[GameHasShutOut]], 1, 0)</f>
        <v>0</v>
      </c>
      <c r="AR442" s="2">
        <f>IF(Table2[[#This Row],[ActualAwayScore]] + Table2[[#This Row],[ActualHomeScore]] &gt;= 10, 1, 0)</f>
        <v>0</v>
      </c>
      <c r="AS442" s="2">
        <f>IF(ABS(Table2[[#This Row],[ActualAwayScore]]-Table2[[#This Row],[ActualHomeScore]])&gt;=5, 1, 0)</f>
        <v>0</v>
      </c>
      <c r="AT442" s="2">
        <f>IF(Table2[[#This Row],[ActualAwayScore]] + Table2[[#This Row],[ActualHomeScore]] &lt;= 3, 1, 0)</f>
        <v>1</v>
      </c>
      <c r="AU4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0-0-0</v>
      </c>
      <c r="AP443" s="2" t="str">
        <f>INDEX(Sheet5!$B$2:$AG$33, MATCH(Table2[[#This Row],[HomeTeam]],Sheet5!$A$2:$A$33, 0), MATCH(Table2[[#This Row],[AwayTeam]],Sheet5!$A$2:$A$33, 0))</f>
        <v>0-0-0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45998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45998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0-1-0</v>
      </c>
      <c r="AP446" s="2" t="str">
        <f>INDEX(Sheet5!$B$2:$AG$33, MATCH(Table2[[#This Row],[HomeTeam]],Sheet5!$A$2:$A$33, 0), MATCH(Table2[[#This Row],[AwayTeam]],Sheet5!$A$2:$A$33, 0))</f>
        <v>1-0-0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45998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0-0-0</v>
      </c>
      <c r="AP447" s="2" t="str">
        <f>INDEX(Sheet5!$B$2:$AG$33, MATCH(Table2[[#This Row],[HomeTeam]],Sheet5!$A$2:$A$33, 0), MATCH(Table2[[#This Row],[AwayTeam]],Sheet5!$A$2:$A$33, 0))</f>
        <v>0-0-0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45998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45998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45998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45998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45998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45998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3"/>
      <c r="B454" s="3">
        <v>45998</v>
      </c>
      <c r="C454" s="5">
        <v>2025020452</v>
      </c>
      <c r="D454" s="2" t="s">
        <v>30</v>
      </c>
      <c r="E454" s="2" t="s">
        <v>11</v>
      </c>
      <c r="F454" s="2"/>
      <c r="G454" s="2"/>
      <c r="H454" s="2" t="str">
        <f t="shared" si="39"/>
        <v>_</v>
      </c>
      <c r="I454" s="2"/>
      <c r="J454" s="2"/>
      <c r="K454" s="2"/>
      <c r="L454" s="2" t="str">
        <f t="shared" si="40"/>
        <v>_</v>
      </c>
      <c r="M454" s="2"/>
      <c r="N454" s="2">
        <f>IF(ISBLANK(Table2[[#This Row],[ActualResult]]), 0, 1)</f>
        <v>0</v>
      </c>
      <c r="O454" s="2" t="str">
        <f>IF(ISBLANK(Table2[[#This Row],[ActualResult]]), "_", IF(Table2[[#This Row],[ActualWinner]]=Table2[[#This Row],[PredictedWinner]], "Y", "N"))</f>
        <v>_</v>
      </c>
      <c r="P4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2"/>
      <c r="S454" s="2" t="str">
        <f t="shared" si="41"/>
        <v>_</v>
      </c>
      <c r="T4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2">
        <f>IF(Table2[[#This Row],[InterConf]]=1,IF(Table2[[#This Row],[InterDiv]]=0, 1, 0), 0)</f>
        <v>0</v>
      </c>
      <c r="W4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2"/>
      <c r="Y454" s="2"/>
      <c r="Z454" s="145">
        <f>IF(AND(Table2[[#This Row],[GameIsOver]]=1,Table2[[#This Row],[ActualHomeScore]]*Table2[[#This Row],[ActualAwayScore]]=0), 1,0)</f>
        <v>0</v>
      </c>
      <c r="AA4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4" s="2">
        <f>Table2[[#This Row],[ActualAwayScore]]-Table2[[#This Row],[PredictedAwayScore]]</f>
        <v>0</v>
      </c>
      <c r="AG454" s="2">
        <f>Table2[[#This Row],[ActualHomeScore]]-Table2[[#This Row],[PredictedHomeScore]]</f>
        <v>0</v>
      </c>
      <c r="AH454" s="2">
        <f t="shared" si="42"/>
        <v>0</v>
      </c>
      <c r="AI454" s="2">
        <f t="shared" si="43"/>
        <v>0</v>
      </c>
      <c r="AJ454" s="2"/>
      <c r="AK454" s="2"/>
      <c r="AL454" s="2">
        <f>IF(Table2[[#This Row],[GameIsOver]]=0,0,IF(Table2[[#This Row],[ActualWinner]]=Table2[[#This Row],[AwayTeam]], 1, 0))</f>
        <v>0</v>
      </c>
      <c r="AM454" s="2">
        <f>IF(Table2[[#This Row],[GameIsOver]]=0,0,IF(Table2[[#This Row],[ActualWinner]]=Table2[[#This Row],[HomeTeam]], 1, 0))</f>
        <v>0</v>
      </c>
      <c r="AN4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2" t="str">
        <f>INDEX(Sheet5!$B$2:$AG$33, MATCH(Table2[[#This Row],[AwayTeam]],Sheet5!$A$2:$A$33, 0), MATCH(Table2[[#This Row],[HomeTeam]],Sheet5!$A$2:$A$33, 0))</f>
        <v>0-0-0</v>
      </c>
      <c r="AP454" s="2" t="str">
        <f>INDEX(Sheet5!$B$2:$AG$33, MATCH(Table2[[#This Row],[HomeTeam]],Sheet5!$A$2:$A$33, 0), MATCH(Table2[[#This Row],[AwayTeam]],Sheet5!$A$2:$A$33, 0))</f>
        <v>0-0-0</v>
      </c>
      <c r="AQ454" s="2">
        <f>IF(Table2[[#This Row],[GameHasShutOut]], 1, 0)</f>
        <v>0</v>
      </c>
      <c r="AR454" s="2">
        <f>IF(Table2[[#This Row],[ActualAwayScore]] + Table2[[#This Row],[ActualHomeScore]] &gt;= 10, 1, 0)</f>
        <v>0</v>
      </c>
      <c r="AS454" s="2">
        <f>IF(ABS(Table2[[#This Row],[ActualAwayScore]]-Table2[[#This Row],[ActualHomeScore]])&gt;=5, 1, 0)</f>
        <v>0</v>
      </c>
      <c r="AT454" s="2">
        <f>IF(Table2[[#This Row],[ActualAwayScore]] + Table2[[#This Row],[ActualHomeScore]] &lt;= 3, 1, 0)</f>
        <v>1</v>
      </c>
      <c r="AU4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0-0-0</v>
      </c>
      <c r="AP460" s="2" t="str">
        <f>INDEX(Sheet5!$B$2:$AG$33, MATCH(Table2[[#This Row],[HomeTeam]],Sheet5!$A$2:$A$33, 0), MATCH(Table2[[#This Row],[AwayTeam]],Sheet5!$A$2:$A$33, 0))</f>
        <v>0-0-0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0-1-0</v>
      </c>
      <c r="AP461" s="2" t="str">
        <f>INDEX(Sheet5!$B$2:$AG$33, MATCH(Table2[[#This Row],[HomeTeam]],Sheet5!$A$2:$A$33, 0), MATCH(Table2[[#This Row],[AwayTeam]],Sheet5!$A$2:$A$33, 0))</f>
        <v>1-0-0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1-0-0</v>
      </c>
      <c r="AP462" s="2" t="str">
        <f>INDEX(Sheet5!$B$2:$AG$33, MATCH(Table2[[#This Row],[HomeTeam]],Sheet5!$A$2:$A$33, 0), MATCH(Table2[[#This Row],[AwayTeam]],Sheet5!$A$2:$A$33, 0))</f>
        <v>0-0-1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0-0-0</v>
      </c>
      <c r="AP465" s="2" t="str">
        <f>INDEX(Sheet5!$B$2:$AG$33, MATCH(Table2[[#This Row],[HomeTeam]],Sheet5!$A$2:$A$33, 0), MATCH(Table2[[#This Row],[AwayTeam]],Sheet5!$A$2:$A$33, 0))</f>
        <v>0-0-0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0-0-0</v>
      </c>
      <c r="AP470" s="2" t="str">
        <f>INDEX(Sheet5!$B$2:$AG$33, MATCH(Table2[[#This Row],[HomeTeam]],Sheet5!$A$2:$A$33, 0), MATCH(Table2[[#This Row],[AwayTeam]],Sheet5!$A$2:$A$33, 0))</f>
        <v>0-0-0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0-0-0</v>
      </c>
      <c r="AP476" s="2" t="str">
        <f>INDEX(Sheet5!$B$2:$AG$33, MATCH(Table2[[#This Row],[HomeTeam]],Sheet5!$A$2:$A$33, 0), MATCH(Table2[[#This Row],[AwayTeam]],Sheet5!$A$2:$A$33, 0))</f>
        <v>0-0-0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0-0-0</v>
      </c>
      <c r="AP477" s="2" t="str">
        <f>INDEX(Sheet5!$B$2:$AG$33, MATCH(Table2[[#This Row],[HomeTeam]],Sheet5!$A$2:$A$33, 0), MATCH(Table2[[#This Row],[AwayTeam]],Sheet5!$A$2:$A$33, 0))</f>
        <v>0-0-0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0-1-0</v>
      </c>
      <c r="AP483" s="2" t="str">
        <f>INDEX(Sheet5!$B$2:$AG$33, MATCH(Table2[[#This Row],[HomeTeam]],Sheet5!$A$2:$A$33, 0), MATCH(Table2[[#This Row],[AwayTeam]],Sheet5!$A$2:$A$33, 0))</f>
        <v>1-0-0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0-0-0</v>
      </c>
      <c r="AP505" s="2" t="str">
        <f>INDEX(Sheet5!$B$2:$AG$33, MATCH(Table2[[#This Row],[HomeTeam]],Sheet5!$A$2:$A$33, 0), MATCH(Table2[[#This Row],[AwayTeam]],Sheet5!$A$2:$A$33, 0))</f>
        <v>0-0-0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0-0-0</v>
      </c>
      <c r="AP508" s="2" t="str">
        <f>INDEX(Sheet5!$B$2:$AG$33, MATCH(Table2[[#This Row],[HomeTeam]],Sheet5!$A$2:$A$33, 0), MATCH(Table2[[#This Row],[AwayTeam]],Sheet5!$A$2:$A$33, 0))</f>
        <v>0-0-0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0-0-0</v>
      </c>
      <c r="AP516" s="2" t="str">
        <f>INDEX(Sheet5!$B$2:$AG$33, MATCH(Table2[[#This Row],[HomeTeam]],Sheet5!$A$2:$A$33, 0), MATCH(Table2[[#This Row],[AwayTeam]],Sheet5!$A$2:$A$33, 0))</f>
        <v>0-0-0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0-0-0</v>
      </c>
      <c r="AP522" s="2" t="str">
        <f>INDEX(Sheet5!$B$2:$AG$33, MATCH(Table2[[#This Row],[HomeTeam]],Sheet5!$A$2:$A$33, 0), MATCH(Table2[[#This Row],[AwayTeam]],Sheet5!$A$2:$A$33, 0))</f>
        <v>0-0-0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1-0-0</v>
      </c>
      <c r="AP524" s="2" t="str">
        <f>INDEX(Sheet5!$B$2:$AG$33, MATCH(Table2[[#This Row],[HomeTeam]],Sheet5!$A$2:$A$33, 0), MATCH(Table2[[#This Row],[AwayTeam]],Sheet5!$A$2:$A$33, 0))</f>
        <v>0-1-0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0-0-0</v>
      </c>
      <c r="AP529" s="2" t="str">
        <f>INDEX(Sheet5!$B$2:$AG$33, MATCH(Table2[[#This Row],[HomeTeam]],Sheet5!$A$2:$A$33, 0), MATCH(Table2[[#This Row],[AwayTeam]],Sheet5!$A$2:$A$33, 0))</f>
        <v>0-0-0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0-0-0</v>
      </c>
      <c r="AP541" s="2" t="str">
        <f>INDEX(Sheet5!$B$2:$AG$33, MATCH(Table2[[#This Row],[HomeTeam]],Sheet5!$A$2:$A$33, 0), MATCH(Table2[[#This Row],[AwayTeam]],Sheet5!$A$2:$A$33, 0))</f>
        <v>0-0-0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0-0-0</v>
      </c>
      <c r="AP543" s="2" t="str">
        <f>INDEX(Sheet5!$B$2:$AG$33, MATCH(Table2[[#This Row],[HomeTeam]],Sheet5!$A$2:$A$33, 0), MATCH(Table2[[#This Row],[AwayTeam]],Sheet5!$A$2:$A$33, 0))</f>
        <v>0-0-0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0-1-0</v>
      </c>
      <c r="AP563" s="2" t="str">
        <f>INDEX(Sheet5!$B$2:$AG$33, MATCH(Table2[[#This Row],[HomeTeam]],Sheet5!$A$2:$A$33, 0), MATCH(Table2[[#This Row],[AwayTeam]],Sheet5!$A$2:$A$33, 0))</f>
        <v>1-0-0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0-0-0</v>
      </c>
      <c r="AP565" s="2" t="str">
        <f>INDEX(Sheet5!$B$2:$AG$33, MATCH(Table2[[#This Row],[HomeTeam]],Sheet5!$A$2:$A$33, 0), MATCH(Table2[[#This Row],[AwayTeam]],Sheet5!$A$2:$A$33, 0))</f>
        <v>0-0-0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1-0-1</v>
      </c>
      <c r="AP566" s="2" t="str">
        <f>INDEX(Sheet5!$B$2:$AG$33, MATCH(Table2[[#This Row],[HomeTeam]],Sheet5!$A$2:$A$33, 0), MATCH(Table2[[#This Row],[AwayTeam]],Sheet5!$A$2:$A$33, 0))</f>
        <v>1-1-0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0-0-0</v>
      </c>
      <c r="AP567" s="2" t="str">
        <f>INDEX(Sheet5!$B$2:$AG$33, MATCH(Table2[[#This Row],[HomeTeam]],Sheet5!$A$2:$A$33, 0), MATCH(Table2[[#This Row],[AwayTeam]],Sheet5!$A$2:$A$33, 0))</f>
        <v>0-0-0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0-1-0</v>
      </c>
      <c r="AP577" s="2" t="str">
        <f>INDEX(Sheet5!$B$2:$AG$33, MATCH(Table2[[#This Row],[HomeTeam]],Sheet5!$A$2:$A$33, 0), MATCH(Table2[[#This Row],[AwayTeam]],Sheet5!$A$2:$A$33, 0))</f>
        <v>1-0-0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0-0-0</v>
      </c>
      <c r="AP579" s="2" t="str">
        <f>INDEX(Sheet5!$B$2:$AG$33, MATCH(Table2[[#This Row],[HomeTeam]],Sheet5!$A$2:$A$33, 0), MATCH(Table2[[#This Row],[AwayTeam]],Sheet5!$A$2:$A$33, 0))</f>
        <v>0-0-0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0-0-1</v>
      </c>
      <c r="AP588" s="2" t="str">
        <f>INDEX(Sheet5!$B$2:$AG$33, MATCH(Table2[[#This Row],[HomeTeam]],Sheet5!$A$2:$A$33, 0), MATCH(Table2[[#This Row],[AwayTeam]],Sheet5!$A$2:$A$33, 0))</f>
        <v>1-0-0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0-0-0</v>
      </c>
      <c r="AP593" s="2" t="str">
        <f>INDEX(Sheet5!$B$2:$AG$33, MATCH(Table2[[#This Row],[HomeTeam]],Sheet5!$A$2:$A$33, 0), MATCH(Table2[[#This Row],[AwayTeam]],Sheet5!$A$2:$A$33, 0))</f>
        <v>0-0-0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0-0-0</v>
      </c>
      <c r="AP594" s="2" t="str">
        <f>INDEX(Sheet5!$B$2:$AG$33, MATCH(Table2[[#This Row],[HomeTeam]],Sheet5!$A$2:$A$33, 0), MATCH(Table2[[#This Row],[AwayTeam]],Sheet5!$A$2:$A$33, 0))</f>
        <v>0-0-0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0-0-1</v>
      </c>
      <c r="AP596" s="2" t="str">
        <f>INDEX(Sheet5!$B$2:$AG$33, MATCH(Table2[[#This Row],[HomeTeam]],Sheet5!$A$2:$A$33, 0), MATCH(Table2[[#This Row],[AwayTeam]],Sheet5!$A$2:$A$33, 0))</f>
        <v>1-0-0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0-0-0</v>
      </c>
      <c r="AP599" s="2" t="str">
        <f>INDEX(Sheet5!$B$2:$AG$33, MATCH(Table2[[#This Row],[HomeTeam]],Sheet5!$A$2:$A$33, 0), MATCH(Table2[[#This Row],[AwayTeam]],Sheet5!$A$2:$A$33, 0))</f>
        <v>0-0-0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0-0-0</v>
      </c>
      <c r="AP601" s="2" t="str">
        <f>INDEX(Sheet5!$B$2:$AG$33, MATCH(Table2[[#This Row],[HomeTeam]],Sheet5!$A$2:$A$33, 0), MATCH(Table2[[#This Row],[AwayTeam]],Sheet5!$A$2:$A$33, 0))</f>
        <v>0-0-0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0-0-0</v>
      </c>
      <c r="AP609" s="2" t="str">
        <f>INDEX(Sheet5!$B$2:$AG$33, MATCH(Table2[[#This Row],[HomeTeam]],Sheet5!$A$2:$A$33, 0), MATCH(Table2[[#This Row],[AwayTeam]],Sheet5!$A$2:$A$33, 0))</f>
        <v>0-0-0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0-1-0</v>
      </c>
      <c r="AP610" s="2" t="str">
        <f>INDEX(Sheet5!$B$2:$AG$33, MATCH(Table2[[#This Row],[HomeTeam]],Sheet5!$A$2:$A$33, 0), MATCH(Table2[[#This Row],[AwayTeam]],Sheet5!$A$2:$A$33, 0))</f>
        <v>1-0-0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0-0-0</v>
      </c>
      <c r="AP616" s="2" t="str">
        <f>INDEX(Sheet5!$B$2:$AG$33, MATCH(Table2[[#This Row],[HomeTeam]],Sheet5!$A$2:$A$33, 0), MATCH(Table2[[#This Row],[AwayTeam]],Sheet5!$A$2:$A$33, 0))</f>
        <v>0-0-0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0-0-0</v>
      </c>
      <c r="AP635" s="2" t="str">
        <f>INDEX(Sheet5!$B$2:$AG$33, MATCH(Table2[[#This Row],[HomeTeam]],Sheet5!$A$2:$A$33, 0), MATCH(Table2[[#This Row],[AwayTeam]],Sheet5!$A$2:$A$33, 0))</f>
        <v>0-0-0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0-0-0</v>
      </c>
      <c r="AP642" s="2" t="str">
        <f>INDEX(Sheet5!$B$2:$AG$33, MATCH(Table2[[#This Row],[HomeTeam]],Sheet5!$A$2:$A$33, 0), MATCH(Table2[[#This Row],[AwayTeam]],Sheet5!$A$2:$A$33, 0))</f>
        <v>0-0-0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0-0-0</v>
      </c>
      <c r="AP645" s="2" t="str">
        <f>INDEX(Sheet5!$B$2:$AG$33, MATCH(Table2[[#This Row],[HomeTeam]],Sheet5!$A$2:$A$33, 0), MATCH(Table2[[#This Row],[AwayTeam]],Sheet5!$A$2:$A$33, 0))</f>
        <v>0-0-0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0-0-0</v>
      </c>
      <c r="AP659" s="2" t="str">
        <f>INDEX(Sheet5!$B$2:$AG$33, MATCH(Table2[[#This Row],[HomeTeam]],Sheet5!$A$2:$A$33, 0), MATCH(Table2[[#This Row],[AwayTeam]],Sheet5!$A$2:$A$33, 0))</f>
        <v>0-0-0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0-0-1</v>
      </c>
      <c r="AP660" s="2" t="str">
        <f>INDEX(Sheet5!$B$2:$AG$33, MATCH(Table2[[#This Row],[HomeTeam]],Sheet5!$A$2:$A$33, 0), MATCH(Table2[[#This Row],[AwayTeam]],Sheet5!$A$2:$A$33, 0))</f>
        <v>1-0-0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0-0-0</v>
      </c>
      <c r="AP664" s="2" t="str">
        <f>INDEX(Sheet5!$B$2:$AG$33, MATCH(Table2[[#This Row],[HomeTeam]],Sheet5!$A$2:$A$33, 0), MATCH(Table2[[#This Row],[AwayTeam]],Sheet5!$A$2:$A$33, 0))</f>
        <v>0-0-0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0-1-0</v>
      </c>
      <c r="AP683" s="2" t="str">
        <f>INDEX(Sheet5!$B$2:$AG$33, MATCH(Table2[[#This Row],[HomeTeam]],Sheet5!$A$2:$A$33, 0), MATCH(Table2[[#This Row],[AwayTeam]],Sheet5!$A$2:$A$33, 0))</f>
        <v>1-0-0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0-1-0</v>
      </c>
      <c r="AP698" s="2" t="str">
        <f>INDEX(Sheet5!$B$2:$AG$33, MATCH(Table2[[#This Row],[HomeTeam]],Sheet5!$A$2:$A$33, 0), MATCH(Table2[[#This Row],[AwayTeam]],Sheet5!$A$2:$A$33, 0))</f>
        <v>1-0-0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0-0-0</v>
      </c>
      <c r="AP699" s="2" t="str">
        <f>INDEX(Sheet5!$B$2:$AG$33, MATCH(Table2[[#This Row],[HomeTeam]],Sheet5!$A$2:$A$33, 0), MATCH(Table2[[#This Row],[AwayTeam]],Sheet5!$A$2:$A$33, 0))</f>
        <v>0-0-0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0-0-0</v>
      </c>
      <c r="AP707" s="2" t="str">
        <f>INDEX(Sheet5!$B$2:$AG$33, MATCH(Table2[[#This Row],[HomeTeam]],Sheet5!$A$2:$A$33, 0), MATCH(Table2[[#This Row],[AwayTeam]],Sheet5!$A$2:$A$33, 0))</f>
        <v>0-0-0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0-0-0</v>
      </c>
      <c r="AP709" s="2" t="str">
        <f>INDEX(Sheet5!$B$2:$AG$33, MATCH(Table2[[#This Row],[HomeTeam]],Sheet5!$A$2:$A$33, 0), MATCH(Table2[[#This Row],[AwayTeam]],Sheet5!$A$2:$A$33, 0))</f>
        <v>0-0-0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0-0-0</v>
      </c>
      <c r="AP712" s="2" t="str">
        <f>INDEX(Sheet5!$B$2:$AG$33, MATCH(Table2[[#This Row],[HomeTeam]],Sheet5!$A$2:$A$33, 0), MATCH(Table2[[#This Row],[AwayTeam]],Sheet5!$A$2:$A$33, 0))</f>
        <v>0-0-0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1-0-0</v>
      </c>
      <c r="AP717" s="2" t="str">
        <f>INDEX(Sheet5!$B$2:$AG$33, MATCH(Table2[[#This Row],[HomeTeam]],Sheet5!$A$2:$A$33, 0), MATCH(Table2[[#This Row],[AwayTeam]],Sheet5!$A$2:$A$33, 0))</f>
        <v>0-0-1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0-0-0</v>
      </c>
      <c r="AP721" s="2" t="str">
        <f>INDEX(Sheet5!$B$2:$AG$33, MATCH(Table2[[#This Row],[HomeTeam]],Sheet5!$A$2:$A$33, 0), MATCH(Table2[[#This Row],[AwayTeam]],Sheet5!$A$2:$A$33, 0))</f>
        <v>0-0-0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0-0-0</v>
      </c>
      <c r="AP729" s="2" t="str">
        <f>INDEX(Sheet5!$B$2:$AG$33, MATCH(Table2[[#This Row],[HomeTeam]],Sheet5!$A$2:$A$33, 0), MATCH(Table2[[#This Row],[AwayTeam]],Sheet5!$A$2:$A$33, 0))</f>
        <v>0-0-0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0-0-0</v>
      </c>
      <c r="AP731" s="2" t="str">
        <f>INDEX(Sheet5!$B$2:$AG$33, MATCH(Table2[[#This Row],[HomeTeam]],Sheet5!$A$2:$A$33, 0), MATCH(Table2[[#This Row],[AwayTeam]],Sheet5!$A$2:$A$33, 0))</f>
        <v>0-0-0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1-0-0</v>
      </c>
      <c r="AP746" s="2" t="str">
        <f>INDEX(Sheet5!$B$2:$AG$33, MATCH(Table2[[#This Row],[HomeTeam]],Sheet5!$A$2:$A$33, 0), MATCH(Table2[[#This Row],[AwayTeam]],Sheet5!$A$2:$A$33, 0))</f>
        <v>0-0-1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0-1-0</v>
      </c>
      <c r="AP747" s="2" t="str">
        <f>INDEX(Sheet5!$B$2:$AG$33, MATCH(Table2[[#This Row],[HomeTeam]],Sheet5!$A$2:$A$33, 0), MATCH(Table2[[#This Row],[AwayTeam]],Sheet5!$A$2:$A$33, 0))</f>
        <v>1-0-0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0-0-0</v>
      </c>
      <c r="AP748" s="2" t="str">
        <f>INDEX(Sheet5!$B$2:$AG$33, MATCH(Table2[[#This Row],[HomeTeam]],Sheet5!$A$2:$A$33, 0), MATCH(Table2[[#This Row],[AwayTeam]],Sheet5!$A$2:$A$33, 0))</f>
        <v>0-0-0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0-0-0</v>
      </c>
      <c r="AP754" s="2" t="str">
        <f>INDEX(Sheet5!$B$2:$AG$33, MATCH(Table2[[#This Row],[HomeTeam]],Sheet5!$A$2:$A$33, 0), MATCH(Table2[[#This Row],[AwayTeam]],Sheet5!$A$2:$A$33, 0))</f>
        <v>0-0-0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0-0-0</v>
      </c>
      <c r="AP755" s="2" t="str">
        <f>INDEX(Sheet5!$B$2:$AG$33, MATCH(Table2[[#This Row],[HomeTeam]],Sheet5!$A$2:$A$33, 0), MATCH(Table2[[#This Row],[AwayTeam]],Sheet5!$A$2:$A$33, 0))</f>
        <v>0-0-0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0-0-0</v>
      </c>
      <c r="AP756" s="2" t="str">
        <f>INDEX(Sheet5!$B$2:$AG$33, MATCH(Table2[[#This Row],[HomeTeam]],Sheet5!$A$2:$A$33, 0), MATCH(Table2[[#This Row],[AwayTeam]],Sheet5!$A$2:$A$33, 0))</f>
        <v>0-0-0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1-0-0</v>
      </c>
      <c r="AP762" s="2" t="str">
        <f>INDEX(Sheet5!$B$2:$AG$33, MATCH(Table2[[#This Row],[HomeTeam]],Sheet5!$A$2:$A$33, 0), MATCH(Table2[[#This Row],[AwayTeam]],Sheet5!$A$2:$A$33, 0))</f>
        <v>0-0-1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0-0-0</v>
      </c>
      <c r="AP763" s="2" t="str">
        <f>INDEX(Sheet5!$B$2:$AG$33, MATCH(Table2[[#This Row],[HomeTeam]],Sheet5!$A$2:$A$33, 0), MATCH(Table2[[#This Row],[AwayTeam]],Sheet5!$A$2:$A$33, 0))</f>
        <v>0-0-0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0-0-0</v>
      </c>
      <c r="AP768" s="2" t="str">
        <f>INDEX(Sheet5!$B$2:$AG$33, MATCH(Table2[[#This Row],[HomeTeam]],Sheet5!$A$2:$A$33, 0), MATCH(Table2[[#This Row],[AwayTeam]],Sheet5!$A$2:$A$33, 0))</f>
        <v>0-0-0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0-1-0</v>
      </c>
      <c r="AP772" s="2" t="str">
        <f>INDEX(Sheet5!$B$2:$AG$33, MATCH(Table2[[#This Row],[HomeTeam]],Sheet5!$A$2:$A$33, 0), MATCH(Table2[[#This Row],[AwayTeam]],Sheet5!$A$2:$A$33, 0))</f>
        <v>1-0-0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0-0-0</v>
      </c>
      <c r="AP774" s="2" t="str">
        <f>INDEX(Sheet5!$B$2:$AG$33, MATCH(Table2[[#This Row],[HomeTeam]],Sheet5!$A$2:$A$33, 0), MATCH(Table2[[#This Row],[AwayTeam]],Sheet5!$A$2:$A$33, 0))</f>
        <v>0-0-0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0-0-0</v>
      </c>
      <c r="AP795" s="2" t="str">
        <f>INDEX(Sheet5!$B$2:$AG$33, MATCH(Table2[[#This Row],[HomeTeam]],Sheet5!$A$2:$A$33, 0), MATCH(Table2[[#This Row],[AwayTeam]],Sheet5!$A$2:$A$33, 0))</f>
        <v>0-0-0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0-0-0</v>
      </c>
      <c r="AP814" s="2" t="str">
        <f>INDEX(Sheet5!$B$2:$AG$33, MATCH(Table2[[#This Row],[HomeTeam]],Sheet5!$A$2:$A$33, 0), MATCH(Table2[[#This Row],[AwayTeam]],Sheet5!$A$2:$A$33, 0))</f>
        <v>0-0-0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0-0-0</v>
      </c>
      <c r="AP820" s="2" t="str">
        <f>INDEX(Sheet5!$B$2:$AG$33, MATCH(Table2[[#This Row],[HomeTeam]],Sheet5!$A$2:$A$33, 0), MATCH(Table2[[#This Row],[AwayTeam]],Sheet5!$A$2:$A$33, 0))</f>
        <v>0-0-0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0-0-0</v>
      </c>
      <c r="AP823" s="2" t="str">
        <f>INDEX(Sheet5!$B$2:$AG$33, MATCH(Table2[[#This Row],[HomeTeam]],Sheet5!$A$2:$A$33, 0), MATCH(Table2[[#This Row],[AwayTeam]],Sheet5!$A$2:$A$33, 0))</f>
        <v>0-0-0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0-0-0</v>
      </c>
      <c r="AP828" s="2" t="str">
        <f>INDEX(Sheet5!$B$2:$AG$33, MATCH(Table2[[#This Row],[HomeTeam]],Sheet5!$A$2:$A$33, 0), MATCH(Table2[[#This Row],[AwayTeam]],Sheet5!$A$2:$A$33, 0))</f>
        <v>0-0-0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0-0-1</v>
      </c>
      <c r="AP829" s="2" t="str">
        <f>INDEX(Sheet5!$B$2:$AG$33, MATCH(Table2[[#This Row],[HomeTeam]],Sheet5!$A$2:$A$33, 0), MATCH(Table2[[#This Row],[AwayTeam]],Sheet5!$A$2:$A$33, 0))</f>
        <v>1-0-0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0-0-0</v>
      </c>
      <c r="AP834" s="2" t="str">
        <f>INDEX(Sheet5!$B$2:$AG$33, MATCH(Table2[[#This Row],[HomeTeam]],Sheet5!$A$2:$A$33, 0), MATCH(Table2[[#This Row],[AwayTeam]],Sheet5!$A$2:$A$33, 0))</f>
        <v>0-0-0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0-0-0</v>
      </c>
      <c r="AP839" s="2" t="str">
        <f>INDEX(Sheet5!$B$2:$AG$33, MATCH(Table2[[#This Row],[HomeTeam]],Sheet5!$A$2:$A$33, 0), MATCH(Table2[[#This Row],[AwayTeam]],Sheet5!$A$2:$A$33, 0))</f>
        <v>0-0-0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0-0-0</v>
      </c>
      <c r="AP840" s="2" t="str">
        <f>INDEX(Sheet5!$B$2:$AG$33, MATCH(Table2[[#This Row],[HomeTeam]],Sheet5!$A$2:$A$33, 0), MATCH(Table2[[#This Row],[AwayTeam]],Sheet5!$A$2:$A$33, 0))</f>
        <v>0-0-0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0-0-0</v>
      </c>
      <c r="AP847" s="2" t="str">
        <f>INDEX(Sheet5!$B$2:$AG$33, MATCH(Table2[[#This Row],[HomeTeam]],Sheet5!$A$2:$A$33, 0), MATCH(Table2[[#This Row],[AwayTeam]],Sheet5!$A$2:$A$33, 0))</f>
        <v>0-0-0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0-0-0</v>
      </c>
      <c r="AP857" s="2" t="str">
        <f>INDEX(Sheet5!$B$2:$AG$33, MATCH(Table2[[#This Row],[HomeTeam]],Sheet5!$A$2:$A$33, 0), MATCH(Table2[[#This Row],[AwayTeam]],Sheet5!$A$2:$A$33, 0))</f>
        <v>0-0-0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0-0-0</v>
      </c>
      <c r="AP865" s="2" t="str">
        <f>INDEX(Sheet5!$B$2:$AG$33, MATCH(Table2[[#This Row],[HomeTeam]],Sheet5!$A$2:$A$33, 0), MATCH(Table2[[#This Row],[AwayTeam]],Sheet5!$A$2:$A$33, 0))</f>
        <v>0-0-0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0-0-0</v>
      </c>
      <c r="AP872" s="2" t="str">
        <f>INDEX(Sheet5!$B$2:$AG$33, MATCH(Table2[[#This Row],[HomeTeam]],Sheet5!$A$2:$A$33, 0), MATCH(Table2[[#This Row],[AwayTeam]],Sheet5!$A$2:$A$33, 0))</f>
        <v>0-0-0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0-0-1</v>
      </c>
      <c r="AP877" s="2" t="str">
        <f>INDEX(Sheet5!$B$2:$AG$33, MATCH(Table2[[#This Row],[HomeTeam]],Sheet5!$A$2:$A$33, 0), MATCH(Table2[[#This Row],[AwayTeam]],Sheet5!$A$2:$A$33, 0))</f>
        <v>1-0-0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1-1-0</v>
      </c>
      <c r="AP880" s="2" t="str">
        <f>INDEX(Sheet5!$B$2:$AG$33, MATCH(Table2[[#This Row],[HomeTeam]],Sheet5!$A$2:$A$33, 0), MATCH(Table2[[#This Row],[AwayTeam]],Sheet5!$A$2:$A$33, 0))</f>
        <v>1-1-0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1-0-0</v>
      </c>
      <c r="AP899" s="2" t="str">
        <f>INDEX(Sheet5!$B$2:$AG$33, MATCH(Table2[[#This Row],[HomeTeam]],Sheet5!$A$2:$A$33, 0), MATCH(Table2[[#This Row],[AwayTeam]],Sheet5!$A$2:$A$33, 0))</f>
        <v>0-0-1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0-0-0</v>
      </c>
      <c r="AP905" s="2" t="str">
        <f>INDEX(Sheet5!$B$2:$AG$33, MATCH(Table2[[#This Row],[HomeTeam]],Sheet5!$A$2:$A$33, 0), MATCH(Table2[[#This Row],[AwayTeam]],Sheet5!$A$2:$A$33, 0))</f>
        <v>0-0-0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0-0-0</v>
      </c>
      <c r="AP906" s="2" t="str">
        <f>INDEX(Sheet5!$B$2:$AG$33, MATCH(Table2[[#This Row],[HomeTeam]],Sheet5!$A$2:$A$33, 0), MATCH(Table2[[#This Row],[AwayTeam]],Sheet5!$A$2:$A$33, 0))</f>
        <v>0-0-0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1-0-0</v>
      </c>
      <c r="AP908" s="2" t="str">
        <f>INDEX(Sheet5!$B$2:$AG$33, MATCH(Table2[[#This Row],[HomeTeam]],Sheet5!$A$2:$A$33, 0), MATCH(Table2[[#This Row],[AwayTeam]],Sheet5!$A$2:$A$33, 0))</f>
        <v>0-1-0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0-0-0</v>
      </c>
      <c r="AP912" s="2" t="str">
        <f>INDEX(Sheet5!$B$2:$AG$33, MATCH(Table2[[#This Row],[HomeTeam]],Sheet5!$A$2:$A$33, 0), MATCH(Table2[[#This Row],[AwayTeam]],Sheet5!$A$2:$A$33, 0))</f>
        <v>0-0-0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0-1-0</v>
      </c>
      <c r="AP915" s="2" t="str">
        <f>INDEX(Sheet5!$B$2:$AG$33, MATCH(Table2[[#This Row],[HomeTeam]],Sheet5!$A$2:$A$33, 0), MATCH(Table2[[#This Row],[AwayTeam]],Sheet5!$A$2:$A$33, 0))</f>
        <v>1-0-0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0-0-0</v>
      </c>
      <c r="AP928" s="2" t="str">
        <f>INDEX(Sheet5!$B$2:$AG$33, MATCH(Table2[[#This Row],[HomeTeam]],Sheet5!$A$2:$A$33, 0), MATCH(Table2[[#This Row],[AwayTeam]],Sheet5!$A$2:$A$33, 0))</f>
        <v>0-0-0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0-0-0</v>
      </c>
      <c r="AP929" s="2" t="str">
        <f>INDEX(Sheet5!$B$2:$AG$33, MATCH(Table2[[#This Row],[HomeTeam]],Sheet5!$A$2:$A$33, 0), MATCH(Table2[[#This Row],[AwayTeam]],Sheet5!$A$2:$A$33, 0))</f>
        <v>0-0-0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0-0-0</v>
      </c>
      <c r="AP930" s="2" t="str">
        <f>INDEX(Sheet5!$B$2:$AG$33, MATCH(Table2[[#This Row],[HomeTeam]],Sheet5!$A$2:$A$33, 0), MATCH(Table2[[#This Row],[AwayTeam]],Sheet5!$A$2:$A$33, 0))</f>
        <v>0-0-0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0-0-0</v>
      </c>
      <c r="AP940" s="2" t="str">
        <f>INDEX(Sheet5!$B$2:$AG$33, MATCH(Table2[[#This Row],[HomeTeam]],Sheet5!$A$2:$A$33, 0), MATCH(Table2[[#This Row],[AwayTeam]],Sheet5!$A$2:$A$33, 0))</f>
        <v>0-0-0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0-0-0</v>
      </c>
      <c r="AP942" s="2" t="str">
        <f>INDEX(Sheet5!$B$2:$AG$33, MATCH(Table2[[#This Row],[HomeTeam]],Sheet5!$A$2:$A$33, 0), MATCH(Table2[[#This Row],[AwayTeam]],Sheet5!$A$2:$A$33, 0))</f>
        <v>0-0-0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0-0-0</v>
      </c>
      <c r="AP945" s="2" t="str">
        <f>INDEX(Sheet5!$B$2:$AG$33, MATCH(Table2[[#This Row],[HomeTeam]],Sheet5!$A$2:$A$33, 0), MATCH(Table2[[#This Row],[AwayTeam]],Sheet5!$A$2:$A$33, 0))</f>
        <v>0-0-0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0-0-0</v>
      </c>
      <c r="AP955" s="2" t="str">
        <f>INDEX(Sheet5!$B$2:$AG$33, MATCH(Table2[[#This Row],[HomeTeam]],Sheet5!$A$2:$A$33, 0), MATCH(Table2[[#This Row],[AwayTeam]],Sheet5!$A$2:$A$33, 0))</f>
        <v>0-0-0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0-0-0</v>
      </c>
      <c r="AP957" s="2" t="str">
        <f>INDEX(Sheet5!$B$2:$AG$33, MATCH(Table2[[#This Row],[HomeTeam]],Sheet5!$A$2:$A$33, 0), MATCH(Table2[[#This Row],[AwayTeam]],Sheet5!$A$2:$A$33, 0))</f>
        <v>0-0-0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0-1-0</v>
      </c>
      <c r="AP958" s="2" t="str">
        <f>INDEX(Sheet5!$B$2:$AG$33, MATCH(Table2[[#This Row],[HomeTeam]],Sheet5!$A$2:$A$33, 0), MATCH(Table2[[#This Row],[AwayTeam]],Sheet5!$A$2:$A$33, 0))</f>
        <v>1-0-0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0-1-0</v>
      </c>
      <c r="AP963" s="2" t="str">
        <f>INDEX(Sheet5!$B$2:$AG$33, MATCH(Table2[[#This Row],[HomeTeam]],Sheet5!$A$2:$A$33, 0), MATCH(Table2[[#This Row],[AwayTeam]],Sheet5!$A$2:$A$33, 0))</f>
        <v>1-0-0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0-0-0</v>
      </c>
      <c r="AP967" s="2" t="str">
        <f>INDEX(Sheet5!$B$2:$AG$33, MATCH(Table2[[#This Row],[HomeTeam]],Sheet5!$A$2:$A$33, 0), MATCH(Table2[[#This Row],[AwayTeam]],Sheet5!$A$2:$A$33, 0))</f>
        <v>0-0-0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0-0-0</v>
      </c>
      <c r="AP974" s="2" t="str">
        <f>INDEX(Sheet5!$B$2:$AG$33, MATCH(Table2[[#This Row],[HomeTeam]],Sheet5!$A$2:$A$33, 0), MATCH(Table2[[#This Row],[AwayTeam]],Sheet5!$A$2:$A$33, 0))</f>
        <v>0-0-0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0-0-0</v>
      </c>
      <c r="AP979" s="2" t="str">
        <f>INDEX(Sheet5!$B$2:$AG$33, MATCH(Table2[[#This Row],[HomeTeam]],Sheet5!$A$2:$A$33, 0), MATCH(Table2[[#This Row],[AwayTeam]],Sheet5!$A$2:$A$33, 0))</f>
        <v>0-0-0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0-0-0</v>
      </c>
      <c r="AP988" s="2" t="str">
        <f>INDEX(Sheet5!$B$2:$AG$33, MATCH(Table2[[#This Row],[HomeTeam]],Sheet5!$A$2:$A$33, 0), MATCH(Table2[[#This Row],[AwayTeam]],Sheet5!$A$2:$A$33, 0))</f>
        <v>0-0-0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0-0-0</v>
      </c>
      <c r="AP990" s="2" t="str">
        <f>INDEX(Sheet5!$B$2:$AG$33, MATCH(Table2[[#This Row],[HomeTeam]],Sheet5!$A$2:$A$33, 0), MATCH(Table2[[#This Row],[AwayTeam]],Sheet5!$A$2:$A$33, 0))</f>
        <v>0-0-0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0-0-0</v>
      </c>
      <c r="AP1000" s="2" t="str">
        <f>INDEX(Sheet5!$B$2:$AG$33, MATCH(Table2[[#This Row],[HomeTeam]],Sheet5!$A$2:$A$33, 0), MATCH(Table2[[#This Row],[AwayTeam]],Sheet5!$A$2:$A$33, 0))</f>
        <v>0-0-0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0-0-0</v>
      </c>
      <c r="AP1003" s="2" t="str">
        <f>INDEX(Sheet5!$B$2:$AG$33, MATCH(Table2[[#This Row],[HomeTeam]],Sheet5!$A$2:$A$33, 0), MATCH(Table2[[#This Row],[AwayTeam]],Sheet5!$A$2:$A$33, 0))</f>
        <v>0-0-0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0-0-0</v>
      </c>
      <c r="AP1007" s="2" t="str">
        <f>INDEX(Sheet5!$B$2:$AG$33, MATCH(Table2[[#This Row],[HomeTeam]],Sheet5!$A$2:$A$33, 0), MATCH(Table2[[#This Row],[AwayTeam]],Sheet5!$A$2:$A$33, 0))</f>
        <v>0-0-0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0-0-0</v>
      </c>
      <c r="AP1014" s="2" t="str">
        <f>INDEX(Sheet5!$B$2:$AG$33, MATCH(Table2[[#This Row],[HomeTeam]],Sheet5!$A$2:$A$33, 0), MATCH(Table2[[#This Row],[AwayTeam]],Sheet5!$A$2:$A$33, 0))</f>
        <v>0-0-0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1-0-0</v>
      </c>
      <c r="AP1016" s="2" t="str">
        <f>INDEX(Sheet5!$B$2:$AG$33, MATCH(Table2[[#This Row],[HomeTeam]],Sheet5!$A$2:$A$33, 0), MATCH(Table2[[#This Row],[AwayTeam]],Sheet5!$A$2:$A$33, 0))</f>
        <v>0-1-0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0-0-0</v>
      </c>
      <c r="AP1021" s="2" t="str">
        <f>INDEX(Sheet5!$B$2:$AG$33, MATCH(Table2[[#This Row],[HomeTeam]],Sheet5!$A$2:$A$33, 0), MATCH(Table2[[#This Row],[AwayTeam]],Sheet5!$A$2:$A$33, 0))</f>
        <v>0-0-0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0-0-0</v>
      </c>
      <c r="AP1029" s="2" t="str">
        <f>INDEX(Sheet5!$B$2:$AG$33, MATCH(Table2[[#This Row],[HomeTeam]],Sheet5!$A$2:$A$33, 0), MATCH(Table2[[#This Row],[AwayTeam]],Sheet5!$A$2:$A$33, 0))</f>
        <v>0-0-0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1-0-0</v>
      </c>
      <c r="AP1032" s="2" t="str">
        <f>INDEX(Sheet5!$B$2:$AG$33, MATCH(Table2[[#This Row],[HomeTeam]],Sheet5!$A$2:$A$33, 0), MATCH(Table2[[#This Row],[AwayTeam]],Sheet5!$A$2:$A$33, 0))</f>
        <v>0-0-1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0-0-1</v>
      </c>
      <c r="AP1036" s="2" t="str">
        <f>INDEX(Sheet5!$B$2:$AG$33, MATCH(Table2[[#This Row],[HomeTeam]],Sheet5!$A$2:$A$33, 0), MATCH(Table2[[#This Row],[AwayTeam]],Sheet5!$A$2:$A$33, 0))</f>
        <v>1-0-0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0-0-0</v>
      </c>
      <c r="AP1045" s="2" t="str">
        <f>INDEX(Sheet5!$B$2:$AG$33, MATCH(Table2[[#This Row],[HomeTeam]],Sheet5!$A$2:$A$33, 0), MATCH(Table2[[#This Row],[AwayTeam]],Sheet5!$A$2:$A$33, 0))</f>
        <v>0-0-0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0-0-0</v>
      </c>
      <c r="AP1060" s="2" t="str">
        <f>INDEX(Sheet5!$B$2:$AG$33, MATCH(Table2[[#This Row],[HomeTeam]],Sheet5!$A$2:$A$33, 0), MATCH(Table2[[#This Row],[AwayTeam]],Sheet5!$A$2:$A$33, 0))</f>
        <v>0-0-0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0-0-0</v>
      </c>
      <c r="AP1068" s="2" t="str">
        <f>INDEX(Sheet5!$B$2:$AG$33, MATCH(Table2[[#This Row],[HomeTeam]],Sheet5!$A$2:$A$33, 0), MATCH(Table2[[#This Row],[AwayTeam]],Sheet5!$A$2:$A$33, 0))</f>
        <v>0-0-0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0-0-0</v>
      </c>
      <c r="AP1071" s="2" t="str">
        <f>INDEX(Sheet5!$B$2:$AG$33, MATCH(Table2[[#This Row],[HomeTeam]],Sheet5!$A$2:$A$33, 0), MATCH(Table2[[#This Row],[AwayTeam]],Sheet5!$A$2:$A$33, 0))</f>
        <v>0-0-0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0-1-0</v>
      </c>
      <c r="AP1073" s="2" t="str">
        <f>INDEX(Sheet5!$B$2:$AG$33, MATCH(Table2[[#This Row],[HomeTeam]],Sheet5!$A$2:$A$33, 0), MATCH(Table2[[#This Row],[AwayTeam]],Sheet5!$A$2:$A$33, 0))</f>
        <v>1-0-0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0-0-0</v>
      </c>
      <c r="AP1074" s="2" t="str">
        <f>INDEX(Sheet5!$B$2:$AG$33, MATCH(Table2[[#This Row],[HomeTeam]],Sheet5!$A$2:$A$33, 0), MATCH(Table2[[#This Row],[AwayTeam]],Sheet5!$A$2:$A$33, 0))</f>
        <v>0-0-0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0-0-0</v>
      </c>
      <c r="AP1076" s="2" t="str">
        <f>INDEX(Sheet5!$B$2:$AG$33, MATCH(Table2[[#This Row],[HomeTeam]],Sheet5!$A$2:$A$33, 0), MATCH(Table2[[#This Row],[AwayTeam]],Sheet5!$A$2:$A$33, 0))</f>
        <v>0-0-0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0-0-0</v>
      </c>
      <c r="AP1088" s="2" t="str">
        <f>INDEX(Sheet5!$B$2:$AG$33, MATCH(Table2[[#This Row],[HomeTeam]],Sheet5!$A$2:$A$33, 0), MATCH(Table2[[#This Row],[AwayTeam]],Sheet5!$A$2:$A$33, 0))</f>
        <v>0-0-0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0-0-0</v>
      </c>
      <c r="AP1090" s="2" t="str">
        <f>INDEX(Sheet5!$B$2:$AG$33, MATCH(Table2[[#This Row],[HomeTeam]],Sheet5!$A$2:$A$33, 0), MATCH(Table2[[#This Row],[AwayTeam]],Sheet5!$A$2:$A$33, 0))</f>
        <v>0-0-0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0-0-0</v>
      </c>
      <c r="AP1091" s="2" t="str">
        <f>INDEX(Sheet5!$B$2:$AG$33, MATCH(Table2[[#This Row],[HomeTeam]],Sheet5!$A$2:$A$33, 0), MATCH(Table2[[#This Row],[AwayTeam]],Sheet5!$A$2:$A$33, 0))</f>
        <v>0-0-0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0-0-0</v>
      </c>
      <c r="AP1092" s="2" t="str">
        <f>INDEX(Sheet5!$B$2:$AG$33, MATCH(Table2[[#This Row],[HomeTeam]],Sheet5!$A$2:$A$33, 0), MATCH(Table2[[#This Row],[AwayTeam]],Sheet5!$A$2:$A$33, 0))</f>
        <v>0-0-0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0-0-0</v>
      </c>
      <c r="AP1093" s="2" t="str">
        <f>INDEX(Sheet5!$B$2:$AG$33, MATCH(Table2[[#This Row],[HomeTeam]],Sheet5!$A$2:$A$33, 0), MATCH(Table2[[#This Row],[AwayTeam]],Sheet5!$A$2:$A$33, 0))</f>
        <v>0-0-0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0-0-0</v>
      </c>
      <c r="AP1097" s="2" t="str">
        <f>INDEX(Sheet5!$B$2:$AG$33, MATCH(Table2[[#This Row],[HomeTeam]],Sheet5!$A$2:$A$33, 0), MATCH(Table2[[#This Row],[AwayTeam]],Sheet5!$A$2:$A$33, 0))</f>
        <v>0-0-0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0-0-0</v>
      </c>
      <c r="AP1098" s="2" t="str">
        <f>INDEX(Sheet5!$B$2:$AG$33, MATCH(Table2[[#This Row],[HomeTeam]],Sheet5!$A$2:$A$33, 0), MATCH(Table2[[#This Row],[AwayTeam]],Sheet5!$A$2:$A$33, 0))</f>
        <v>0-0-0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0-0-0</v>
      </c>
      <c r="AP1099" s="2" t="str">
        <f>INDEX(Sheet5!$B$2:$AG$33, MATCH(Table2[[#This Row],[HomeTeam]],Sheet5!$A$2:$A$33, 0), MATCH(Table2[[#This Row],[AwayTeam]],Sheet5!$A$2:$A$33, 0))</f>
        <v>0-0-0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0-0-0</v>
      </c>
      <c r="AP1100" s="2" t="str">
        <f>INDEX(Sheet5!$B$2:$AG$33, MATCH(Table2[[#This Row],[HomeTeam]],Sheet5!$A$2:$A$33, 0), MATCH(Table2[[#This Row],[AwayTeam]],Sheet5!$A$2:$A$33, 0))</f>
        <v>0-0-0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0-0-0</v>
      </c>
      <c r="AP1110" s="2" t="str">
        <f>INDEX(Sheet5!$B$2:$AG$33, MATCH(Table2[[#This Row],[HomeTeam]],Sheet5!$A$2:$A$33, 0), MATCH(Table2[[#This Row],[AwayTeam]],Sheet5!$A$2:$A$33, 0))</f>
        <v>0-0-0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0-0-0</v>
      </c>
      <c r="AP1111" s="2" t="str">
        <f>INDEX(Sheet5!$B$2:$AG$33, MATCH(Table2[[#This Row],[HomeTeam]],Sheet5!$A$2:$A$33, 0), MATCH(Table2[[#This Row],[AwayTeam]],Sheet5!$A$2:$A$33, 0))</f>
        <v>0-0-0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0-0-0</v>
      </c>
      <c r="AP1115" s="2" t="str">
        <f>INDEX(Sheet5!$B$2:$AG$33, MATCH(Table2[[#This Row],[HomeTeam]],Sheet5!$A$2:$A$33, 0), MATCH(Table2[[#This Row],[AwayTeam]],Sheet5!$A$2:$A$33, 0))</f>
        <v>0-0-0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0-0-0</v>
      </c>
      <c r="AP1118" s="2" t="str">
        <f>INDEX(Sheet5!$B$2:$AG$33, MATCH(Table2[[#This Row],[HomeTeam]],Sheet5!$A$2:$A$33, 0), MATCH(Table2[[#This Row],[AwayTeam]],Sheet5!$A$2:$A$33, 0))</f>
        <v>0-0-0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0-0-0</v>
      </c>
      <c r="AP1136" s="2" t="str">
        <f>INDEX(Sheet5!$B$2:$AG$33, MATCH(Table2[[#This Row],[HomeTeam]],Sheet5!$A$2:$A$33, 0), MATCH(Table2[[#This Row],[AwayTeam]],Sheet5!$A$2:$A$33, 0))</f>
        <v>0-0-0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0-0-0</v>
      </c>
      <c r="AP1139" s="2" t="str">
        <f>INDEX(Sheet5!$B$2:$AG$33, MATCH(Table2[[#This Row],[HomeTeam]],Sheet5!$A$2:$A$33, 0), MATCH(Table2[[#This Row],[AwayTeam]],Sheet5!$A$2:$A$33, 0))</f>
        <v>0-0-0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0-0-0</v>
      </c>
      <c r="AP1143" s="2" t="str">
        <f>INDEX(Sheet5!$B$2:$AG$33, MATCH(Table2[[#This Row],[HomeTeam]],Sheet5!$A$2:$A$33, 0), MATCH(Table2[[#This Row],[AwayTeam]],Sheet5!$A$2:$A$33, 0))</f>
        <v>0-0-0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0-0-0</v>
      </c>
      <c r="AP1151" s="2" t="str">
        <f>INDEX(Sheet5!$B$2:$AG$33, MATCH(Table2[[#This Row],[HomeTeam]],Sheet5!$A$2:$A$33, 0), MATCH(Table2[[#This Row],[AwayTeam]],Sheet5!$A$2:$A$33, 0))</f>
        <v>0-0-0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0-1-0</v>
      </c>
      <c r="AP1152" s="2" t="str">
        <f>INDEX(Sheet5!$B$2:$AG$33, MATCH(Table2[[#This Row],[HomeTeam]],Sheet5!$A$2:$A$33, 0), MATCH(Table2[[#This Row],[AwayTeam]],Sheet5!$A$2:$A$33, 0))</f>
        <v>1-0-0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0-0-0</v>
      </c>
      <c r="AP1162" s="2" t="str">
        <f>INDEX(Sheet5!$B$2:$AG$33, MATCH(Table2[[#This Row],[HomeTeam]],Sheet5!$A$2:$A$33, 0), MATCH(Table2[[#This Row],[AwayTeam]],Sheet5!$A$2:$A$33, 0))</f>
        <v>0-0-0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1-0-0</v>
      </c>
      <c r="AP1167" s="2" t="str">
        <f>INDEX(Sheet5!$B$2:$AG$33, MATCH(Table2[[#This Row],[HomeTeam]],Sheet5!$A$2:$A$33, 0), MATCH(Table2[[#This Row],[AwayTeam]],Sheet5!$A$2:$A$33, 0))</f>
        <v>0-1-0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0-0-0</v>
      </c>
      <c r="AP1173" s="2" t="str">
        <f>INDEX(Sheet5!$B$2:$AG$33, MATCH(Table2[[#This Row],[HomeTeam]],Sheet5!$A$2:$A$33, 0), MATCH(Table2[[#This Row],[AwayTeam]],Sheet5!$A$2:$A$33, 0))</f>
        <v>0-0-0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0-0-0</v>
      </c>
      <c r="AP1174" s="2" t="str">
        <f>INDEX(Sheet5!$B$2:$AG$33, MATCH(Table2[[#This Row],[HomeTeam]],Sheet5!$A$2:$A$33, 0), MATCH(Table2[[#This Row],[AwayTeam]],Sheet5!$A$2:$A$33, 0))</f>
        <v>0-0-0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1-0-0</v>
      </c>
      <c r="AP1189" s="2" t="str">
        <f>INDEX(Sheet5!$B$2:$AG$33, MATCH(Table2[[#This Row],[HomeTeam]],Sheet5!$A$2:$A$33, 0), MATCH(Table2[[#This Row],[AwayTeam]],Sheet5!$A$2:$A$33, 0))</f>
        <v>0-1-0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0-0-1</v>
      </c>
      <c r="AP1190" s="2" t="str">
        <f>INDEX(Sheet5!$B$2:$AG$33, MATCH(Table2[[#This Row],[HomeTeam]],Sheet5!$A$2:$A$33, 0), MATCH(Table2[[#This Row],[AwayTeam]],Sheet5!$A$2:$A$33, 0))</f>
        <v>1-0-0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0-0-0</v>
      </c>
      <c r="AP1196" s="2" t="str">
        <f>INDEX(Sheet5!$B$2:$AG$33, MATCH(Table2[[#This Row],[HomeTeam]],Sheet5!$A$2:$A$33, 0), MATCH(Table2[[#This Row],[AwayTeam]],Sheet5!$A$2:$A$33, 0))</f>
        <v>0-0-0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1-0-0</v>
      </c>
      <c r="AP1207" s="2" t="str">
        <f>INDEX(Sheet5!$B$2:$AG$33, MATCH(Table2[[#This Row],[HomeTeam]],Sheet5!$A$2:$A$33, 0), MATCH(Table2[[#This Row],[AwayTeam]],Sheet5!$A$2:$A$33, 0))</f>
        <v>0-0-1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0-1-0</v>
      </c>
      <c r="AP1209" s="2" t="str">
        <f>INDEX(Sheet5!$B$2:$AG$33, MATCH(Table2[[#This Row],[HomeTeam]],Sheet5!$A$2:$A$33, 0), MATCH(Table2[[#This Row],[AwayTeam]],Sheet5!$A$2:$A$33, 0))</f>
        <v>1-0-0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0-0-0</v>
      </c>
      <c r="AP1217" s="2" t="str">
        <f>INDEX(Sheet5!$B$2:$AG$33, MATCH(Table2[[#This Row],[HomeTeam]],Sheet5!$A$2:$A$33, 0), MATCH(Table2[[#This Row],[AwayTeam]],Sheet5!$A$2:$A$33, 0))</f>
        <v>0-0-0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0-0-0</v>
      </c>
      <c r="AP1219" s="2" t="str">
        <f>INDEX(Sheet5!$B$2:$AG$33, MATCH(Table2[[#This Row],[HomeTeam]],Sheet5!$A$2:$A$33, 0), MATCH(Table2[[#This Row],[AwayTeam]],Sheet5!$A$2:$A$33, 0))</f>
        <v>0-0-0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0-1-0</v>
      </c>
      <c r="AP1223" s="2" t="str">
        <f>INDEX(Sheet5!$B$2:$AG$33, MATCH(Table2[[#This Row],[HomeTeam]],Sheet5!$A$2:$A$33, 0), MATCH(Table2[[#This Row],[AwayTeam]],Sheet5!$A$2:$A$33, 0))</f>
        <v>1-0-0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1-0-0</v>
      </c>
      <c r="AP1232" s="2" t="str">
        <f>INDEX(Sheet5!$B$2:$AG$33, MATCH(Table2[[#This Row],[HomeTeam]],Sheet5!$A$2:$A$33, 0), MATCH(Table2[[#This Row],[AwayTeam]],Sheet5!$A$2:$A$33, 0))</f>
        <v>0-1-0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0-0-0</v>
      </c>
      <c r="AP1237" s="2" t="str">
        <f>INDEX(Sheet5!$B$2:$AG$33, MATCH(Table2[[#This Row],[HomeTeam]],Sheet5!$A$2:$A$33, 0), MATCH(Table2[[#This Row],[AwayTeam]],Sheet5!$A$2:$A$33, 0))</f>
        <v>0-0-0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0-0-0</v>
      </c>
      <c r="AP1238" s="2" t="str">
        <f>INDEX(Sheet5!$B$2:$AG$33, MATCH(Table2[[#This Row],[HomeTeam]],Sheet5!$A$2:$A$33, 0), MATCH(Table2[[#This Row],[AwayTeam]],Sheet5!$A$2:$A$33, 0))</f>
        <v>0-0-0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1-0-0</v>
      </c>
      <c r="AP1239" s="2" t="str">
        <f>INDEX(Sheet5!$B$2:$AG$33, MATCH(Table2[[#This Row],[HomeTeam]],Sheet5!$A$2:$A$33, 0), MATCH(Table2[[#This Row],[AwayTeam]],Sheet5!$A$2:$A$33, 0))</f>
        <v>0-1-0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0-0-0</v>
      </c>
      <c r="AP1241" s="2" t="str">
        <f>INDEX(Sheet5!$B$2:$AG$33, MATCH(Table2[[#This Row],[HomeTeam]],Sheet5!$A$2:$A$33, 0), MATCH(Table2[[#This Row],[AwayTeam]],Sheet5!$A$2:$A$33, 0))</f>
        <v>0-0-0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0-0-0</v>
      </c>
      <c r="AP1247" s="2" t="str">
        <f>INDEX(Sheet5!$B$2:$AG$33, MATCH(Table2[[#This Row],[HomeTeam]],Sheet5!$A$2:$A$33, 0), MATCH(Table2[[#This Row],[AwayTeam]],Sheet5!$A$2:$A$33, 0))</f>
        <v>0-0-0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0-0-0</v>
      </c>
      <c r="AP1262" s="2" t="str">
        <f>INDEX(Sheet5!$B$2:$AG$33, MATCH(Table2[[#This Row],[HomeTeam]],Sheet5!$A$2:$A$33, 0), MATCH(Table2[[#This Row],[AwayTeam]],Sheet5!$A$2:$A$33, 0))</f>
        <v>0-0-0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0-0-0</v>
      </c>
      <c r="AP1267" s="2" t="str">
        <f>INDEX(Sheet5!$B$2:$AG$33, MATCH(Table2[[#This Row],[HomeTeam]],Sheet5!$A$2:$A$33, 0), MATCH(Table2[[#This Row],[AwayTeam]],Sheet5!$A$2:$A$33, 0))</f>
        <v>0-0-0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0-0-0</v>
      </c>
      <c r="AP1273" s="2" t="str">
        <f>INDEX(Sheet5!$B$2:$AG$33, MATCH(Table2[[#This Row],[HomeTeam]],Sheet5!$A$2:$A$33, 0), MATCH(Table2[[#This Row],[AwayTeam]],Sheet5!$A$2:$A$33, 0))</f>
        <v>0-0-0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0-0-0</v>
      </c>
      <c r="AP1277" s="2" t="str">
        <f>INDEX(Sheet5!$B$2:$AG$33, MATCH(Table2[[#This Row],[HomeTeam]],Sheet5!$A$2:$A$33, 0), MATCH(Table2[[#This Row],[AwayTeam]],Sheet5!$A$2:$A$33, 0))</f>
        <v>0-0-0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0-0-0</v>
      </c>
      <c r="AP1282" s="2" t="str">
        <f>INDEX(Sheet5!$B$2:$AG$33, MATCH(Table2[[#This Row],[HomeTeam]],Sheet5!$A$2:$A$33, 0), MATCH(Table2[[#This Row],[AwayTeam]],Sheet5!$A$2:$A$33, 0))</f>
        <v>0-0-0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1-0-0</v>
      </c>
      <c r="AP1284" s="2" t="str">
        <f>INDEX(Sheet5!$B$2:$AG$33, MATCH(Table2[[#This Row],[HomeTeam]],Sheet5!$A$2:$A$33, 0), MATCH(Table2[[#This Row],[AwayTeam]],Sheet5!$A$2:$A$33, 0))</f>
        <v>0-0-1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0-0-0</v>
      </c>
      <c r="AP1290" s="2" t="str">
        <f>INDEX(Sheet5!$B$2:$AG$33, MATCH(Table2[[#This Row],[HomeTeam]],Sheet5!$A$2:$A$33, 0), MATCH(Table2[[#This Row],[AwayTeam]],Sheet5!$A$2:$A$33, 0))</f>
        <v>0-0-0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1-0-0</v>
      </c>
      <c r="AP1297" s="2" t="str">
        <f>INDEX(Sheet5!$B$2:$AG$33, MATCH(Table2[[#This Row],[HomeTeam]],Sheet5!$A$2:$A$33, 0), MATCH(Table2[[#This Row],[AwayTeam]],Sheet5!$A$2:$A$33, 0))</f>
        <v>0-1-0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0-0-0</v>
      </c>
      <c r="AP1298" s="2" t="str">
        <f>INDEX(Sheet5!$B$2:$AG$33, MATCH(Table2[[#This Row],[HomeTeam]],Sheet5!$A$2:$A$33, 0), MATCH(Table2[[#This Row],[AwayTeam]],Sheet5!$A$2:$A$33, 0))</f>
        <v>0-0-0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0-0-0</v>
      </c>
      <c r="AP1302" s="2" t="str">
        <f>INDEX(Sheet5!$B$2:$AG$33, MATCH(Table2[[#This Row],[HomeTeam]],Sheet5!$A$2:$A$33, 0), MATCH(Table2[[#This Row],[AwayTeam]],Sheet5!$A$2:$A$33, 0))</f>
        <v>0-0-0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1-0-0</v>
      </c>
      <c r="AP1304" s="2" t="str">
        <f>INDEX(Sheet5!$B$2:$AG$33, MATCH(Table2[[#This Row],[HomeTeam]],Sheet5!$A$2:$A$33, 0), MATCH(Table2[[#This Row],[AwayTeam]],Sheet5!$A$2:$A$33, 0))</f>
        <v>0-1-0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0-1-0</v>
      </c>
      <c r="AP1311" s="2" t="str">
        <f>INDEX(Sheet5!$B$2:$AG$33, MATCH(Table2[[#This Row],[HomeTeam]],Sheet5!$A$2:$A$33, 0), MATCH(Table2[[#This Row],[AwayTeam]],Sheet5!$A$2:$A$33, 0))</f>
        <v>1-0-0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662 D663:AM663 C664:AM949 C950:X950 C951:AM1314 D1315:BH1048576 AF1:BG1 Z950:AM950 AO23:BI1314 AE1:AE1314 A1:B1048576 BB3:BI5 X4:Y7 BB6:BG11 BI6:BI11 BH6:BH12 BA12:BI16 BA17:BG17 BA18:BI22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16" workbookViewId="0">
      <selection activeCell="V41" sqref="V41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19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23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18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17</v>
      </c>
      <c r="G43" s="145">
        <f>SUMIFS(Table2[NewPointsAway],Table2[GameDate], "&lt;=" &amp; $A43, Table2[AwayTeam], G$1)+SUMIFS(Table2[NewPointsHome],Table2[GameDate], "&lt;=" &amp; $A43, Table2[HomeTeam], G$1)</f>
        <v>10</v>
      </c>
      <c r="H43" s="145">
        <f>SUMIFS(Table2[NewPointsAway],Table2[GameDate], "&lt;=" &amp; $A43, Table2[AwayTeam], H$1)+SUMIFS(Table2[NewPointsHome],Table2[GameDate], "&lt;=" &amp; $A43, Table2[HomeTeam], H$1)</f>
        <v>19</v>
      </c>
      <c r="I43" s="145">
        <f>SUMIFS(Table2[NewPointsAway],Table2[GameDate], "&lt;=" &amp; $A43, Table2[AwayTeam], I$1)+SUMIFS(Table2[NewPointsHome],Table2[GameDate], "&lt;=" &amp; $A43, Table2[HomeTeam], I$1)</f>
        <v>27</v>
      </c>
      <c r="J43" s="145">
        <f>SUMIFS(Table2[NewPointsAway],Table2[GameDate], "&lt;=" &amp; $A43, Table2[AwayTeam], J$1)+SUMIFS(Table2[NewPointsHome],Table2[GameDate], "&lt;=" &amp; $A43, Table2[HomeTeam], J$1)</f>
        <v>23</v>
      </c>
      <c r="K43" s="145">
        <f>SUMIFS(Table2[NewPointsAway],Table2[GameDate], "&lt;=" &amp; $A43, Table2[AwayTeam], K$1)+SUMIFS(Table2[NewPointsHome],Table2[GameDate], "&lt;=" &amp; $A43, Table2[HomeTeam], K$1)</f>
        <v>18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17</v>
      </c>
      <c r="N43" s="145">
        <f>SUMIFS(Table2[NewPointsAway],Table2[GameDate], "&lt;=" &amp; $A43, Table2[AwayTeam], N$1)+SUMIFS(Table2[NewPointsHome],Table2[GameDate], "&lt;=" &amp; $A43, Table2[HomeTeam], N$1)</f>
        <v>20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23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18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20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19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17</v>
      </c>
      <c r="AC43" s="145">
        <f>SUMIFS(Table2[NewPointsAway],Table2[GameDate], "&lt;=" &amp; $A43, Table2[AwayTeam], AC$1)+SUMIFS(Table2[NewPointsHome],Table2[GameDate], "&lt;=" &amp; $A43, Table2[HomeTeam], AC$1)</f>
        <v>18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18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22</v>
      </c>
      <c r="F44" s="145">
        <f>SUMIFS(Table2[NewPointsAway],Table2[GameDate], "&lt;=" &amp; $A44, Table2[AwayTeam], F$1)+SUMIFS(Table2[NewPointsHome],Table2[GameDate], "&lt;=" &amp; $A44, Table2[HomeTeam], F$1)</f>
        <v>17</v>
      </c>
      <c r="G44" s="145">
        <f>SUMIFS(Table2[NewPointsAway],Table2[GameDate], "&lt;=" &amp; $A44, Table2[AwayTeam], G$1)+SUMIFS(Table2[NewPointsHome],Table2[GameDate], "&lt;=" &amp; $A44, Table2[HomeTeam], G$1)</f>
        <v>10</v>
      </c>
      <c r="H44" s="145">
        <f>SUMIFS(Table2[NewPointsAway],Table2[GameDate], "&lt;=" &amp; $A44, Table2[AwayTeam], H$1)+SUMIFS(Table2[NewPointsHome],Table2[GameDate], "&lt;=" &amp; $A44, Table2[HomeTeam], H$1)</f>
        <v>19</v>
      </c>
      <c r="I44" s="145">
        <f>SUMIFS(Table2[NewPointsAway],Table2[GameDate], "&lt;=" &amp; $A44, Table2[AwayTeam], I$1)+SUMIFS(Table2[NewPointsHome],Table2[GameDate], "&lt;=" &amp; $A44, Table2[HomeTeam], I$1)</f>
        <v>27</v>
      </c>
      <c r="J44" s="145">
        <f>SUMIFS(Table2[NewPointsAway],Table2[GameDate], "&lt;=" &amp; $A44, Table2[AwayTeam], J$1)+SUMIFS(Table2[NewPointsHome],Table2[GameDate], "&lt;=" &amp; $A44, Table2[HomeTeam], J$1)</f>
        <v>23</v>
      </c>
      <c r="K44" s="145">
        <f>SUMIFS(Table2[NewPointsAway],Table2[GameDate], "&lt;=" &amp; $A44, Table2[AwayTeam], K$1)+SUMIFS(Table2[NewPointsHome],Table2[GameDate], "&lt;=" &amp; $A44, Table2[HomeTeam], K$1)</f>
        <v>18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17</v>
      </c>
      <c r="N44" s="145">
        <f>SUMIFS(Table2[NewPointsAway],Table2[GameDate], "&lt;=" &amp; $A44, Table2[AwayTeam], N$1)+SUMIFS(Table2[NewPointsHome],Table2[GameDate], "&lt;=" &amp; $A44, Table2[HomeTeam], N$1)</f>
        <v>20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23</v>
      </c>
      <c r="R44" s="145">
        <f>SUMIFS(Table2[NewPointsAway],Table2[GameDate], "&lt;=" &amp; $A44, Table2[AwayTeam], R$1)+SUMIFS(Table2[NewPointsHome],Table2[GameDate], "&lt;=" &amp; $A44, Table2[HomeTeam], R$1)</f>
        <v>14</v>
      </c>
      <c r="S44" s="145">
        <f>SUMIFS(Table2[NewPointsAway],Table2[GameDate], "&lt;=" &amp; $A44, Table2[AwayTeam], S$1)+SUMIFS(Table2[NewPointsHome],Table2[GameDate], "&lt;=" &amp; $A44, Table2[HomeTeam], S$1)</f>
        <v>18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20</v>
      </c>
      <c r="V44" s="145">
        <f>SUMIFS(Table2[NewPointsAway],Table2[GameDate], "&lt;=" &amp; $A44, Table2[AwayTeam], V$1)+SUMIFS(Table2[NewPointsHome],Table2[GameDate], "&lt;=" &amp; $A44, Table2[HomeTeam], V$1)</f>
        <v>19</v>
      </c>
      <c r="W44" s="145">
        <f>SUMIFS(Table2[NewPointsAway],Table2[GameDate], "&lt;=" &amp; $A44, Table2[AwayTeam], W$1)+SUMIFS(Table2[NewPointsHome],Table2[GameDate], "&lt;=" &amp; $A44, Table2[HomeTeam], W$1)</f>
        <v>21</v>
      </c>
      <c r="X44" s="145">
        <f>SUMIFS(Table2[NewPointsAway],Table2[GameDate], "&lt;=" &amp; $A44, Table2[AwayTeam], X$1)+SUMIFS(Table2[NewPointsHome],Table2[GameDate], "&lt;=" &amp; $A44, Table2[HomeTeam], X$1)</f>
        <v>19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15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17</v>
      </c>
      <c r="AC44" s="145">
        <f>SUMIFS(Table2[NewPointsAway],Table2[GameDate], "&lt;=" &amp; $A44, Table2[AwayTeam], AC$1)+SUMIFS(Table2[NewPointsHome],Table2[GameDate], "&lt;=" &amp; $A44, Table2[HomeTeam], AC$1)</f>
        <v>18</v>
      </c>
      <c r="AD44" s="145">
        <f>SUMIFS(Table2[NewPointsAway],Table2[GameDate], "&lt;=" &amp; $A44, Table2[AwayTeam], AD$1)+SUMIFS(Table2[NewPointsHome],Table2[GameDate], "&lt;=" &amp; $A44, Table2[HomeTeam], AD$1)</f>
        <v>17</v>
      </c>
      <c r="AE44" s="145">
        <f>SUMIFS(Table2[NewPointsAway],Table2[GameDate], "&lt;=" &amp; $A44, Table2[AwayTeam], AE$1)+SUMIFS(Table2[NewPointsHome],Table2[GameDate], "&lt;=" &amp; $A44, Table2[HomeTeam], AE$1)</f>
        <v>18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22</v>
      </c>
      <c r="D45" s="145">
        <f>SUMIFS(Table2[NewPointsAway],Table2[GameDate], "&lt;=" &amp; $A45, Table2[AwayTeam], D$1)+SUMIFS(Table2[NewPointsHome],Table2[GameDate], "&lt;=" &amp; $A45, Table2[HomeTeam], D$1)</f>
        <v>14</v>
      </c>
      <c r="E45" s="145">
        <f>SUMIFS(Table2[NewPointsAway],Table2[GameDate], "&lt;=" &amp; $A45, Table2[AwayTeam], E$1)+SUMIFS(Table2[NewPointsHome],Table2[GameDate], "&lt;=" &amp; $A45, Table2[HomeTeam], E$1)</f>
        <v>22</v>
      </c>
      <c r="F45" s="145">
        <f>SUMIFS(Table2[NewPointsAway],Table2[GameDate], "&lt;=" &amp; $A45, Table2[AwayTeam], F$1)+SUMIFS(Table2[NewPointsHome],Table2[GameDate], "&lt;=" &amp; $A45, Table2[HomeTeam], F$1)</f>
        <v>17</v>
      </c>
      <c r="G45" s="145">
        <f>SUMIFS(Table2[NewPointsAway],Table2[GameDate], "&lt;=" &amp; $A45, Table2[AwayTeam], G$1)+SUMIFS(Table2[NewPointsHome],Table2[GameDate], "&lt;=" &amp; $A45, Table2[HomeTeam], G$1)</f>
        <v>10</v>
      </c>
      <c r="H45" s="145">
        <f>SUMIFS(Table2[NewPointsAway],Table2[GameDate], "&lt;=" &amp; $A45, Table2[AwayTeam], H$1)+SUMIFS(Table2[NewPointsHome],Table2[GameDate], "&lt;=" &amp; $A45, Table2[HomeTeam], H$1)</f>
        <v>19</v>
      </c>
      <c r="I45" s="145">
        <f>SUMIFS(Table2[NewPointsAway],Table2[GameDate], "&lt;=" &amp; $A45, Table2[AwayTeam], I$1)+SUMIFS(Table2[NewPointsHome],Table2[GameDate], "&lt;=" &amp; $A45, Table2[HomeTeam], I$1)</f>
        <v>27</v>
      </c>
      <c r="J45" s="145">
        <f>SUMIFS(Table2[NewPointsAway],Table2[GameDate], "&lt;=" &amp; $A45, Table2[AwayTeam], J$1)+SUMIFS(Table2[NewPointsHome],Table2[GameDate], "&lt;=" &amp; $A45, Table2[HomeTeam], J$1)</f>
        <v>23</v>
      </c>
      <c r="K45" s="145">
        <f>SUMIFS(Table2[NewPointsAway],Table2[GameDate], "&lt;=" &amp; $A45, Table2[AwayTeam], K$1)+SUMIFS(Table2[NewPointsHome],Table2[GameDate], "&lt;=" &amp; $A45, Table2[HomeTeam], K$1)</f>
        <v>18</v>
      </c>
      <c r="L45" s="145">
        <f>SUMIFS(Table2[NewPointsAway],Table2[GameDate], "&lt;=" &amp; $A45, Table2[AwayTeam], L$1)+SUMIFS(Table2[NewPointsHome],Table2[GameDate], "&lt;=" &amp; $A45, Table2[HomeTeam], L$1)</f>
        <v>20</v>
      </c>
      <c r="M45" s="145">
        <f>SUMIFS(Table2[NewPointsAway],Table2[GameDate], "&lt;=" &amp; $A45, Table2[AwayTeam], M$1)+SUMIFS(Table2[NewPointsHome],Table2[GameDate], "&lt;=" &amp; $A45, Table2[HomeTeam], M$1)</f>
        <v>17</v>
      </c>
      <c r="N45" s="145">
        <f>SUMIFS(Table2[NewPointsAway],Table2[GameDate], "&lt;=" &amp; $A45, Table2[AwayTeam], N$1)+SUMIFS(Table2[NewPointsHome],Table2[GameDate], "&lt;=" &amp; $A45, Table2[HomeTeam], N$1)</f>
        <v>20</v>
      </c>
      <c r="O45" s="145">
        <f>SUMIFS(Table2[NewPointsAway],Table2[GameDate], "&lt;=" &amp; $A45, Table2[AwayTeam], O$1)+SUMIFS(Table2[NewPointsHome],Table2[GameDate], "&lt;=" &amp; $A45, Table2[HomeTeam], O$1)</f>
        <v>18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23</v>
      </c>
      <c r="R45" s="145">
        <f>SUMIFS(Table2[NewPointsAway],Table2[GameDate], "&lt;=" &amp; $A45, Table2[AwayTeam], R$1)+SUMIFS(Table2[NewPointsHome],Table2[GameDate], "&lt;=" &amp; $A45, Table2[HomeTeam], R$1)</f>
        <v>14</v>
      </c>
      <c r="S45" s="145">
        <f>SUMIFS(Table2[NewPointsAway],Table2[GameDate], "&lt;=" &amp; $A45, Table2[AwayTeam], S$1)+SUMIFS(Table2[NewPointsHome],Table2[GameDate], "&lt;=" &amp; $A45, Table2[HomeTeam], S$1)</f>
        <v>18</v>
      </c>
      <c r="T45" s="145">
        <f>SUMIFS(Table2[NewPointsAway],Table2[GameDate], "&lt;=" &amp; $A45, Table2[AwayTeam], T$1)+SUMIFS(Table2[NewPointsHome],Table2[GameDate], "&lt;=" &amp; $A45, Table2[HomeTeam], T$1)</f>
        <v>20</v>
      </c>
      <c r="U45" s="145">
        <f>SUMIFS(Table2[NewPointsAway],Table2[GameDate], "&lt;=" &amp; $A45, Table2[AwayTeam], U$1)+SUMIFS(Table2[NewPointsHome],Table2[GameDate], "&lt;=" &amp; $A45, Table2[HomeTeam], U$1)</f>
        <v>20</v>
      </c>
      <c r="V45" s="145">
        <f>SUMIFS(Table2[NewPointsAway],Table2[GameDate], "&lt;=" &amp; $A45, Table2[AwayTeam], V$1)+SUMIFS(Table2[NewPointsHome],Table2[GameDate], "&lt;=" &amp; $A45, Table2[HomeTeam], V$1)</f>
        <v>19</v>
      </c>
      <c r="W45" s="145">
        <f>SUMIFS(Table2[NewPointsAway],Table2[GameDate], "&lt;=" &amp; $A45, Table2[AwayTeam], W$1)+SUMIFS(Table2[NewPointsHome],Table2[GameDate], "&lt;=" &amp; $A45, Table2[HomeTeam], W$1)</f>
        <v>21</v>
      </c>
      <c r="X45" s="145">
        <f>SUMIFS(Table2[NewPointsAway],Table2[GameDate], "&lt;=" &amp; $A45, Table2[AwayTeam], X$1)+SUMIFS(Table2[NewPointsHome],Table2[GameDate], "&lt;=" &amp; $A45, Table2[HomeTeam], X$1)</f>
        <v>19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15</v>
      </c>
      <c r="AA45" s="145">
        <f>SUMIFS(Table2[NewPointsAway],Table2[GameDate], "&lt;=" &amp; $A45, Table2[AwayTeam], AA$1)+SUMIFS(Table2[NewPointsHome],Table2[GameDate], "&lt;=" &amp; $A45, Table2[HomeTeam], AA$1)</f>
        <v>18</v>
      </c>
      <c r="AB45" s="145">
        <f>SUMIFS(Table2[NewPointsAway],Table2[GameDate], "&lt;=" &amp; $A45, Table2[AwayTeam], AB$1)+SUMIFS(Table2[NewPointsHome],Table2[GameDate], "&lt;=" &amp; $A45, Table2[HomeTeam], AB$1)</f>
        <v>17</v>
      </c>
      <c r="AC45" s="145">
        <f>SUMIFS(Table2[NewPointsAway],Table2[GameDate], "&lt;=" &amp; $A45, Table2[AwayTeam], AC$1)+SUMIFS(Table2[NewPointsHome],Table2[GameDate], "&lt;=" &amp; $A45, Table2[HomeTeam], AC$1)</f>
        <v>18</v>
      </c>
      <c r="AD45" s="145">
        <f>SUMIFS(Table2[NewPointsAway],Table2[GameDate], "&lt;=" &amp; $A45, Table2[AwayTeam], AD$1)+SUMIFS(Table2[NewPointsHome],Table2[GameDate], "&lt;=" &amp; $A45, Table2[HomeTeam], AD$1)</f>
        <v>17</v>
      </c>
      <c r="AE45" s="145">
        <f>SUMIFS(Table2[NewPointsAway],Table2[GameDate], "&lt;=" &amp; $A45, Table2[AwayTeam], AE$1)+SUMIFS(Table2[NewPointsHome],Table2[GameDate], "&lt;=" &amp; $A45, Table2[HomeTeam], AE$1)</f>
        <v>18</v>
      </c>
      <c r="AF45" s="145">
        <f>SUMIFS(Table2[NewPointsAway],Table2[GameDate], "&lt;=" &amp; $A45, Table2[AwayTeam], AF$1)+SUMIFS(Table2[NewPointsHome],Table2[GameDate], "&lt;=" &amp; $A45, Table2[HomeTeam], AF$1)</f>
        <v>20</v>
      </c>
      <c r="AG45" s="145">
        <f>SUMIFS(Table2[NewPointsAway],Table2[GameDate], "&lt;=" &amp; $A45, Table2[AwayTeam], AG$1)+SUMIFS(Table2[NewPointsHome],Table2[GameDate], "&lt;=" &amp; $A45, Table2[HomeTeam], AG$1)</f>
        <v>17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22</v>
      </c>
      <c r="D46" s="145">
        <f>SUMIFS(Table2[NewPointsAway],Table2[GameDate], "&lt;=" &amp; $A46, Table2[AwayTeam], D$1)+SUMIFS(Table2[NewPointsHome],Table2[GameDate], "&lt;=" &amp; $A46, Table2[HomeTeam], D$1)</f>
        <v>14</v>
      </c>
      <c r="E46" s="145">
        <f>SUMIFS(Table2[NewPointsAway],Table2[GameDate], "&lt;=" &amp; $A46, Table2[AwayTeam], E$1)+SUMIFS(Table2[NewPointsHome],Table2[GameDate], "&lt;=" &amp; $A46, Table2[HomeTeam], E$1)</f>
        <v>22</v>
      </c>
      <c r="F46" s="145">
        <f>SUMIFS(Table2[NewPointsAway],Table2[GameDate], "&lt;=" &amp; $A46, Table2[AwayTeam], F$1)+SUMIFS(Table2[NewPointsHome],Table2[GameDate], "&lt;=" &amp; $A46, Table2[HomeTeam], F$1)</f>
        <v>17</v>
      </c>
      <c r="G46" s="145">
        <f>SUMIFS(Table2[NewPointsAway],Table2[GameDate], "&lt;=" &amp; $A46, Table2[AwayTeam], G$1)+SUMIFS(Table2[NewPointsHome],Table2[GameDate], "&lt;=" &amp; $A46, Table2[HomeTeam], G$1)</f>
        <v>10</v>
      </c>
      <c r="H46" s="145">
        <f>SUMIFS(Table2[NewPointsAway],Table2[GameDate], "&lt;=" &amp; $A46, Table2[AwayTeam], H$1)+SUMIFS(Table2[NewPointsHome],Table2[GameDate], "&lt;=" &amp; $A46, Table2[HomeTeam], H$1)</f>
        <v>19</v>
      </c>
      <c r="I46" s="145">
        <f>SUMIFS(Table2[NewPointsAway],Table2[GameDate], "&lt;=" &amp; $A46, Table2[AwayTeam], I$1)+SUMIFS(Table2[NewPointsHome],Table2[GameDate], "&lt;=" &amp; $A46, Table2[HomeTeam], I$1)</f>
        <v>27</v>
      </c>
      <c r="J46" s="145">
        <f>SUMIFS(Table2[NewPointsAway],Table2[GameDate], "&lt;=" &amp; $A46, Table2[AwayTeam], J$1)+SUMIFS(Table2[NewPointsHome],Table2[GameDate], "&lt;=" &amp; $A46, Table2[HomeTeam], J$1)</f>
        <v>23</v>
      </c>
      <c r="K46" s="145">
        <f>SUMIFS(Table2[NewPointsAway],Table2[GameDate], "&lt;=" &amp; $A46, Table2[AwayTeam], K$1)+SUMIFS(Table2[NewPointsHome],Table2[GameDate], "&lt;=" &amp; $A46, Table2[HomeTeam], K$1)</f>
        <v>18</v>
      </c>
      <c r="L46" s="145">
        <f>SUMIFS(Table2[NewPointsAway],Table2[GameDate], "&lt;=" &amp; $A46, Table2[AwayTeam], L$1)+SUMIFS(Table2[NewPointsHome],Table2[GameDate], "&lt;=" &amp; $A46, Table2[HomeTeam], L$1)</f>
        <v>20</v>
      </c>
      <c r="M46" s="145">
        <f>SUMIFS(Table2[NewPointsAway],Table2[GameDate], "&lt;=" &amp; $A46, Table2[AwayTeam], M$1)+SUMIFS(Table2[NewPointsHome],Table2[GameDate], "&lt;=" &amp; $A46, Table2[HomeTeam], M$1)</f>
        <v>17</v>
      </c>
      <c r="N46" s="145">
        <f>SUMIFS(Table2[NewPointsAway],Table2[GameDate], "&lt;=" &amp; $A46, Table2[AwayTeam], N$1)+SUMIFS(Table2[NewPointsHome],Table2[GameDate], "&lt;=" &amp; $A46, Table2[HomeTeam], N$1)</f>
        <v>20</v>
      </c>
      <c r="O46" s="145">
        <f>SUMIFS(Table2[NewPointsAway],Table2[GameDate], "&lt;=" &amp; $A46, Table2[AwayTeam], O$1)+SUMIFS(Table2[NewPointsHome],Table2[GameDate], "&lt;=" &amp; $A46, Table2[HomeTeam], O$1)</f>
        <v>18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23</v>
      </c>
      <c r="R46" s="145">
        <f>SUMIFS(Table2[NewPointsAway],Table2[GameDate], "&lt;=" &amp; $A46, Table2[AwayTeam], R$1)+SUMIFS(Table2[NewPointsHome],Table2[GameDate], "&lt;=" &amp; $A46, Table2[HomeTeam], R$1)</f>
        <v>14</v>
      </c>
      <c r="S46" s="145">
        <f>SUMIFS(Table2[NewPointsAway],Table2[GameDate], "&lt;=" &amp; $A46, Table2[AwayTeam], S$1)+SUMIFS(Table2[NewPointsHome],Table2[GameDate], "&lt;=" &amp; $A46, Table2[HomeTeam], S$1)</f>
        <v>18</v>
      </c>
      <c r="T46" s="145">
        <f>SUMIFS(Table2[NewPointsAway],Table2[GameDate], "&lt;=" &amp; $A46, Table2[AwayTeam], T$1)+SUMIFS(Table2[NewPointsHome],Table2[GameDate], "&lt;=" &amp; $A46, Table2[HomeTeam], T$1)</f>
        <v>20</v>
      </c>
      <c r="U46" s="145">
        <f>SUMIFS(Table2[NewPointsAway],Table2[GameDate], "&lt;=" &amp; $A46, Table2[AwayTeam], U$1)+SUMIFS(Table2[NewPointsHome],Table2[GameDate], "&lt;=" &amp; $A46, Table2[HomeTeam], U$1)</f>
        <v>20</v>
      </c>
      <c r="V46" s="145">
        <f>SUMIFS(Table2[NewPointsAway],Table2[GameDate], "&lt;=" &amp; $A46, Table2[AwayTeam], V$1)+SUMIFS(Table2[NewPointsHome],Table2[GameDate], "&lt;=" &amp; $A46, Table2[HomeTeam], V$1)</f>
        <v>19</v>
      </c>
      <c r="W46" s="145">
        <f>SUMIFS(Table2[NewPointsAway],Table2[GameDate], "&lt;=" &amp; $A46, Table2[AwayTeam], W$1)+SUMIFS(Table2[NewPointsHome],Table2[GameDate], "&lt;=" &amp; $A46, Table2[HomeTeam], W$1)</f>
        <v>21</v>
      </c>
      <c r="X46" s="145">
        <f>SUMIFS(Table2[NewPointsAway],Table2[GameDate], "&lt;=" &amp; $A46, Table2[AwayTeam], X$1)+SUMIFS(Table2[NewPointsHome],Table2[GameDate], "&lt;=" &amp; $A46, Table2[HomeTeam], X$1)</f>
        <v>19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15</v>
      </c>
      <c r="AA46" s="145">
        <f>SUMIFS(Table2[NewPointsAway],Table2[GameDate], "&lt;=" &amp; $A46, Table2[AwayTeam], AA$1)+SUMIFS(Table2[NewPointsHome],Table2[GameDate], "&lt;=" &amp; $A46, Table2[HomeTeam], AA$1)</f>
        <v>18</v>
      </c>
      <c r="AB46" s="145">
        <f>SUMIFS(Table2[NewPointsAway],Table2[GameDate], "&lt;=" &amp; $A46, Table2[AwayTeam], AB$1)+SUMIFS(Table2[NewPointsHome],Table2[GameDate], "&lt;=" &amp; $A46, Table2[HomeTeam], AB$1)</f>
        <v>17</v>
      </c>
      <c r="AC46" s="145">
        <f>SUMIFS(Table2[NewPointsAway],Table2[GameDate], "&lt;=" &amp; $A46, Table2[AwayTeam], AC$1)+SUMIFS(Table2[NewPointsHome],Table2[GameDate], "&lt;=" &amp; $A46, Table2[HomeTeam], AC$1)</f>
        <v>18</v>
      </c>
      <c r="AD46" s="145">
        <f>SUMIFS(Table2[NewPointsAway],Table2[GameDate], "&lt;=" &amp; $A46, Table2[AwayTeam], AD$1)+SUMIFS(Table2[NewPointsHome],Table2[GameDate], "&lt;=" &amp; $A46, Table2[HomeTeam], AD$1)</f>
        <v>17</v>
      </c>
      <c r="AE46" s="145">
        <f>SUMIFS(Table2[NewPointsAway],Table2[GameDate], "&lt;=" &amp; $A46, Table2[AwayTeam], AE$1)+SUMIFS(Table2[NewPointsHome],Table2[GameDate], "&lt;=" &amp; $A46, Table2[HomeTeam], AE$1)</f>
        <v>18</v>
      </c>
      <c r="AF46" s="145">
        <f>SUMIFS(Table2[NewPointsAway],Table2[GameDate], "&lt;=" &amp; $A46, Table2[AwayTeam], AF$1)+SUMIFS(Table2[NewPointsHome],Table2[GameDate], "&lt;=" &amp; $A46, Table2[HomeTeam], AF$1)</f>
        <v>20</v>
      </c>
      <c r="AG46" s="145">
        <f>SUMIFS(Table2[NewPointsAway],Table2[GameDate], "&lt;=" &amp; $A46, Table2[AwayTeam], AG$1)+SUMIFS(Table2[NewPointsHome],Table2[GameDate], "&lt;=" &amp; $A46, Table2[HomeTeam], AG$1)</f>
        <v>17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23</v>
      </c>
      <c r="C47" s="145">
        <f>SUMIFS(Table2[NewPointsAway],Table2[GameDate], "&lt;=" &amp; $A47, Table2[AwayTeam], C$1)+SUMIFS(Table2[NewPointsHome],Table2[GameDate], "&lt;=" &amp; $A47, Table2[HomeTeam], C$1)</f>
        <v>22</v>
      </c>
      <c r="D47" s="145">
        <f>SUMIFS(Table2[NewPointsAway],Table2[GameDate], "&lt;=" &amp; $A47, Table2[AwayTeam], D$1)+SUMIFS(Table2[NewPointsHome],Table2[GameDate], "&lt;=" &amp; $A47, Table2[HomeTeam], D$1)</f>
        <v>14</v>
      </c>
      <c r="E47" s="145">
        <f>SUMIFS(Table2[NewPointsAway],Table2[GameDate], "&lt;=" &amp; $A47, Table2[AwayTeam], E$1)+SUMIFS(Table2[NewPointsHome],Table2[GameDate], "&lt;=" &amp; $A47, Table2[HomeTeam], E$1)</f>
        <v>22</v>
      </c>
      <c r="F47" s="145">
        <f>SUMIFS(Table2[NewPointsAway],Table2[GameDate], "&lt;=" &amp; $A47, Table2[AwayTeam], F$1)+SUMIFS(Table2[NewPointsHome],Table2[GameDate], "&lt;=" &amp; $A47, Table2[HomeTeam], F$1)</f>
        <v>17</v>
      </c>
      <c r="G47" s="145">
        <f>SUMIFS(Table2[NewPointsAway],Table2[GameDate], "&lt;=" &amp; $A47, Table2[AwayTeam], G$1)+SUMIFS(Table2[NewPointsHome],Table2[GameDate], "&lt;=" &amp; $A47, Table2[HomeTeam], G$1)</f>
        <v>10</v>
      </c>
      <c r="H47" s="145">
        <f>SUMIFS(Table2[NewPointsAway],Table2[GameDate], "&lt;=" &amp; $A47, Table2[AwayTeam], H$1)+SUMIFS(Table2[NewPointsHome],Table2[GameDate], "&lt;=" &amp; $A47, Table2[HomeTeam], H$1)</f>
        <v>19</v>
      </c>
      <c r="I47" s="145">
        <f>SUMIFS(Table2[NewPointsAway],Table2[GameDate], "&lt;=" &amp; $A47, Table2[AwayTeam], I$1)+SUMIFS(Table2[NewPointsHome],Table2[GameDate], "&lt;=" &amp; $A47, Table2[HomeTeam], I$1)</f>
        <v>27</v>
      </c>
      <c r="J47" s="145">
        <f>SUMIFS(Table2[NewPointsAway],Table2[GameDate], "&lt;=" &amp; $A47, Table2[AwayTeam], J$1)+SUMIFS(Table2[NewPointsHome],Table2[GameDate], "&lt;=" &amp; $A47, Table2[HomeTeam], J$1)</f>
        <v>23</v>
      </c>
      <c r="K47" s="145">
        <f>SUMIFS(Table2[NewPointsAway],Table2[GameDate], "&lt;=" &amp; $A47, Table2[AwayTeam], K$1)+SUMIFS(Table2[NewPointsHome],Table2[GameDate], "&lt;=" &amp; $A47, Table2[HomeTeam], K$1)</f>
        <v>18</v>
      </c>
      <c r="L47" s="145">
        <f>SUMIFS(Table2[NewPointsAway],Table2[GameDate], "&lt;=" &amp; $A47, Table2[AwayTeam], L$1)+SUMIFS(Table2[NewPointsHome],Table2[GameDate], "&lt;=" &amp; $A47, Table2[HomeTeam], L$1)</f>
        <v>20</v>
      </c>
      <c r="M47" s="145">
        <f>SUMIFS(Table2[NewPointsAway],Table2[GameDate], "&lt;=" &amp; $A47, Table2[AwayTeam], M$1)+SUMIFS(Table2[NewPointsHome],Table2[GameDate], "&lt;=" &amp; $A47, Table2[HomeTeam], M$1)</f>
        <v>17</v>
      </c>
      <c r="N47" s="145">
        <f>SUMIFS(Table2[NewPointsAway],Table2[GameDate], "&lt;=" &amp; $A47, Table2[AwayTeam], N$1)+SUMIFS(Table2[NewPointsHome],Table2[GameDate], "&lt;=" &amp; $A47, Table2[HomeTeam], N$1)</f>
        <v>20</v>
      </c>
      <c r="O47" s="145">
        <f>SUMIFS(Table2[NewPointsAway],Table2[GameDate], "&lt;=" &amp; $A47, Table2[AwayTeam], O$1)+SUMIFS(Table2[NewPointsHome],Table2[GameDate], "&lt;=" &amp; $A47, Table2[HomeTeam], O$1)</f>
        <v>18</v>
      </c>
      <c r="P47" s="145">
        <f>SUMIFS(Table2[NewPointsAway],Table2[GameDate], "&lt;=" &amp; $A47, Table2[AwayTeam], P$1)+SUMIFS(Table2[NewPointsHome],Table2[GameDate], "&lt;=" &amp; $A47, Table2[HomeTeam], P$1)</f>
        <v>22</v>
      </c>
      <c r="Q47" s="145">
        <f>SUMIFS(Table2[NewPointsAway],Table2[GameDate], "&lt;=" &amp; $A47, Table2[AwayTeam], Q$1)+SUMIFS(Table2[NewPointsHome],Table2[GameDate], "&lt;=" &amp; $A47, Table2[HomeTeam], Q$1)</f>
        <v>23</v>
      </c>
      <c r="R47" s="145">
        <f>SUMIFS(Table2[NewPointsAway],Table2[GameDate], "&lt;=" &amp; $A47, Table2[AwayTeam], R$1)+SUMIFS(Table2[NewPointsHome],Table2[GameDate], "&lt;=" &amp; $A47, Table2[HomeTeam], R$1)</f>
        <v>14</v>
      </c>
      <c r="S47" s="145">
        <f>SUMIFS(Table2[NewPointsAway],Table2[GameDate], "&lt;=" &amp; $A47, Table2[AwayTeam], S$1)+SUMIFS(Table2[NewPointsHome],Table2[GameDate], "&lt;=" &amp; $A47, Table2[HomeTeam], S$1)</f>
        <v>18</v>
      </c>
      <c r="T47" s="145">
        <f>SUMIFS(Table2[NewPointsAway],Table2[GameDate], "&lt;=" &amp; $A47, Table2[AwayTeam], T$1)+SUMIFS(Table2[NewPointsHome],Table2[GameDate], "&lt;=" &amp; $A47, Table2[HomeTeam], T$1)</f>
        <v>20</v>
      </c>
      <c r="U47" s="145">
        <f>SUMIFS(Table2[NewPointsAway],Table2[GameDate], "&lt;=" &amp; $A47, Table2[AwayTeam], U$1)+SUMIFS(Table2[NewPointsHome],Table2[GameDate], "&lt;=" &amp; $A47, Table2[HomeTeam], U$1)</f>
        <v>20</v>
      </c>
      <c r="V47" s="145">
        <f>SUMIFS(Table2[NewPointsAway],Table2[GameDate], "&lt;=" &amp; $A47, Table2[AwayTeam], V$1)+SUMIFS(Table2[NewPointsHome],Table2[GameDate], "&lt;=" &amp; $A47, Table2[HomeTeam], V$1)</f>
        <v>19</v>
      </c>
      <c r="W47" s="145">
        <f>SUMIFS(Table2[NewPointsAway],Table2[GameDate], "&lt;=" &amp; $A47, Table2[AwayTeam], W$1)+SUMIFS(Table2[NewPointsHome],Table2[GameDate], "&lt;=" &amp; $A47, Table2[HomeTeam], W$1)</f>
        <v>21</v>
      </c>
      <c r="X47" s="145">
        <f>SUMIFS(Table2[NewPointsAway],Table2[GameDate], "&lt;=" &amp; $A47, Table2[AwayTeam], X$1)+SUMIFS(Table2[NewPointsHome],Table2[GameDate], "&lt;=" &amp; $A47, Table2[HomeTeam], X$1)</f>
        <v>19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15</v>
      </c>
      <c r="AA47" s="145">
        <f>SUMIFS(Table2[NewPointsAway],Table2[GameDate], "&lt;=" &amp; $A47, Table2[AwayTeam], AA$1)+SUMIFS(Table2[NewPointsHome],Table2[GameDate], "&lt;=" &amp; $A47, Table2[HomeTeam], AA$1)</f>
        <v>18</v>
      </c>
      <c r="AB47" s="145">
        <f>SUMIFS(Table2[NewPointsAway],Table2[GameDate], "&lt;=" &amp; $A47, Table2[AwayTeam], AB$1)+SUMIFS(Table2[NewPointsHome],Table2[GameDate], "&lt;=" &amp; $A47, Table2[HomeTeam], AB$1)</f>
        <v>17</v>
      </c>
      <c r="AC47" s="145">
        <f>SUMIFS(Table2[NewPointsAway],Table2[GameDate], "&lt;=" &amp; $A47, Table2[AwayTeam], AC$1)+SUMIFS(Table2[NewPointsHome],Table2[GameDate], "&lt;=" &amp; $A47, Table2[HomeTeam], AC$1)</f>
        <v>18</v>
      </c>
      <c r="AD47" s="145">
        <f>SUMIFS(Table2[NewPointsAway],Table2[GameDate], "&lt;=" &amp; $A47, Table2[AwayTeam], AD$1)+SUMIFS(Table2[NewPointsHome],Table2[GameDate], "&lt;=" &amp; $A47, Table2[HomeTeam], AD$1)</f>
        <v>17</v>
      </c>
      <c r="AE47" s="145">
        <f>SUMIFS(Table2[NewPointsAway],Table2[GameDate], "&lt;=" &amp; $A47, Table2[AwayTeam], AE$1)+SUMIFS(Table2[NewPointsHome],Table2[GameDate], "&lt;=" &amp; $A47, Table2[HomeTeam], AE$1)</f>
        <v>18</v>
      </c>
      <c r="AF47" s="145">
        <f>SUMIFS(Table2[NewPointsAway],Table2[GameDate], "&lt;=" &amp; $A47, Table2[AwayTeam], AF$1)+SUMIFS(Table2[NewPointsHome],Table2[GameDate], "&lt;=" &amp; $A47, Table2[HomeTeam], AF$1)</f>
        <v>20</v>
      </c>
      <c r="AG47" s="145">
        <f>SUMIFS(Table2[NewPointsAway],Table2[GameDate], "&lt;=" &amp; $A47, Table2[AwayTeam], AG$1)+SUMIFS(Table2[NewPointsHome],Table2[GameDate], "&lt;=" &amp; $A47, Table2[HomeTeam], AG$1)</f>
        <v>17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23</v>
      </c>
      <c r="C48" s="145">
        <f>SUMIFS(Table2[NewPointsAway],Table2[GameDate], "&lt;=" &amp; $A48, Table2[AwayTeam], C$1)+SUMIFS(Table2[NewPointsHome],Table2[GameDate], "&lt;=" &amp; $A48, Table2[HomeTeam], C$1)</f>
        <v>22</v>
      </c>
      <c r="D48" s="145">
        <f>SUMIFS(Table2[NewPointsAway],Table2[GameDate], "&lt;=" &amp; $A48, Table2[AwayTeam], D$1)+SUMIFS(Table2[NewPointsHome],Table2[GameDate], "&lt;=" &amp; $A48, Table2[HomeTeam], D$1)</f>
        <v>14</v>
      </c>
      <c r="E48" s="145">
        <f>SUMIFS(Table2[NewPointsAway],Table2[GameDate], "&lt;=" &amp; $A48, Table2[AwayTeam], E$1)+SUMIFS(Table2[NewPointsHome],Table2[GameDate], "&lt;=" &amp; $A48, Table2[HomeTeam], E$1)</f>
        <v>22</v>
      </c>
      <c r="F48" s="145">
        <f>SUMIFS(Table2[NewPointsAway],Table2[GameDate], "&lt;=" &amp; $A48, Table2[AwayTeam], F$1)+SUMIFS(Table2[NewPointsHome],Table2[GameDate], "&lt;=" &amp; $A48, Table2[HomeTeam], F$1)</f>
        <v>17</v>
      </c>
      <c r="G48" s="145">
        <f>SUMIFS(Table2[NewPointsAway],Table2[GameDate], "&lt;=" &amp; $A48, Table2[AwayTeam], G$1)+SUMIFS(Table2[NewPointsHome],Table2[GameDate], "&lt;=" &amp; $A48, Table2[HomeTeam], G$1)</f>
        <v>10</v>
      </c>
      <c r="H48" s="145">
        <f>SUMIFS(Table2[NewPointsAway],Table2[GameDate], "&lt;=" &amp; $A48, Table2[AwayTeam], H$1)+SUMIFS(Table2[NewPointsHome],Table2[GameDate], "&lt;=" &amp; $A48, Table2[HomeTeam], H$1)</f>
        <v>19</v>
      </c>
      <c r="I48" s="145">
        <f>SUMIFS(Table2[NewPointsAway],Table2[GameDate], "&lt;=" &amp; $A48, Table2[AwayTeam], I$1)+SUMIFS(Table2[NewPointsHome],Table2[GameDate], "&lt;=" &amp; $A48, Table2[HomeTeam], I$1)</f>
        <v>27</v>
      </c>
      <c r="J48" s="145">
        <f>SUMIFS(Table2[NewPointsAway],Table2[GameDate], "&lt;=" &amp; $A48, Table2[AwayTeam], J$1)+SUMIFS(Table2[NewPointsHome],Table2[GameDate], "&lt;=" &amp; $A48, Table2[HomeTeam], J$1)</f>
        <v>23</v>
      </c>
      <c r="K48" s="145">
        <f>SUMIFS(Table2[NewPointsAway],Table2[GameDate], "&lt;=" &amp; $A48, Table2[AwayTeam], K$1)+SUMIFS(Table2[NewPointsHome],Table2[GameDate], "&lt;=" &amp; $A48, Table2[HomeTeam], K$1)</f>
        <v>18</v>
      </c>
      <c r="L48" s="145">
        <f>SUMIFS(Table2[NewPointsAway],Table2[GameDate], "&lt;=" &amp; $A48, Table2[AwayTeam], L$1)+SUMIFS(Table2[NewPointsHome],Table2[GameDate], "&lt;=" &amp; $A48, Table2[HomeTeam], L$1)</f>
        <v>20</v>
      </c>
      <c r="M48" s="145">
        <f>SUMIFS(Table2[NewPointsAway],Table2[GameDate], "&lt;=" &amp; $A48, Table2[AwayTeam], M$1)+SUMIFS(Table2[NewPointsHome],Table2[GameDate], "&lt;=" &amp; $A48, Table2[HomeTeam], M$1)</f>
        <v>17</v>
      </c>
      <c r="N48" s="145">
        <f>SUMIFS(Table2[NewPointsAway],Table2[GameDate], "&lt;=" &amp; $A48, Table2[AwayTeam], N$1)+SUMIFS(Table2[NewPointsHome],Table2[GameDate], "&lt;=" &amp; $A48, Table2[HomeTeam], N$1)</f>
        <v>20</v>
      </c>
      <c r="O48" s="145">
        <f>SUMIFS(Table2[NewPointsAway],Table2[GameDate], "&lt;=" &amp; $A48, Table2[AwayTeam], O$1)+SUMIFS(Table2[NewPointsHome],Table2[GameDate], "&lt;=" &amp; $A48, Table2[HomeTeam], O$1)</f>
        <v>18</v>
      </c>
      <c r="P48" s="145">
        <f>SUMIFS(Table2[NewPointsAway],Table2[GameDate], "&lt;=" &amp; $A48, Table2[AwayTeam], P$1)+SUMIFS(Table2[NewPointsHome],Table2[GameDate], "&lt;=" &amp; $A48, Table2[HomeTeam], P$1)</f>
        <v>22</v>
      </c>
      <c r="Q48" s="145">
        <f>SUMIFS(Table2[NewPointsAway],Table2[GameDate], "&lt;=" &amp; $A48, Table2[AwayTeam], Q$1)+SUMIFS(Table2[NewPointsHome],Table2[GameDate], "&lt;=" &amp; $A48, Table2[HomeTeam], Q$1)</f>
        <v>23</v>
      </c>
      <c r="R48" s="145">
        <f>SUMIFS(Table2[NewPointsAway],Table2[GameDate], "&lt;=" &amp; $A48, Table2[AwayTeam], R$1)+SUMIFS(Table2[NewPointsHome],Table2[GameDate], "&lt;=" &amp; $A48, Table2[HomeTeam], R$1)</f>
        <v>14</v>
      </c>
      <c r="S48" s="145">
        <f>SUMIFS(Table2[NewPointsAway],Table2[GameDate], "&lt;=" &amp; $A48, Table2[AwayTeam], S$1)+SUMIFS(Table2[NewPointsHome],Table2[GameDate], "&lt;=" &amp; $A48, Table2[HomeTeam], S$1)</f>
        <v>18</v>
      </c>
      <c r="T48" s="145">
        <f>SUMIFS(Table2[NewPointsAway],Table2[GameDate], "&lt;=" &amp; $A48, Table2[AwayTeam], T$1)+SUMIFS(Table2[NewPointsHome],Table2[GameDate], "&lt;=" &amp; $A48, Table2[HomeTeam], T$1)</f>
        <v>20</v>
      </c>
      <c r="U48" s="145">
        <f>SUMIFS(Table2[NewPointsAway],Table2[GameDate], "&lt;=" &amp; $A48, Table2[AwayTeam], U$1)+SUMIFS(Table2[NewPointsHome],Table2[GameDate], "&lt;=" &amp; $A48, Table2[HomeTeam], U$1)</f>
        <v>20</v>
      </c>
      <c r="V48" s="145">
        <f>SUMIFS(Table2[NewPointsAway],Table2[GameDate], "&lt;=" &amp; $A48, Table2[AwayTeam], V$1)+SUMIFS(Table2[NewPointsHome],Table2[GameDate], "&lt;=" &amp; $A48, Table2[HomeTeam], V$1)</f>
        <v>19</v>
      </c>
      <c r="W48" s="145">
        <f>SUMIFS(Table2[NewPointsAway],Table2[GameDate], "&lt;=" &amp; $A48, Table2[AwayTeam], W$1)+SUMIFS(Table2[NewPointsHome],Table2[GameDate], "&lt;=" &amp; $A48, Table2[HomeTeam], W$1)</f>
        <v>21</v>
      </c>
      <c r="X48" s="145">
        <f>SUMIFS(Table2[NewPointsAway],Table2[GameDate], "&lt;=" &amp; $A48, Table2[AwayTeam], X$1)+SUMIFS(Table2[NewPointsHome],Table2[GameDate], "&lt;=" &amp; $A48, Table2[HomeTeam], X$1)</f>
        <v>19</v>
      </c>
      <c r="Y48" s="145">
        <f>SUMIFS(Table2[NewPointsAway],Table2[GameDate], "&lt;=" &amp; $A48, Table2[AwayTeam], Y$1)+SUMIFS(Table2[NewPointsHome],Table2[GameDate], "&lt;=" &amp; $A48, Table2[HomeTeam], Y$1)</f>
        <v>19</v>
      </c>
      <c r="Z48" s="145">
        <f>SUMIFS(Table2[NewPointsAway],Table2[GameDate], "&lt;=" &amp; $A48, Table2[AwayTeam], Z$1)+SUMIFS(Table2[NewPointsHome],Table2[GameDate], "&lt;=" &amp; $A48, Table2[HomeTeam], Z$1)</f>
        <v>15</v>
      </c>
      <c r="AA48" s="145">
        <f>SUMIFS(Table2[NewPointsAway],Table2[GameDate], "&lt;=" &amp; $A48, Table2[AwayTeam], AA$1)+SUMIFS(Table2[NewPointsHome],Table2[GameDate], "&lt;=" &amp; $A48, Table2[HomeTeam], AA$1)</f>
        <v>18</v>
      </c>
      <c r="AB48" s="145">
        <f>SUMIFS(Table2[NewPointsAway],Table2[GameDate], "&lt;=" &amp; $A48, Table2[AwayTeam], AB$1)+SUMIFS(Table2[NewPointsHome],Table2[GameDate], "&lt;=" &amp; $A48, Table2[HomeTeam], AB$1)</f>
        <v>17</v>
      </c>
      <c r="AC48" s="145">
        <f>SUMIFS(Table2[NewPointsAway],Table2[GameDate], "&lt;=" &amp; $A48, Table2[AwayTeam], AC$1)+SUMIFS(Table2[NewPointsHome],Table2[GameDate], "&lt;=" &amp; $A48, Table2[HomeTeam], AC$1)</f>
        <v>18</v>
      </c>
      <c r="AD48" s="145">
        <f>SUMIFS(Table2[NewPointsAway],Table2[GameDate], "&lt;=" &amp; $A48, Table2[AwayTeam], AD$1)+SUMIFS(Table2[NewPointsHome],Table2[GameDate], "&lt;=" &amp; $A48, Table2[HomeTeam], AD$1)</f>
        <v>17</v>
      </c>
      <c r="AE48" s="145">
        <f>SUMIFS(Table2[NewPointsAway],Table2[GameDate], "&lt;=" &amp; $A48, Table2[AwayTeam], AE$1)+SUMIFS(Table2[NewPointsHome],Table2[GameDate], "&lt;=" &amp; $A48, Table2[HomeTeam], AE$1)</f>
        <v>18</v>
      </c>
      <c r="AF48" s="145">
        <f>SUMIFS(Table2[NewPointsAway],Table2[GameDate], "&lt;=" &amp; $A48, Table2[AwayTeam], AF$1)+SUMIFS(Table2[NewPointsHome],Table2[GameDate], "&lt;=" &amp; $A48, Table2[HomeTeam], AF$1)</f>
        <v>20</v>
      </c>
      <c r="AG48" s="145">
        <f>SUMIFS(Table2[NewPointsAway],Table2[GameDate], "&lt;=" &amp; $A48, Table2[AwayTeam], AG$1)+SUMIFS(Table2[NewPointsHome],Table2[GameDate], "&lt;=" &amp; $A48, Table2[HomeTeam], AG$1)</f>
        <v>17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23</v>
      </c>
      <c r="C49" s="145">
        <f>SUMIFS(Table2[NewPointsAway],Table2[GameDate], "&lt;=" &amp; $A49, Table2[AwayTeam], C$1)+SUMIFS(Table2[NewPointsHome],Table2[GameDate], "&lt;=" &amp; $A49, Table2[HomeTeam], C$1)</f>
        <v>22</v>
      </c>
      <c r="D49" s="145">
        <f>SUMIFS(Table2[NewPointsAway],Table2[GameDate], "&lt;=" &amp; $A49, Table2[AwayTeam], D$1)+SUMIFS(Table2[NewPointsHome],Table2[GameDate], "&lt;=" &amp; $A49, Table2[HomeTeam], D$1)</f>
        <v>14</v>
      </c>
      <c r="E49" s="145">
        <f>SUMIFS(Table2[NewPointsAway],Table2[GameDate], "&lt;=" &amp; $A49, Table2[AwayTeam], E$1)+SUMIFS(Table2[NewPointsHome],Table2[GameDate], "&lt;=" &amp; $A49, Table2[HomeTeam], E$1)</f>
        <v>22</v>
      </c>
      <c r="F49" s="145">
        <f>SUMIFS(Table2[NewPointsAway],Table2[GameDate], "&lt;=" &amp; $A49, Table2[AwayTeam], F$1)+SUMIFS(Table2[NewPointsHome],Table2[GameDate], "&lt;=" &amp; $A49, Table2[HomeTeam], F$1)</f>
        <v>17</v>
      </c>
      <c r="G49" s="145">
        <f>SUMIFS(Table2[NewPointsAway],Table2[GameDate], "&lt;=" &amp; $A49, Table2[AwayTeam], G$1)+SUMIFS(Table2[NewPointsHome],Table2[GameDate], "&lt;=" &amp; $A49, Table2[HomeTeam], G$1)</f>
        <v>10</v>
      </c>
      <c r="H49" s="145">
        <f>SUMIFS(Table2[NewPointsAway],Table2[GameDate], "&lt;=" &amp; $A49, Table2[AwayTeam], H$1)+SUMIFS(Table2[NewPointsHome],Table2[GameDate], "&lt;=" &amp; $A49, Table2[HomeTeam], H$1)</f>
        <v>19</v>
      </c>
      <c r="I49" s="145">
        <f>SUMIFS(Table2[NewPointsAway],Table2[GameDate], "&lt;=" &amp; $A49, Table2[AwayTeam], I$1)+SUMIFS(Table2[NewPointsHome],Table2[GameDate], "&lt;=" &amp; $A49, Table2[HomeTeam], I$1)</f>
        <v>27</v>
      </c>
      <c r="J49" s="145">
        <f>SUMIFS(Table2[NewPointsAway],Table2[GameDate], "&lt;=" &amp; $A49, Table2[AwayTeam], J$1)+SUMIFS(Table2[NewPointsHome],Table2[GameDate], "&lt;=" &amp; $A49, Table2[HomeTeam], J$1)</f>
        <v>23</v>
      </c>
      <c r="K49" s="145">
        <f>SUMIFS(Table2[NewPointsAway],Table2[GameDate], "&lt;=" &amp; $A49, Table2[AwayTeam], K$1)+SUMIFS(Table2[NewPointsHome],Table2[GameDate], "&lt;=" &amp; $A49, Table2[HomeTeam], K$1)</f>
        <v>18</v>
      </c>
      <c r="L49" s="145">
        <f>SUMIFS(Table2[NewPointsAway],Table2[GameDate], "&lt;=" &amp; $A49, Table2[AwayTeam], L$1)+SUMIFS(Table2[NewPointsHome],Table2[GameDate], "&lt;=" &amp; $A49, Table2[HomeTeam], L$1)</f>
        <v>20</v>
      </c>
      <c r="M49" s="145">
        <f>SUMIFS(Table2[NewPointsAway],Table2[GameDate], "&lt;=" &amp; $A49, Table2[AwayTeam], M$1)+SUMIFS(Table2[NewPointsHome],Table2[GameDate], "&lt;=" &amp; $A49, Table2[HomeTeam], M$1)</f>
        <v>17</v>
      </c>
      <c r="N49" s="145">
        <f>SUMIFS(Table2[NewPointsAway],Table2[GameDate], "&lt;=" &amp; $A49, Table2[AwayTeam], N$1)+SUMIFS(Table2[NewPointsHome],Table2[GameDate], "&lt;=" &amp; $A49, Table2[HomeTeam], N$1)</f>
        <v>20</v>
      </c>
      <c r="O49" s="145">
        <f>SUMIFS(Table2[NewPointsAway],Table2[GameDate], "&lt;=" &amp; $A49, Table2[AwayTeam], O$1)+SUMIFS(Table2[NewPointsHome],Table2[GameDate], "&lt;=" &amp; $A49, Table2[HomeTeam], O$1)</f>
        <v>18</v>
      </c>
      <c r="P49" s="145">
        <f>SUMIFS(Table2[NewPointsAway],Table2[GameDate], "&lt;=" &amp; $A49, Table2[AwayTeam], P$1)+SUMIFS(Table2[NewPointsHome],Table2[GameDate], "&lt;=" &amp; $A49, Table2[HomeTeam], P$1)</f>
        <v>22</v>
      </c>
      <c r="Q49" s="145">
        <f>SUMIFS(Table2[NewPointsAway],Table2[GameDate], "&lt;=" &amp; $A49, Table2[AwayTeam], Q$1)+SUMIFS(Table2[NewPointsHome],Table2[GameDate], "&lt;=" &amp; $A49, Table2[HomeTeam], Q$1)</f>
        <v>23</v>
      </c>
      <c r="R49" s="145">
        <f>SUMIFS(Table2[NewPointsAway],Table2[GameDate], "&lt;=" &amp; $A49, Table2[AwayTeam], R$1)+SUMIFS(Table2[NewPointsHome],Table2[GameDate], "&lt;=" &amp; $A49, Table2[HomeTeam], R$1)</f>
        <v>14</v>
      </c>
      <c r="S49" s="145">
        <f>SUMIFS(Table2[NewPointsAway],Table2[GameDate], "&lt;=" &amp; $A49, Table2[AwayTeam], S$1)+SUMIFS(Table2[NewPointsHome],Table2[GameDate], "&lt;=" &amp; $A49, Table2[HomeTeam], S$1)</f>
        <v>18</v>
      </c>
      <c r="T49" s="145">
        <f>SUMIFS(Table2[NewPointsAway],Table2[GameDate], "&lt;=" &amp; $A49, Table2[AwayTeam], T$1)+SUMIFS(Table2[NewPointsHome],Table2[GameDate], "&lt;=" &amp; $A49, Table2[HomeTeam], T$1)</f>
        <v>20</v>
      </c>
      <c r="U49" s="145">
        <f>SUMIFS(Table2[NewPointsAway],Table2[GameDate], "&lt;=" &amp; $A49, Table2[AwayTeam], U$1)+SUMIFS(Table2[NewPointsHome],Table2[GameDate], "&lt;=" &amp; $A49, Table2[HomeTeam], U$1)</f>
        <v>20</v>
      </c>
      <c r="V49" s="145">
        <f>SUMIFS(Table2[NewPointsAway],Table2[GameDate], "&lt;=" &amp; $A49, Table2[AwayTeam], V$1)+SUMIFS(Table2[NewPointsHome],Table2[GameDate], "&lt;=" &amp; $A49, Table2[HomeTeam], V$1)</f>
        <v>19</v>
      </c>
      <c r="W49" s="145">
        <f>SUMIFS(Table2[NewPointsAway],Table2[GameDate], "&lt;=" &amp; $A49, Table2[AwayTeam], W$1)+SUMIFS(Table2[NewPointsHome],Table2[GameDate], "&lt;=" &amp; $A49, Table2[HomeTeam], W$1)</f>
        <v>21</v>
      </c>
      <c r="X49" s="145">
        <f>SUMIFS(Table2[NewPointsAway],Table2[GameDate], "&lt;=" &amp; $A49, Table2[AwayTeam], X$1)+SUMIFS(Table2[NewPointsHome],Table2[GameDate], "&lt;=" &amp; $A49, Table2[HomeTeam], X$1)</f>
        <v>19</v>
      </c>
      <c r="Y49" s="145">
        <f>SUMIFS(Table2[NewPointsAway],Table2[GameDate], "&lt;=" &amp; $A49, Table2[AwayTeam], Y$1)+SUMIFS(Table2[NewPointsHome],Table2[GameDate], "&lt;=" &amp; $A49, Table2[HomeTeam], Y$1)</f>
        <v>19</v>
      </c>
      <c r="Z49" s="145">
        <f>SUMIFS(Table2[NewPointsAway],Table2[GameDate], "&lt;=" &amp; $A49, Table2[AwayTeam], Z$1)+SUMIFS(Table2[NewPointsHome],Table2[GameDate], "&lt;=" &amp; $A49, Table2[HomeTeam], Z$1)</f>
        <v>15</v>
      </c>
      <c r="AA49" s="145">
        <f>SUMIFS(Table2[NewPointsAway],Table2[GameDate], "&lt;=" &amp; $A49, Table2[AwayTeam], AA$1)+SUMIFS(Table2[NewPointsHome],Table2[GameDate], "&lt;=" &amp; $A49, Table2[HomeTeam], AA$1)</f>
        <v>18</v>
      </c>
      <c r="AB49" s="145">
        <f>SUMIFS(Table2[NewPointsAway],Table2[GameDate], "&lt;=" &amp; $A49, Table2[AwayTeam], AB$1)+SUMIFS(Table2[NewPointsHome],Table2[GameDate], "&lt;=" &amp; $A49, Table2[HomeTeam], AB$1)</f>
        <v>17</v>
      </c>
      <c r="AC49" s="145">
        <f>SUMIFS(Table2[NewPointsAway],Table2[GameDate], "&lt;=" &amp; $A49, Table2[AwayTeam], AC$1)+SUMIFS(Table2[NewPointsHome],Table2[GameDate], "&lt;=" &amp; $A49, Table2[HomeTeam], AC$1)</f>
        <v>18</v>
      </c>
      <c r="AD49" s="145">
        <f>SUMIFS(Table2[NewPointsAway],Table2[GameDate], "&lt;=" &amp; $A49, Table2[AwayTeam], AD$1)+SUMIFS(Table2[NewPointsHome],Table2[GameDate], "&lt;=" &amp; $A49, Table2[HomeTeam], AD$1)</f>
        <v>17</v>
      </c>
      <c r="AE49" s="145">
        <f>SUMIFS(Table2[NewPointsAway],Table2[GameDate], "&lt;=" &amp; $A49, Table2[AwayTeam], AE$1)+SUMIFS(Table2[NewPointsHome],Table2[GameDate], "&lt;=" &amp; $A49, Table2[HomeTeam], AE$1)</f>
        <v>18</v>
      </c>
      <c r="AF49" s="145">
        <f>SUMIFS(Table2[NewPointsAway],Table2[GameDate], "&lt;=" &amp; $A49, Table2[AwayTeam], AF$1)+SUMIFS(Table2[NewPointsHome],Table2[GameDate], "&lt;=" &amp; $A49, Table2[HomeTeam], AF$1)</f>
        <v>20</v>
      </c>
      <c r="AG49" s="145">
        <f>SUMIFS(Table2[NewPointsAway],Table2[GameDate], "&lt;=" &amp; $A49, Table2[AwayTeam], AG$1)+SUMIFS(Table2[NewPointsHome],Table2[GameDate], "&lt;=" &amp; $A49, Table2[HomeTeam], AG$1)</f>
        <v>17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23</v>
      </c>
      <c r="C50" s="145">
        <f>SUMIFS(Table2[NewPointsAway],Table2[GameDate], "&lt;=" &amp; $A50, Table2[AwayTeam], C$1)+SUMIFS(Table2[NewPointsHome],Table2[GameDate], "&lt;=" &amp; $A50, Table2[HomeTeam], C$1)</f>
        <v>22</v>
      </c>
      <c r="D50" s="145">
        <f>SUMIFS(Table2[NewPointsAway],Table2[GameDate], "&lt;=" &amp; $A50, Table2[AwayTeam], D$1)+SUMIFS(Table2[NewPointsHome],Table2[GameDate], "&lt;=" &amp; $A50, Table2[HomeTeam], D$1)</f>
        <v>14</v>
      </c>
      <c r="E50" s="145">
        <f>SUMIFS(Table2[NewPointsAway],Table2[GameDate], "&lt;=" &amp; $A50, Table2[AwayTeam], E$1)+SUMIFS(Table2[NewPointsHome],Table2[GameDate], "&lt;=" &amp; $A50, Table2[HomeTeam], E$1)</f>
        <v>22</v>
      </c>
      <c r="F50" s="145">
        <f>SUMIFS(Table2[NewPointsAway],Table2[GameDate], "&lt;=" &amp; $A50, Table2[AwayTeam], F$1)+SUMIFS(Table2[NewPointsHome],Table2[GameDate], "&lt;=" &amp; $A50, Table2[HomeTeam], F$1)</f>
        <v>17</v>
      </c>
      <c r="G50" s="145">
        <f>SUMIFS(Table2[NewPointsAway],Table2[GameDate], "&lt;=" &amp; $A50, Table2[AwayTeam], G$1)+SUMIFS(Table2[NewPointsHome],Table2[GameDate], "&lt;=" &amp; $A50, Table2[HomeTeam], G$1)</f>
        <v>10</v>
      </c>
      <c r="H50" s="145">
        <f>SUMIFS(Table2[NewPointsAway],Table2[GameDate], "&lt;=" &amp; $A50, Table2[AwayTeam], H$1)+SUMIFS(Table2[NewPointsHome],Table2[GameDate], "&lt;=" &amp; $A50, Table2[HomeTeam], H$1)</f>
        <v>19</v>
      </c>
      <c r="I50" s="145">
        <f>SUMIFS(Table2[NewPointsAway],Table2[GameDate], "&lt;=" &amp; $A50, Table2[AwayTeam], I$1)+SUMIFS(Table2[NewPointsHome],Table2[GameDate], "&lt;=" &amp; $A50, Table2[HomeTeam], I$1)</f>
        <v>27</v>
      </c>
      <c r="J50" s="145">
        <f>SUMIFS(Table2[NewPointsAway],Table2[GameDate], "&lt;=" &amp; $A50, Table2[AwayTeam], J$1)+SUMIFS(Table2[NewPointsHome],Table2[GameDate], "&lt;=" &amp; $A50, Table2[HomeTeam], J$1)</f>
        <v>23</v>
      </c>
      <c r="K50" s="145">
        <f>SUMIFS(Table2[NewPointsAway],Table2[GameDate], "&lt;=" &amp; $A50, Table2[AwayTeam], K$1)+SUMIFS(Table2[NewPointsHome],Table2[GameDate], "&lt;=" &amp; $A50, Table2[HomeTeam], K$1)</f>
        <v>18</v>
      </c>
      <c r="L50" s="145">
        <f>SUMIFS(Table2[NewPointsAway],Table2[GameDate], "&lt;=" &amp; $A50, Table2[AwayTeam], L$1)+SUMIFS(Table2[NewPointsHome],Table2[GameDate], "&lt;=" &amp; $A50, Table2[HomeTeam], L$1)</f>
        <v>20</v>
      </c>
      <c r="M50" s="145">
        <f>SUMIFS(Table2[NewPointsAway],Table2[GameDate], "&lt;=" &amp; $A50, Table2[AwayTeam], M$1)+SUMIFS(Table2[NewPointsHome],Table2[GameDate], "&lt;=" &amp; $A50, Table2[HomeTeam], M$1)</f>
        <v>17</v>
      </c>
      <c r="N50" s="145">
        <f>SUMIFS(Table2[NewPointsAway],Table2[GameDate], "&lt;=" &amp; $A50, Table2[AwayTeam], N$1)+SUMIFS(Table2[NewPointsHome],Table2[GameDate], "&lt;=" &amp; $A50, Table2[HomeTeam], N$1)</f>
        <v>20</v>
      </c>
      <c r="O50" s="145">
        <f>SUMIFS(Table2[NewPointsAway],Table2[GameDate], "&lt;=" &amp; $A50, Table2[AwayTeam], O$1)+SUMIFS(Table2[NewPointsHome],Table2[GameDate], "&lt;=" &amp; $A50, Table2[HomeTeam], O$1)</f>
        <v>18</v>
      </c>
      <c r="P50" s="145">
        <f>SUMIFS(Table2[NewPointsAway],Table2[GameDate], "&lt;=" &amp; $A50, Table2[AwayTeam], P$1)+SUMIFS(Table2[NewPointsHome],Table2[GameDate], "&lt;=" &amp; $A50, Table2[HomeTeam], P$1)</f>
        <v>22</v>
      </c>
      <c r="Q50" s="145">
        <f>SUMIFS(Table2[NewPointsAway],Table2[GameDate], "&lt;=" &amp; $A50, Table2[AwayTeam], Q$1)+SUMIFS(Table2[NewPointsHome],Table2[GameDate], "&lt;=" &amp; $A50, Table2[HomeTeam], Q$1)</f>
        <v>23</v>
      </c>
      <c r="R50" s="145">
        <f>SUMIFS(Table2[NewPointsAway],Table2[GameDate], "&lt;=" &amp; $A50, Table2[AwayTeam], R$1)+SUMIFS(Table2[NewPointsHome],Table2[GameDate], "&lt;=" &amp; $A50, Table2[HomeTeam], R$1)</f>
        <v>14</v>
      </c>
      <c r="S50" s="145">
        <f>SUMIFS(Table2[NewPointsAway],Table2[GameDate], "&lt;=" &amp; $A50, Table2[AwayTeam], S$1)+SUMIFS(Table2[NewPointsHome],Table2[GameDate], "&lt;=" &amp; $A50, Table2[HomeTeam], S$1)</f>
        <v>18</v>
      </c>
      <c r="T50" s="145">
        <f>SUMIFS(Table2[NewPointsAway],Table2[GameDate], "&lt;=" &amp; $A50, Table2[AwayTeam], T$1)+SUMIFS(Table2[NewPointsHome],Table2[GameDate], "&lt;=" &amp; $A50, Table2[HomeTeam], T$1)</f>
        <v>20</v>
      </c>
      <c r="U50" s="145">
        <f>SUMIFS(Table2[NewPointsAway],Table2[GameDate], "&lt;=" &amp; $A50, Table2[AwayTeam], U$1)+SUMIFS(Table2[NewPointsHome],Table2[GameDate], "&lt;=" &amp; $A50, Table2[HomeTeam], U$1)</f>
        <v>20</v>
      </c>
      <c r="V50" s="145">
        <f>SUMIFS(Table2[NewPointsAway],Table2[GameDate], "&lt;=" &amp; $A50, Table2[AwayTeam], V$1)+SUMIFS(Table2[NewPointsHome],Table2[GameDate], "&lt;=" &amp; $A50, Table2[HomeTeam], V$1)</f>
        <v>19</v>
      </c>
      <c r="W50" s="145">
        <f>SUMIFS(Table2[NewPointsAway],Table2[GameDate], "&lt;=" &amp; $A50, Table2[AwayTeam], W$1)+SUMIFS(Table2[NewPointsHome],Table2[GameDate], "&lt;=" &amp; $A50, Table2[HomeTeam], W$1)</f>
        <v>21</v>
      </c>
      <c r="X50" s="145">
        <f>SUMIFS(Table2[NewPointsAway],Table2[GameDate], "&lt;=" &amp; $A50, Table2[AwayTeam], X$1)+SUMIFS(Table2[NewPointsHome],Table2[GameDate], "&lt;=" &amp; $A50, Table2[HomeTeam], X$1)</f>
        <v>19</v>
      </c>
      <c r="Y50" s="145">
        <f>SUMIFS(Table2[NewPointsAway],Table2[GameDate], "&lt;=" &amp; $A50, Table2[AwayTeam], Y$1)+SUMIFS(Table2[NewPointsHome],Table2[GameDate], "&lt;=" &amp; $A50, Table2[HomeTeam], Y$1)</f>
        <v>19</v>
      </c>
      <c r="Z50" s="145">
        <f>SUMIFS(Table2[NewPointsAway],Table2[GameDate], "&lt;=" &amp; $A50, Table2[AwayTeam], Z$1)+SUMIFS(Table2[NewPointsHome],Table2[GameDate], "&lt;=" &amp; $A50, Table2[HomeTeam], Z$1)</f>
        <v>15</v>
      </c>
      <c r="AA50" s="145">
        <f>SUMIFS(Table2[NewPointsAway],Table2[GameDate], "&lt;=" &amp; $A50, Table2[AwayTeam], AA$1)+SUMIFS(Table2[NewPointsHome],Table2[GameDate], "&lt;=" &amp; $A50, Table2[HomeTeam], AA$1)</f>
        <v>18</v>
      </c>
      <c r="AB50" s="145">
        <f>SUMIFS(Table2[NewPointsAway],Table2[GameDate], "&lt;=" &amp; $A50, Table2[AwayTeam], AB$1)+SUMIFS(Table2[NewPointsHome],Table2[GameDate], "&lt;=" &amp; $A50, Table2[HomeTeam], AB$1)</f>
        <v>17</v>
      </c>
      <c r="AC50" s="145">
        <f>SUMIFS(Table2[NewPointsAway],Table2[GameDate], "&lt;=" &amp; $A50, Table2[AwayTeam], AC$1)+SUMIFS(Table2[NewPointsHome],Table2[GameDate], "&lt;=" &amp; $A50, Table2[HomeTeam], AC$1)</f>
        <v>18</v>
      </c>
      <c r="AD50" s="145">
        <f>SUMIFS(Table2[NewPointsAway],Table2[GameDate], "&lt;=" &amp; $A50, Table2[AwayTeam], AD$1)+SUMIFS(Table2[NewPointsHome],Table2[GameDate], "&lt;=" &amp; $A50, Table2[HomeTeam], AD$1)</f>
        <v>17</v>
      </c>
      <c r="AE50" s="145">
        <f>SUMIFS(Table2[NewPointsAway],Table2[GameDate], "&lt;=" &amp; $A50, Table2[AwayTeam], AE$1)+SUMIFS(Table2[NewPointsHome],Table2[GameDate], "&lt;=" &amp; $A50, Table2[HomeTeam], AE$1)</f>
        <v>18</v>
      </c>
      <c r="AF50" s="145">
        <f>SUMIFS(Table2[NewPointsAway],Table2[GameDate], "&lt;=" &amp; $A50, Table2[AwayTeam], AF$1)+SUMIFS(Table2[NewPointsHome],Table2[GameDate], "&lt;=" &amp; $A50, Table2[HomeTeam], AF$1)</f>
        <v>20</v>
      </c>
      <c r="AG50" s="145">
        <f>SUMIFS(Table2[NewPointsAway],Table2[GameDate], "&lt;=" &amp; $A50, Table2[AwayTeam], AG$1)+SUMIFS(Table2[NewPointsHome],Table2[GameDate], "&lt;=" &amp; $A50, Table2[HomeTeam], AG$1)</f>
        <v>17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23</v>
      </c>
      <c r="C51" s="145">
        <f>SUMIFS(Table2[NewPointsAway],Table2[GameDate], "&lt;=" &amp; $A51, Table2[AwayTeam], C$1)+SUMIFS(Table2[NewPointsHome],Table2[GameDate], "&lt;=" &amp; $A51, Table2[HomeTeam], C$1)</f>
        <v>22</v>
      </c>
      <c r="D51" s="145">
        <f>SUMIFS(Table2[NewPointsAway],Table2[GameDate], "&lt;=" &amp; $A51, Table2[AwayTeam], D$1)+SUMIFS(Table2[NewPointsHome],Table2[GameDate], "&lt;=" &amp; $A51, Table2[HomeTeam], D$1)</f>
        <v>14</v>
      </c>
      <c r="E51" s="145">
        <f>SUMIFS(Table2[NewPointsAway],Table2[GameDate], "&lt;=" &amp; $A51, Table2[AwayTeam], E$1)+SUMIFS(Table2[NewPointsHome],Table2[GameDate], "&lt;=" &amp; $A51, Table2[HomeTeam], E$1)</f>
        <v>22</v>
      </c>
      <c r="F51" s="145">
        <f>SUMIFS(Table2[NewPointsAway],Table2[GameDate], "&lt;=" &amp; $A51, Table2[AwayTeam], F$1)+SUMIFS(Table2[NewPointsHome],Table2[GameDate], "&lt;=" &amp; $A51, Table2[HomeTeam], F$1)</f>
        <v>17</v>
      </c>
      <c r="G51" s="145">
        <f>SUMIFS(Table2[NewPointsAway],Table2[GameDate], "&lt;=" &amp; $A51, Table2[AwayTeam], G$1)+SUMIFS(Table2[NewPointsHome],Table2[GameDate], "&lt;=" &amp; $A51, Table2[HomeTeam], G$1)</f>
        <v>10</v>
      </c>
      <c r="H51" s="145">
        <f>SUMIFS(Table2[NewPointsAway],Table2[GameDate], "&lt;=" &amp; $A51, Table2[AwayTeam], H$1)+SUMIFS(Table2[NewPointsHome],Table2[GameDate], "&lt;=" &amp; $A51, Table2[HomeTeam], H$1)</f>
        <v>19</v>
      </c>
      <c r="I51" s="145">
        <f>SUMIFS(Table2[NewPointsAway],Table2[GameDate], "&lt;=" &amp; $A51, Table2[AwayTeam], I$1)+SUMIFS(Table2[NewPointsHome],Table2[GameDate], "&lt;=" &amp; $A51, Table2[HomeTeam], I$1)</f>
        <v>27</v>
      </c>
      <c r="J51" s="145">
        <f>SUMIFS(Table2[NewPointsAway],Table2[GameDate], "&lt;=" &amp; $A51, Table2[AwayTeam], J$1)+SUMIFS(Table2[NewPointsHome],Table2[GameDate], "&lt;=" &amp; $A51, Table2[HomeTeam], J$1)</f>
        <v>23</v>
      </c>
      <c r="K51" s="145">
        <f>SUMIFS(Table2[NewPointsAway],Table2[GameDate], "&lt;=" &amp; $A51, Table2[AwayTeam], K$1)+SUMIFS(Table2[NewPointsHome],Table2[GameDate], "&lt;=" &amp; $A51, Table2[HomeTeam], K$1)</f>
        <v>18</v>
      </c>
      <c r="L51" s="145">
        <f>SUMIFS(Table2[NewPointsAway],Table2[GameDate], "&lt;=" &amp; $A51, Table2[AwayTeam], L$1)+SUMIFS(Table2[NewPointsHome],Table2[GameDate], "&lt;=" &amp; $A51, Table2[HomeTeam], L$1)</f>
        <v>20</v>
      </c>
      <c r="M51" s="145">
        <f>SUMIFS(Table2[NewPointsAway],Table2[GameDate], "&lt;=" &amp; $A51, Table2[AwayTeam], M$1)+SUMIFS(Table2[NewPointsHome],Table2[GameDate], "&lt;=" &amp; $A51, Table2[HomeTeam], M$1)</f>
        <v>17</v>
      </c>
      <c r="N51" s="145">
        <f>SUMIFS(Table2[NewPointsAway],Table2[GameDate], "&lt;=" &amp; $A51, Table2[AwayTeam], N$1)+SUMIFS(Table2[NewPointsHome],Table2[GameDate], "&lt;=" &amp; $A51, Table2[HomeTeam], N$1)</f>
        <v>20</v>
      </c>
      <c r="O51" s="145">
        <f>SUMIFS(Table2[NewPointsAway],Table2[GameDate], "&lt;=" &amp; $A51, Table2[AwayTeam], O$1)+SUMIFS(Table2[NewPointsHome],Table2[GameDate], "&lt;=" &amp; $A51, Table2[HomeTeam], O$1)</f>
        <v>18</v>
      </c>
      <c r="P51" s="145">
        <f>SUMIFS(Table2[NewPointsAway],Table2[GameDate], "&lt;=" &amp; $A51, Table2[AwayTeam], P$1)+SUMIFS(Table2[NewPointsHome],Table2[GameDate], "&lt;=" &amp; $A51, Table2[HomeTeam], P$1)</f>
        <v>22</v>
      </c>
      <c r="Q51" s="145">
        <f>SUMIFS(Table2[NewPointsAway],Table2[GameDate], "&lt;=" &amp; $A51, Table2[AwayTeam], Q$1)+SUMIFS(Table2[NewPointsHome],Table2[GameDate], "&lt;=" &amp; $A51, Table2[HomeTeam], Q$1)</f>
        <v>23</v>
      </c>
      <c r="R51" s="145">
        <f>SUMIFS(Table2[NewPointsAway],Table2[GameDate], "&lt;=" &amp; $A51, Table2[AwayTeam], R$1)+SUMIFS(Table2[NewPointsHome],Table2[GameDate], "&lt;=" &amp; $A51, Table2[HomeTeam], R$1)</f>
        <v>14</v>
      </c>
      <c r="S51" s="145">
        <f>SUMIFS(Table2[NewPointsAway],Table2[GameDate], "&lt;=" &amp; $A51, Table2[AwayTeam], S$1)+SUMIFS(Table2[NewPointsHome],Table2[GameDate], "&lt;=" &amp; $A51, Table2[HomeTeam], S$1)</f>
        <v>18</v>
      </c>
      <c r="T51" s="145">
        <f>SUMIFS(Table2[NewPointsAway],Table2[GameDate], "&lt;=" &amp; $A51, Table2[AwayTeam], T$1)+SUMIFS(Table2[NewPointsHome],Table2[GameDate], "&lt;=" &amp; $A51, Table2[HomeTeam], T$1)</f>
        <v>20</v>
      </c>
      <c r="U51" s="145">
        <f>SUMIFS(Table2[NewPointsAway],Table2[GameDate], "&lt;=" &amp; $A51, Table2[AwayTeam], U$1)+SUMIFS(Table2[NewPointsHome],Table2[GameDate], "&lt;=" &amp; $A51, Table2[HomeTeam], U$1)</f>
        <v>20</v>
      </c>
      <c r="V51" s="145">
        <f>SUMIFS(Table2[NewPointsAway],Table2[GameDate], "&lt;=" &amp; $A51, Table2[AwayTeam], V$1)+SUMIFS(Table2[NewPointsHome],Table2[GameDate], "&lt;=" &amp; $A51, Table2[HomeTeam], V$1)</f>
        <v>19</v>
      </c>
      <c r="W51" s="145">
        <f>SUMIFS(Table2[NewPointsAway],Table2[GameDate], "&lt;=" &amp; $A51, Table2[AwayTeam], W$1)+SUMIFS(Table2[NewPointsHome],Table2[GameDate], "&lt;=" &amp; $A51, Table2[HomeTeam], W$1)</f>
        <v>21</v>
      </c>
      <c r="X51" s="145">
        <f>SUMIFS(Table2[NewPointsAway],Table2[GameDate], "&lt;=" &amp; $A51, Table2[AwayTeam], X$1)+SUMIFS(Table2[NewPointsHome],Table2[GameDate], "&lt;=" &amp; $A51, Table2[HomeTeam], X$1)</f>
        <v>19</v>
      </c>
      <c r="Y51" s="145">
        <f>SUMIFS(Table2[NewPointsAway],Table2[GameDate], "&lt;=" &amp; $A51, Table2[AwayTeam], Y$1)+SUMIFS(Table2[NewPointsHome],Table2[GameDate], "&lt;=" &amp; $A51, Table2[HomeTeam], Y$1)</f>
        <v>19</v>
      </c>
      <c r="Z51" s="145">
        <f>SUMIFS(Table2[NewPointsAway],Table2[GameDate], "&lt;=" &amp; $A51, Table2[AwayTeam], Z$1)+SUMIFS(Table2[NewPointsHome],Table2[GameDate], "&lt;=" &amp; $A51, Table2[HomeTeam], Z$1)</f>
        <v>15</v>
      </c>
      <c r="AA51" s="145">
        <f>SUMIFS(Table2[NewPointsAway],Table2[GameDate], "&lt;=" &amp; $A51, Table2[AwayTeam], AA$1)+SUMIFS(Table2[NewPointsHome],Table2[GameDate], "&lt;=" &amp; $A51, Table2[HomeTeam], AA$1)</f>
        <v>18</v>
      </c>
      <c r="AB51" s="145">
        <f>SUMIFS(Table2[NewPointsAway],Table2[GameDate], "&lt;=" &amp; $A51, Table2[AwayTeam], AB$1)+SUMIFS(Table2[NewPointsHome],Table2[GameDate], "&lt;=" &amp; $A51, Table2[HomeTeam], AB$1)</f>
        <v>17</v>
      </c>
      <c r="AC51" s="145">
        <f>SUMIFS(Table2[NewPointsAway],Table2[GameDate], "&lt;=" &amp; $A51, Table2[AwayTeam], AC$1)+SUMIFS(Table2[NewPointsHome],Table2[GameDate], "&lt;=" &amp; $A51, Table2[HomeTeam], AC$1)</f>
        <v>18</v>
      </c>
      <c r="AD51" s="145">
        <f>SUMIFS(Table2[NewPointsAway],Table2[GameDate], "&lt;=" &amp; $A51, Table2[AwayTeam], AD$1)+SUMIFS(Table2[NewPointsHome],Table2[GameDate], "&lt;=" &amp; $A51, Table2[HomeTeam], AD$1)</f>
        <v>17</v>
      </c>
      <c r="AE51" s="145">
        <f>SUMIFS(Table2[NewPointsAway],Table2[GameDate], "&lt;=" &amp; $A51, Table2[AwayTeam], AE$1)+SUMIFS(Table2[NewPointsHome],Table2[GameDate], "&lt;=" &amp; $A51, Table2[HomeTeam], AE$1)</f>
        <v>18</v>
      </c>
      <c r="AF51" s="145">
        <f>SUMIFS(Table2[NewPointsAway],Table2[GameDate], "&lt;=" &amp; $A51, Table2[AwayTeam], AF$1)+SUMIFS(Table2[NewPointsHome],Table2[GameDate], "&lt;=" &amp; $A51, Table2[HomeTeam], AF$1)</f>
        <v>20</v>
      </c>
      <c r="AG51" s="145">
        <f>SUMIFS(Table2[NewPointsAway],Table2[GameDate], "&lt;=" &amp; $A51, Table2[AwayTeam], AG$1)+SUMIFS(Table2[NewPointsHome],Table2[GameDate], "&lt;=" &amp; $A51, Table2[HomeTeam], AG$1)</f>
        <v>17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23</v>
      </c>
      <c r="C52" s="145">
        <f>SUMIFS(Table2[NewPointsAway],Table2[GameDate], "&lt;=" &amp; $A52, Table2[AwayTeam], C$1)+SUMIFS(Table2[NewPointsHome],Table2[GameDate], "&lt;=" &amp; $A52, Table2[HomeTeam], C$1)</f>
        <v>22</v>
      </c>
      <c r="D52" s="145">
        <f>SUMIFS(Table2[NewPointsAway],Table2[GameDate], "&lt;=" &amp; $A52, Table2[AwayTeam], D$1)+SUMIFS(Table2[NewPointsHome],Table2[GameDate], "&lt;=" &amp; $A52, Table2[HomeTeam], D$1)</f>
        <v>14</v>
      </c>
      <c r="E52" s="145">
        <f>SUMIFS(Table2[NewPointsAway],Table2[GameDate], "&lt;=" &amp; $A52, Table2[AwayTeam], E$1)+SUMIFS(Table2[NewPointsHome],Table2[GameDate], "&lt;=" &amp; $A52, Table2[HomeTeam], E$1)</f>
        <v>22</v>
      </c>
      <c r="F52" s="145">
        <f>SUMIFS(Table2[NewPointsAway],Table2[GameDate], "&lt;=" &amp; $A52, Table2[AwayTeam], F$1)+SUMIFS(Table2[NewPointsHome],Table2[GameDate], "&lt;=" &amp; $A52, Table2[HomeTeam], F$1)</f>
        <v>17</v>
      </c>
      <c r="G52" s="145">
        <f>SUMIFS(Table2[NewPointsAway],Table2[GameDate], "&lt;=" &amp; $A52, Table2[AwayTeam], G$1)+SUMIFS(Table2[NewPointsHome],Table2[GameDate], "&lt;=" &amp; $A52, Table2[HomeTeam], G$1)</f>
        <v>10</v>
      </c>
      <c r="H52" s="145">
        <f>SUMIFS(Table2[NewPointsAway],Table2[GameDate], "&lt;=" &amp; $A52, Table2[AwayTeam], H$1)+SUMIFS(Table2[NewPointsHome],Table2[GameDate], "&lt;=" &amp; $A52, Table2[HomeTeam], H$1)</f>
        <v>19</v>
      </c>
      <c r="I52" s="145">
        <f>SUMIFS(Table2[NewPointsAway],Table2[GameDate], "&lt;=" &amp; $A52, Table2[AwayTeam], I$1)+SUMIFS(Table2[NewPointsHome],Table2[GameDate], "&lt;=" &amp; $A52, Table2[HomeTeam], I$1)</f>
        <v>27</v>
      </c>
      <c r="J52" s="145">
        <f>SUMIFS(Table2[NewPointsAway],Table2[GameDate], "&lt;=" &amp; $A52, Table2[AwayTeam], J$1)+SUMIFS(Table2[NewPointsHome],Table2[GameDate], "&lt;=" &amp; $A52, Table2[HomeTeam], J$1)</f>
        <v>23</v>
      </c>
      <c r="K52" s="145">
        <f>SUMIFS(Table2[NewPointsAway],Table2[GameDate], "&lt;=" &amp; $A52, Table2[AwayTeam], K$1)+SUMIFS(Table2[NewPointsHome],Table2[GameDate], "&lt;=" &amp; $A52, Table2[HomeTeam], K$1)</f>
        <v>18</v>
      </c>
      <c r="L52" s="145">
        <f>SUMIFS(Table2[NewPointsAway],Table2[GameDate], "&lt;=" &amp; $A52, Table2[AwayTeam], L$1)+SUMIFS(Table2[NewPointsHome],Table2[GameDate], "&lt;=" &amp; $A52, Table2[HomeTeam], L$1)</f>
        <v>20</v>
      </c>
      <c r="M52" s="145">
        <f>SUMIFS(Table2[NewPointsAway],Table2[GameDate], "&lt;=" &amp; $A52, Table2[AwayTeam], M$1)+SUMIFS(Table2[NewPointsHome],Table2[GameDate], "&lt;=" &amp; $A52, Table2[HomeTeam], M$1)</f>
        <v>17</v>
      </c>
      <c r="N52" s="145">
        <f>SUMIFS(Table2[NewPointsAway],Table2[GameDate], "&lt;=" &amp; $A52, Table2[AwayTeam], N$1)+SUMIFS(Table2[NewPointsHome],Table2[GameDate], "&lt;=" &amp; $A52, Table2[HomeTeam], N$1)</f>
        <v>20</v>
      </c>
      <c r="O52" s="145">
        <f>SUMIFS(Table2[NewPointsAway],Table2[GameDate], "&lt;=" &amp; $A52, Table2[AwayTeam], O$1)+SUMIFS(Table2[NewPointsHome],Table2[GameDate], "&lt;=" &amp; $A52, Table2[HomeTeam], O$1)</f>
        <v>18</v>
      </c>
      <c r="P52" s="145">
        <f>SUMIFS(Table2[NewPointsAway],Table2[GameDate], "&lt;=" &amp; $A52, Table2[AwayTeam], P$1)+SUMIFS(Table2[NewPointsHome],Table2[GameDate], "&lt;=" &amp; $A52, Table2[HomeTeam], P$1)</f>
        <v>22</v>
      </c>
      <c r="Q52" s="145">
        <f>SUMIFS(Table2[NewPointsAway],Table2[GameDate], "&lt;=" &amp; $A52, Table2[AwayTeam], Q$1)+SUMIFS(Table2[NewPointsHome],Table2[GameDate], "&lt;=" &amp; $A52, Table2[HomeTeam], Q$1)</f>
        <v>23</v>
      </c>
      <c r="R52" s="145">
        <f>SUMIFS(Table2[NewPointsAway],Table2[GameDate], "&lt;=" &amp; $A52, Table2[AwayTeam], R$1)+SUMIFS(Table2[NewPointsHome],Table2[GameDate], "&lt;=" &amp; $A52, Table2[HomeTeam], R$1)</f>
        <v>14</v>
      </c>
      <c r="S52" s="145">
        <f>SUMIFS(Table2[NewPointsAway],Table2[GameDate], "&lt;=" &amp; $A52, Table2[AwayTeam], S$1)+SUMIFS(Table2[NewPointsHome],Table2[GameDate], "&lt;=" &amp; $A52, Table2[HomeTeam], S$1)</f>
        <v>18</v>
      </c>
      <c r="T52" s="145">
        <f>SUMIFS(Table2[NewPointsAway],Table2[GameDate], "&lt;=" &amp; $A52, Table2[AwayTeam], T$1)+SUMIFS(Table2[NewPointsHome],Table2[GameDate], "&lt;=" &amp; $A52, Table2[HomeTeam], T$1)</f>
        <v>20</v>
      </c>
      <c r="U52" s="145">
        <f>SUMIFS(Table2[NewPointsAway],Table2[GameDate], "&lt;=" &amp; $A52, Table2[AwayTeam], U$1)+SUMIFS(Table2[NewPointsHome],Table2[GameDate], "&lt;=" &amp; $A52, Table2[HomeTeam], U$1)</f>
        <v>20</v>
      </c>
      <c r="V52" s="145">
        <f>SUMIFS(Table2[NewPointsAway],Table2[GameDate], "&lt;=" &amp; $A52, Table2[AwayTeam], V$1)+SUMIFS(Table2[NewPointsHome],Table2[GameDate], "&lt;=" &amp; $A52, Table2[HomeTeam], V$1)</f>
        <v>19</v>
      </c>
      <c r="W52" s="145">
        <f>SUMIFS(Table2[NewPointsAway],Table2[GameDate], "&lt;=" &amp; $A52, Table2[AwayTeam], W$1)+SUMIFS(Table2[NewPointsHome],Table2[GameDate], "&lt;=" &amp; $A52, Table2[HomeTeam], W$1)</f>
        <v>21</v>
      </c>
      <c r="X52" s="145">
        <f>SUMIFS(Table2[NewPointsAway],Table2[GameDate], "&lt;=" &amp; $A52, Table2[AwayTeam], X$1)+SUMIFS(Table2[NewPointsHome],Table2[GameDate], "&lt;=" &amp; $A52, Table2[HomeTeam], X$1)</f>
        <v>19</v>
      </c>
      <c r="Y52" s="145">
        <f>SUMIFS(Table2[NewPointsAway],Table2[GameDate], "&lt;=" &amp; $A52, Table2[AwayTeam], Y$1)+SUMIFS(Table2[NewPointsHome],Table2[GameDate], "&lt;=" &amp; $A52, Table2[HomeTeam], Y$1)</f>
        <v>19</v>
      </c>
      <c r="Z52" s="145">
        <f>SUMIFS(Table2[NewPointsAway],Table2[GameDate], "&lt;=" &amp; $A52, Table2[AwayTeam], Z$1)+SUMIFS(Table2[NewPointsHome],Table2[GameDate], "&lt;=" &amp; $A52, Table2[HomeTeam], Z$1)</f>
        <v>15</v>
      </c>
      <c r="AA52" s="145">
        <f>SUMIFS(Table2[NewPointsAway],Table2[GameDate], "&lt;=" &amp; $A52, Table2[AwayTeam], AA$1)+SUMIFS(Table2[NewPointsHome],Table2[GameDate], "&lt;=" &amp; $A52, Table2[HomeTeam], AA$1)</f>
        <v>18</v>
      </c>
      <c r="AB52" s="145">
        <f>SUMIFS(Table2[NewPointsAway],Table2[GameDate], "&lt;=" &amp; $A52, Table2[AwayTeam], AB$1)+SUMIFS(Table2[NewPointsHome],Table2[GameDate], "&lt;=" &amp; $A52, Table2[HomeTeam], AB$1)</f>
        <v>17</v>
      </c>
      <c r="AC52" s="145">
        <f>SUMIFS(Table2[NewPointsAway],Table2[GameDate], "&lt;=" &amp; $A52, Table2[AwayTeam], AC$1)+SUMIFS(Table2[NewPointsHome],Table2[GameDate], "&lt;=" &amp; $A52, Table2[HomeTeam], AC$1)</f>
        <v>18</v>
      </c>
      <c r="AD52" s="145">
        <f>SUMIFS(Table2[NewPointsAway],Table2[GameDate], "&lt;=" &amp; $A52, Table2[AwayTeam], AD$1)+SUMIFS(Table2[NewPointsHome],Table2[GameDate], "&lt;=" &amp; $A52, Table2[HomeTeam], AD$1)</f>
        <v>17</v>
      </c>
      <c r="AE52" s="145">
        <f>SUMIFS(Table2[NewPointsAway],Table2[GameDate], "&lt;=" &amp; $A52, Table2[AwayTeam], AE$1)+SUMIFS(Table2[NewPointsHome],Table2[GameDate], "&lt;=" &amp; $A52, Table2[HomeTeam], AE$1)</f>
        <v>18</v>
      </c>
      <c r="AF52" s="145">
        <f>SUMIFS(Table2[NewPointsAway],Table2[GameDate], "&lt;=" &amp; $A52, Table2[AwayTeam], AF$1)+SUMIFS(Table2[NewPointsHome],Table2[GameDate], "&lt;=" &amp; $A52, Table2[HomeTeam], AF$1)</f>
        <v>20</v>
      </c>
      <c r="AG52" s="145">
        <f>SUMIFS(Table2[NewPointsAway],Table2[GameDate], "&lt;=" &amp; $A52, Table2[AwayTeam], AG$1)+SUMIFS(Table2[NewPointsHome],Table2[GameDate], "&lt;=" &amp; $A52, Table2[HomeTeam], AG$1)</f>
        <v>17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23</v>
      </c>
      <c r="C53" s="145">
        <f>SUMIFS(Table2[NewPointsAway],Table2[GameDate], "&lt;=" &amp; $A53, Table2[AwayTeam], C$1)+SUMIFS(Table2[NewPointsHome],Table2[GameDate], "&lt;=" &amp; $A53, Table2[HomeTeam], C$1)</f>
        <v>22</v>
      </c>
      <c r="D53" s="145">
        <f>SUMIFS(Table2[NewPointsAway],Table2[GameDate], "&lt;=" &amp; $A53, Table2[AwayTeam], D$1)+SUMIFS(Table2[NewPointsHome],Table2[GameDate], "&lt;=" &amp; $A53, Table2[HomeTeam], D$1)</f>
        <v>14</v>
      </c>
      <c r="E53" s="145">
        <f>SUMIFS(Table2[NewPointsAway],Table2[GameDate], "&lt;=" &amp; $A53, Table2[AwayTeam], E$1)+SUMIFS(Table2[NewPointsHome],Table2[GameDate], "&lt;=" &amp; $A53, Table2[HomeTeam], E$1)</f>
        <v>22</v>
      </c>
      <c r="F53" s="145">
        <f>SUMIFS(Table2[NewPointsAway],Table2[GameDate], "&lt;=" &amp; $A53, Table2[AwayTeam], F$1)+SUMIFS(Table2[NewPointsHome],Table2[GameDate], "&lt;=" &amp; $A53, Table2[HomeTeam], F$1)</f>
        <v>17</v>
      </c>
      <c r="G53" s="145">
        <f>SUMIFS(Table2[NewPointsAway],Table2[GameDate], "&lt;=" &amp; $A53, Table2[AwayTeam], G$1)+SUMIFS(Table2[NewPointsHome],Table2[GameDate], "&lt;=" &amp; $A53, Table2[HomeTeam], G$1)</f>
        <v>10</v>
      </c>
      <c r="H53" s="145">
        <f>SUMIFS(Table2[NewPointsAway],Table2[GameDate], "&lt;=" &amp; $A53, Table2[AwayTeam], H$1)+SUMIFS(Table2[NewPointsHome],Table2[GameDate], "&lt;=" &amp; $A53, Table2[HomeTeam], H$1)</f>
        <v>19</v>
      </c>
      <c r="I53" s="145">
        <f>SUMIFS(Table2[NewPointsAway],Table2[GameDate], "&lt;=" &amp; $A53, Table2[AwayTeam], I$1)+SUMIFS(Table2[NewPointsHome],Table2[GameDate], "&lt;=" &amp; $A53, Table2[HomeTeam], I$1)</f>
        <v>27</v>
      </c>
      <c r="J53" s="145">
        <f>SUMIFS(Table2[NewPointsAway],Table2[GameDate], "&lt;=" &amp; $A53, Table2[AwayTeam], J$1)+SUMIFS(Table2[NewPointsHome],Table2[GameDate], "&lt;=" &amp; $A53, Table2[HomeTeam], J$1)</f>
        <v>23</v>
      </c>
      <c r="K53" s="145">
        <f>SUMIFS(Table2[NewPointsAway],Table2[GameDate], "&lt;=" &amp; $A53, Table2[AwayTeam], K$1)+SUMIFS(Table2[NewPointsHome],Table2[GameDate], "&lt;=" &amp; $A53, Table2[HomeTeam], K$1)</f>
        <v>18</v>
      </c>
      <c r="L53" s="145">
        <f>SUMIFS(Table2[NewPointsAway],Table2[GameDate], "&lt;=" &amp; $A53, Table2[AwayTeam], L$1)+SUMIFS(Table2[NewPointsHome],Table2[GameDate], "&lt;=" &amp; $A53, Table2[HomeTeam], L$1)</f>
        <v>20</v>
      </c>
      <c r="M53" s="145">
        <f>SUMIFS(Table2[NewPointsAway],Table2[GameDate], "&lt;=" &amp; $A53, Table2[AwayTeam], M$1)+SUMIFS(Table2[NewPointsHome],Table2[GameDate], "&lt;=" &amp; $A53, Table2[HomeTeam], M$1)</f>
        <v>17</v>
      </c>
      <c r="N53" s="145">
        <f>SUMIFS(Table2[NewPointsAway],Table2[GameDate], "&lt;=" &amp; $A53, Table2[AwayTeam], N$1)+SUMIFS(Table2[NewPointsHome],Table2[GameDate], "&lt;=" &amp; $A53, Table2[HomeTeam], N$1)</f>
        <v>20</v>
      </c>
      <c r="O53" s="145">
        <f>SUMIFS(Table2[NewPointsAway],Table2[GameDate], "&lt;=" &amp; $A53, Table2[AwayTeam], O$1)+SUMIFS(Table2[NewPointsHome],Table2[GameDate], "&lt;=" &amp; $A53, Table2[HomeTeam], O$1)</f>
        <v>18</v>
      </c>
      <c r="P53" s="145">
        <f>SUMIFS(Table2[NewPointsAway],Table2[GameDate], "&lt;=" &amp; $A53, Table2[AwayTeam], P$1)+SUMIFS(Table2[NewPointsHome],Table2[GameDate], "&lt;=" &amp; $A53, Table2[HomeTeam], P$1)</f>
        <v>22</v>
      </c>
      <c r="Q53" s="145">
        <f>SUMIFS(Table2[NewPointsAway],Table2[GameDate], "&lt;=" &amp; $A53, Table2[AwayTeam], Q$1)+SUMIFS(Table2[NewPointsHome],Table2[GameDate], "&lt;=" &amp; $A53, Table2[HomeTeam], Q$1)</f>
        <v>23</v>
      </c>
      <c r="R53" s="145">
        <f>SUMIFS(Table2[NewPointsAway],Table2[GameDate], "&lt;=" &amp; $A53, Table2[AwayTeam], R$1)+SUMIFS(Table2[NewPointsHome],Table2[GameDate], "&lt;=" &amp; $A53, Table2[HomeTeam], R$1)</f>
        <v>14</v>
      </c>
      <c r="S53" s="145">
        <f>SUMIFS(Table2[NewPointsAway],Table2[GameDate], "&lt;=" &amp; $A53, Table2[AwayTeam], S$1)+SUMIFS(Table2[NewPointsHome],Table2[GameDate], "&lt;=" &amp; $A53, Table2[HomeTeam], S$1)</f>
        <v>18</v>
      </c>
      <c r="T53" s="145">
        <f>SUMIFS(Table2[NewPointsAway],Table2[GameDate], "&lt;=" &amp; $A53, Table2[AwayTeam], T$1)+SUMIFS(Table2[NewPointsHome],Table2[GameDate], "&lt;=" &amp; $A53, Table2[HomeTeam], T$1)</f>
        <v>20</v>
      </c>
      <c r="U53" s="145">
        <f>SUMIFS(Table2[NewPointsAway],Table2[GameDate], "&lt;=" &amp; $A53, Table2[AwayTeam], U$1)+SUMIFS(Table2[NewPointsHome],Table2[GameDate], "&lt;=" &amp; $A53, Table2[HomeTeam], U$1)</f>
        <v>20</v>
      </c>
      <c r="V53" s="145">
        <f>SUMIFS(Table2[NewPointsAway],Table2[GameDate], "&lt;=" &amp; $A53, Table2[AwayTeam], V$1)+SUMIFS(Table2[NewPointsHome],Table2[GameDate], "&lt;=" &amp; $A53, Table2[HomeTeam], V$1)</f>
        <v>19</v>
      </c>
      <c r="W53" s="145">
        <f>SUMIFS(Table2[NewPointsAway],Table2[GameDate], "&lt;=" &amp; $A53, Table2[AwayTeam], W$1)+SUMIFS(Table2[NewPointsHome],Table2[GameDate], "&lt;=" &amp; $A53, Table2[HomeTeam], W$1)</f>
        <v>21</v>
      </c>
      <c r="X53" s="145">
        <f>SUMIFS(Table2[NewPointsAway],Table2[GameDate], "&lt;=" &amp; $A53, Table2[AwayTeam], X$1)+SUMIFS(Table2[NewPointsHome],Table2[GameDate], "&lt;=" &amp; $A53, Table2[HomeTeam], X$1)</f>
        <v>19</v>
      </c>
      <c r="Y53" s="145">
        <f>SUMIFS(Table2[NewPointsAway],Table2[GameDate], "&lt;=" &amp; $A53, Table2[AwayTeam], Y$1)+SUMIFS(Table2[NewPointsHome],Table2[GameDate], "&lt;=" &amp; $A53, Table2[HomeTeam], Y$1)</f>
        <v>19</v>
      </c>
      <c r="Z53" s="145">
        <f>SUMIFS(Table2[NewPointsAway],Table2[GameDate], "&lt;=" &amp; $A53, Table2[AwayTeam], Z$1)+SUMIFS(Table2[NewPointsHome],Table2[GameDate], "&lt;=" &amp; $A53, Table2[HomeTeam], Z$1)</f>
        <v>15</v>
      </c>
      <c r="AA53" s="145">
        <f>SUMIFS(Table2[NewPointsAway],Table2[GameDate], "&lt;=" &amp; $A53, Table2[AwayTeam], AA$1)+SUMIFS(Table2[NewPointsHome],Table2[GameDate], "&lt;=" &amp; $A53, Table2[HomeTeam], AA$1)</f>
        <v>18</v>
      </c>
      <c r="AB53" s="145">
        <f>SUMIFS(Table2[NewPointsAway],Table2[GameDate], "&lt;=" &amp; $A53, Table2[AwayTeam], AB$1)+SUMIFS(Table2[NewPointsHome],Table2[GameDate], "&lt;=" &amp; $A53, Table2[HomeTeam], AB$1)</f>
        <v>17</v>
      </c>
      <c r="AC53" s="145">
        <f>SUMIFS(Table2[NewPointsAway],Table2[GameDate], "&lt;=" &amp; $A53, Table2[AwayTeam], AC$1)+SUMIFS(Table2[NewPointsHome],Table2[GameDate], "&lt;=" &amp; $A53, Table2[HomeTeam], AC$1)</f>
        <v>18</v>
      </c>
      <c r="AD53" s="145">
        <f>SUMIFS(Table2[NewPointsAway],Table2[GameDate], "&lt;=" &amp; $A53, Table2[AwayTeam], AD$1)+SUMIFS(Table2[NewPointsHome],Table2[GameDate], "&lt;=" &amp; $A53, Table2[HomeTeam], AD$1)</f>
        <v>17</v>
      </c>
      <c r="AE53" s="145">
        <f>SUMIFS(Table2[NewPointsAway],Table2[GameDate], "&lt;=" &amp; $A53, Table2[AwayTeam], AE$1)+SUMIFS(Table2[NewPointsHome],Table2[GameDate], "&lt;=" &amp; $A53, Table2[HomeTeam], AE$1)</f>
        <v>18</v>
      </c>
      <c r="AF53" s="145">
        <f>SUMIFS(Table2[NewPointsAway],Table2[GameDate], "&lt;=" &amp; $A53, Table2[AwayTeam], AF$1)+SUMIFS(Table2[NewPointsHome],Table2[GameDate], "&lt;=" &amp; $A53, Table2[HomeTeam], AF$1)</f>
        <v>20</v>
      </c>
      <c r="AG53" s="145">
        <f>SUMIFS(Table2[NewPointsAway],Table2[GameDate], "&lt;=" &amp; $A53, Table2[AwayTeam], AG$1)+SUMIFS(Table2[NewPointsHome],Table2[GameDate], "&lt;=" &amp; $A53, Table2[HomeTeam], AG$1)</f>
        <v>17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23</v>
      </c>
      <c r="C54" s="145">
        <f>SUMIFS(Table2[NewPointsAway],Table2[GameDate], "&lt;=" &amp; $A54, Table2[AwayTeam], C$1)+SUMIFS(Table2[NewPointsHome],Table2[GameDate], "&lt;=" &amp; $A54, Table2[HomeTeam], C$1)</f>
        <v>22</v>
      </c>
      <c r="D54" s="145">
        <f>SUMIFS(Table2[NewPointsAway],Table2[GameDate], "&lt;=" &amp; $A54, Table2[AwayTeam], D$1)+SUMIFS(Table2[NewPointsHome],Table2[GameDate], "&lt;=" &amp; $A54, Table2[HomeTeam], D$1)</f>
        <v>14</v>
      </c>
      <c r="E54" s="145">
        <f>SUMIFS(Table2[NewPointsAway],Table2[GameDate], "&lt;=" &amp; $A54, Table2[AwayTeam], E$1)+SUMIFS(Table2[NewPointsHome],Table2[GameDate], "&lt;=" &amp; $A54, Table2[HomeTeam], E$1)</f>
        <v>22</v>
      </c>
      <c r="F54" s="145">
        <f>SUMIFS(Table2[NewPointsAway],Table2[GameDate], "&lt;=" &amp; $A54, Table2[AwayTeam], F$1)+SUMIFS(Table2[NewPointsHome],Table2[GameDate], "&lt;=" &amp; $A54, Table2[HomeTeam], F$1)</f>
        <v>17</v>
      </c>
      <c r="G54" s="145">
        <f>SUMIFS(Table2[NewPointsAway],Table2[GameDate], "&lt;=" &amp; $A54, Table2[AwayTeam], G$1)+SUMIFS(Table2[NewPointsHome],Table2[GameDate], "&lt;=" &amp; $A54, Table2[HomeTeam], G$1)</f>
        <v>10</v>
      </c>
      <c r="H54" s="145">
        <f>SUMIFS(Table2[NewPointsAway],Table2[GameDate], "&lt;=" &amp; $A54, Table2[AwayTeam], H$1)+SUMIFS(Table2[NewPointsHome],Table2[GameDate], "&lt;=" &amp; $A54, Table2[HomeTeam], H$1)</f>
        <v>19</v>
      </c>
      <c r="I54" s="145">
        <f>SUMIFS(Table2[NewPointsAway],Table2[GameDate], "&lt;=" &amp; $A54, Table2[AwayTeam], I$1)+SUMIFS(Table2[NewPointsHome],Table2[GameDate], "&lt;=" &amp; $A54, Table2[HomeTeam], I$1)</f>
        <v>27</v>
      </c>
      <c r="J54" s="145">
        <f>SUMIFS(Table2[NewPointsAway],Table2[GameDate], "&lt;=" &amp; $A54, Table2[AwayTeam], J$1)+SUMIFS(Table2[NewPointsHome],Table2[GameDate], "&lt;=" &amp; $A54, Table2[HomeTeam], J$1)</f>
        <v>23</v>
      </c>
      <c r="K54" s="145">
        <f>SUMIFS(Table2[NewPointsAway],Table2[GameDate], "&lt;=" &amp; $A54, Table2[AwayTeam], K$1)+SUMIFS(Table2[NewPointsHome],Table2[GameDate], "&lt;=" &amp; $A54, Table2[HomeTeam], K$1)</f>
        <v>18</v>
      </c>
      <c r="L54" s="145">
        <f>SUMIFS(Table2[NewPointsAway],Table2[GameDate], "&lt;=" &amp; $A54, Table2[AwayTeam], L$1)+SUMIFS(Table2[NewPointsHome],Table2[GameDate], "&lt;=" &amp; $A54, Table2[HomeTeam], L$1)</f>
        <v>20</v>
      </c>
      <c r="M54" s="145">
        <f>SUMIFS(Table2[NewPointsAway],Table2[GameDate], "&lt;=" &amp; $A54, Table2[AwayTeam], M$1)+SUMIFS(Table2[NewPointsHome],Table2[GameDate], "&lt;=" &amp; $A54, Table2[HomeTeam], M$1)</f>
        <v>17</v>
      </c>
      <c r="N54" s="145">
        <f>SUMIFS(Table2[NewPointsAway],Table2[GameDate], "&lt;=" &amp; $A54, Table2[AwayTeam], N$1)+SUMIFS(Table2[NewPointsHome],Table2[GameDate], "&lt;=" &amp; $A54, Table2[HomeTeam], N$1)</f>
        <v>20</v>
      </c>
      <c r="O54" s="145">
        <f>SUMIFS(Table2[NewPointsAway],Table2[GameDate], "&lt;=" &amp; $A54, Table2[AwayTeam], O$1)+SUMIFS(Table2[NewPointsHome],Table2[GameDate], "&lt;=" &amp; $A54, Table2[HomeTeam], O$1)</f>
        <v>18</v>
      </c>
      <c r="P54" s="145">
        <f>SUMIFS(Table2[NewPointsAway],Table2[GameDate], "&lt;=" &amp; $A54, Table2[AwayTeam], P$1)+SUMIFS(Table2[NewPointsHome],Table2[GameDate], "&lt;=" &amp; $A54, Table2[HomeTeam], P$1)</f>
        <v>22</v>
      </c>
      <c r="Q54" s="145">
        <f>SUMIFS(Table2[NewPointsAway],Table2[GameDate], "&lt;=" &amp; $A54, Table2[AwayTeam], Q$1)+SUMIFS(Table2[NewPointsHome],Table2[GameDate], "&lt;=" &amp; $A54, Table2[HomeTeam], Q$1)</f>
        <v>23</v>
      </c>
      <c r="R54" s="145">
        <f>SUMIFS(Table2[NewPointsAway],Table2[GameDate], "&lt;=" &amp; $A54, Table2[AwayTeam], R$1)+SUMIFS(Table2[NewPointsHome],Table2[GameDate], "&lt;=" &amp; $A54, Table2[HomeTeam], R$1)</f>
        <v>14</v>
      </c>
      <c r="S54" s="145">
        <f>SUMIFS(Table2[NewPointsAway],Table2[GameDate], "&lt;=" &amp; $A54, Table2[AwayTeam], S$1)+SUMIFS(Table2[NewPointsHome],Table2[GameDate], "&lt;=" &amp; $A54, Table2[HomeTeam], S$1)</f>
        <v>18</v>
      </c>
      <c r="T54" s="145">
        <f>SUMIFS(Table2[NewPointsAway],Table2[GameDate], "&lt;=" &amp; $A54, Table2[AwayTeam], T$1)+SUMIFS(Table2[NewPointsHome],Table2[GameDate], "&lt;=" &amp; $A54, Table2[HomeTeam], T$1)</f>
        <v>20</v>
      </c>
      <c r="U54" s="145">
        <f>SUMIFS(Table2[NewPointsAway],Table2[GameDate], "&lt;=" &amp; $A54, Table2[AwayTeam], U$1)+SUMIFS(Table2[NewPointsHome],Table2[GameDate], "&lt;=" &amp; $A54, Table2[HomeTeam], U$1)</f>
        <v>20</v>
      </c>
      <c r="V54" s="145">
        <f>SUMIFS(Table2[NewPointsAway],Table2[GameDate], "&lt;=" &amp; $A54, Table2[AwayTeam], V$1)+SUMIFS(Table2[NewPointsHome],Table2[GameDate], "&lt;=" &amp; $A54, Table2[HomeTeam], V$1)</f>
        <v>19</v>
      </c>
      <c r="W54" s="145">
        <f>SUMIFS(Table2[NewPointsAway],Table2[GameDate], "&lt;=" &amp; $A54, Table2[AwayTeam], W$1)+SUMIFS(Table2[NewPointsHome],Table2[GameDate], "&lt;=" &amp; $A54, Table2[HomeTeam], W$1)</f>
        <v>21</v>
      </c>
      <c r="X54" s="145">
        <f>SUMIFS(Table2[NewPointsAway],Table2[GameDate], "&lt;=" &amp; $A54, Table2[AwayTeam], X$1)+SUMIFS(Table2[NewPointsHome],Table2[GameDate], "&lt;=" &amp; $A54, Table2[HomeTeam], X$1)</f>
        <v>19</v>
      </c>
      <c r="Y54" s="145">
        <f>SUMIFS(Table2[NewPointsAway],Table2[GameDate], "&lt;=" &amp; $A54, Table2[AwayTeam], Y$1)+SUMIFS(Table2[NewPointsHome],Table2[GameDate], "&lt;=" &amp; $A54, Table2[HomeTeam], Y$1)</f>
        <v>19</v>
      </c>
      <c r="Z54" s="145">
        <f>SUMIFS(Table2[NewPointsAway],Table2[GameDate], "&lt;=" &amp; $A54, Table2[AwayTeam], Z$1)+SUMIFS(Table2[NewPointsHome],Table2[GameDate], "&lt;=" &amp; $A54, Table2[HomeTeam], Z$1)</f>
        <v>15</v>
      </c>
      <c r="AA54" s="145">
        <f>SUMIFS(Table2[NewPointsAway],Table2[GameDate], "&lt;=" &amp; $A54, Table2[AwayTeam], AA$1)+SUMIFS(Table2[NewPointsHome],Table2[GameDate], "&lt;=" &amp; $A54, Table2[HomeTeam], AA$1)</f>
        <v>18</v>
      </c>
      <c r="AB54" s="145">
        <f>SUMIFS(Table2[NewPointsAway],Table2[GameDate], "&lt;=" &amp; $A54, Table2[AwayTeam], AB$1)+SUMIFS(Table2[NewPointsHome],Table2[GameDate], "&lt;=" &amp; $A54, Table2[HomeTeam], AB$1)</f>
        <v>17</v>
      </c>
      <c r="AC54" s="145">
        <f>SUMIFS(Table2[NewPointsAway],Table2[GameDate], "&lt;=" &amp; $A54, Table2[AwayTeam], AC$1)+SUMIFS(Table2[NewPointsHome],Table2[GameDate], "&lt;=" &amp; $A54, Table2[HomeTeam], AC$1)</f>
        <v>18</v>
      </c>
      <c r="AD54" s="145">
        <f>SUMIFS(Table2[NewPointsAway],Table2[GameDate], "&lt;=" &amp; $A54, Table2[AwayTeam], AD$1)+SUMIFS(Table2[NewPointsHome],Table2[GameDate], "&lt;=" &amp; $A54, Table2[HomeTeam], AD$1)</f>
        <v>17</v>
      </c>
      <c r="AE54" s="145">
        <f>SUMIFS(Table2[NewPointsAway],Table2[GameDate], "&lt;=" &amp; $A54, Table2[AwayTeam], AE$1)+SUMIFS(Table2[NewPointsHome],Table2[GameDate], "&lt;=" &amp; $A54, Table2[HomeTeam], AE$1)</f>
        <v>18</v>
      </c>
      <c r="AF54" s="145">
        <f>SUMIFS(Table2[NewPointsAway],Table2[GameDate], "&lt;=" &amp; $A54, Table2[AwayTeam], AF$1)+SUMIFS(Table2[NewPointsHome],Table2[GameDate], "&lt;=" &amp; $A54, Table2[HomeTeam], AF$1)</f>
        <v>20</v>
      </c>
      <c r="AG54" s="145">
        <f>SUMIFS(Table2[NewPointsAway],Table2[GameDate], "&lt;=" &amp; $A54, Table2[AwayTeam], AG$1)+SUMIFS(Table2[NewPointsHome],Table2[GameDate], "&lt;=" &amp; $A54, Table2[HomeTeam], AG$1)</f>
        <v>17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23</v>
      </c>
      <c r="C55" s="145">
        <f>SUMIFS(Table2[NewPointsAway],Table2[GameDate], "&lt;=" &amp; $A55, Table2[AwayTeam], C$1)+SUMIFS(Table2[NewPointsHome],Table2[GameDate], "&lt;=" &amp; $A55, Table2[HomeTeam], C$1)</f>
        <v>22</v>
      </c>
      <c r="D55" s="145">
        <f>SUMIFS(Table2[NewPointsAway],Table2[GameDate], "&lt;=" &amp; $A55, Table2[AwayTeam], D$1)+SUMIFS(Table2[NewPointsHome],Table2[GameDate], "&lt;=" &amp; $A55, Table2[HomeTeam], D$1)</f>
        <v>14</v>
      </c>
      <c r="E55" s="145">
        <f>SUMIFS(Table2[NewPointsAway],Table2[GameDate], "&lt;=" &amp; $A55, Table2[AwayTeam], E$1)+SUMIFS(Table2[NewPointsHome],Table2[GameDate], "&lt;=" &amp; $A55, Table2[HomeTeam], E$1)</f>
        <v>22</v>
      </c>
      <c r="F55" s="145">
        <f>SUMIFS(Table2[NewPointsAway],Table2[GameDate], "&lt;=" &amp; $A55, Table2[AwayTeam], F$1)+SUMIFS(Table2[NewPointsHome],Table2[GameDate], "&lt;=" &amp; $A55, Table2[HomeTeam], F$1)</f>
        <v>17</v>
      </c>
      <c r="G55" s="145">
        <f>SUMIFS(Table2[NewPointsAway],Table2[GameDate], "&lt;=" &amp; $A55, Table2[AwayTeam], G$1)+SUMIFS(Table2[NewPointsHome],Table2[GameDate], "&lt;=" &amp; $A55, Table2[HomeTeam], G$1)</f>
        <v>10</v>
      </c>
      <c r="H55" s="145">
        <f>SUMIFS(Table2[NewPointsAway],Table2[GameDate], "&lt;=" &amp; $A55, Table2[AwayTeam], H$1)+SUMIFS(Table2[NewPointsHome],Table2[GameDate], "&lt;=" &amp; $A55, Table2[HomeTeam], H$1)</f>
        <v>19</v>
      </c>
      <c r="I55" s="145">
        <f>SUMIFS(Table2[NewPointsAway],Table2[GameDate], "&lt;=" &amp; $A55, Table2[AwayTeam], I$1)+SUMIFS(Table2[NewPointsHome],Table2[GameDate], "&lt;=" &amp; $A55, Table2[HomeTeam], I$1)</f>
        <v>27</v>
      </c>
      <c r="J55" s="145">
        <f>SUMIFS(Table2[NewPointsAway],Table2[GameDate], "&lt;=" &amp; $A55, Table2[AwayTeam], J$1)+SUMIFS(Table2[NewPointsHome],Table2[GameDate], "&lt;=" &amp; $A55, Table2[HomeTeam], J$1)</f>
        <v>23</v>
      </c>
      <c r="K55" s="145">
        <f>SUMIFS(Table2[NewPointsAway],Table2[GameDate], "&lt;=" &amp; $A55, Table2[AwayTeam], K$1)+SUMIFS(Table2[NewPointsHome],Table2[GameDate], "&lt;=" &amp; $A55, Table2[HomeTeam], K$1)</f>
        <v>18</v>
      </c>
      <c r="L55" s="145">
        <f>SUMIFS(Table2[NewPointsAway],Table2[GameDate], "&lt;=" &amp; $A55, Table2[AwayTeam], L$1)+SUMIFS(Table2[NewPointsHome],Table2[GameDate], "&lt;=" &amp; $A55, Table2[HomeTeam], L$1)</f>
        <v>20</v>
      </c>
      <c r="M55" s="145">
        <f>SUMIFS(Table2[NewPointsAway],Table2[GameDate], "&lt;=" &amp; $A55, Table2[AwayTeam], M$1)+SUMIFS(Table2[NewPointsHome],Table2[GameDate], "&lt;=" &amp; $A55, Table2[HomeTeam], M$1)</f>
        <v>17</v>
      </c>
      <c r="N55" s="145">
        <f>SUMIFS(Table2[NewPointsAway],Table2[GameDate], "&lt;=" &amp; $A55, Table2[AwayTeam], N$1)+SUMIFS(Table2[NewPointsHome],Table2[GameDate], "&lt;=" &amp; $A55, Table2[HomeTeam], N$1)</f>
        <v>20</v>
      </c>
      <c r="O55" s="145">
        <f>SUMIFS(Table2[NewPointsAway],Table2[GameDate], "&lt;=" &amp; $A55, Table2[AwayTeam], O$1)+SUMIFS(Table2[NewPointsHome],Table2[GameDate], "&lt;=" &amp; $A55, Table2[HomeTeam], O$1)</f>
        <v>18</v>
      </c>
      <c r="P55" s="145">
        <f>SUMIFS(Table2[NewPointsAway],Table2[GameDate], "&lt;=" &amp; $A55, Table2[AwayTeam], P$1)+SUMIFS(Table2[NewPointsHome],Table2[GameDate], "&lt;=" &amp; $A55, Table2[HomeTeam], P$1)</f>
        <v>22</v>
      </c>
      <c r="Q55" s="145">
        <f>SUMIFS(Table2[NewPointsAway],Table2[GameDate], "&lt;=" &amp; $A55, Table2[AwayTeam], Q$1)+SUMIFS(Table2[NewPointsHome],Table2[GameDate], "&lt;=" &amp; $A55, Table2[HomeTeam], Q$1)</f>
        <v>23</v>
      </c>
      <c r="R55" s="145">
        <f>SUMIFS(Table2[NewPointsAway],Table2[GameDate], "&lt;=" &amp; $A55, Table2[AwayTeam], R$1)+SUMIFS(Table2[NewPointsHome],Table2[GameDate], "&lt;=" &amp; $A55, Table2[HomeTeam], R$1)</f>
        <v>14</v>
      </c>
      <c r="S55" s="145">
        <f>SUMIFS(Table2[NewPointsAway],Table2[GameDate], "&lt;=" &amp; $A55, Table2[AwayTeam], S$1)+SUMIFS(Table2[NewPointsHome],Table2[GameDate], "&lt;=" &amp; $A55, Table2[HomeTeam], S$1)</f>
        <v>18</v>
      </c>
      <c r="T55" s="145">
        <f>SUMIFS(Table2[NewPointsAway],Table2[GameDate], "&lt;=" &amp; $A55, Table2[AwayTeam], T$1)+SUMIFS(Table2[NewPointsHome],Table2[GameDate], "&lt;=" &amp; $A55, Table2[HomeTeam], T$1)</f>
        <v>20</v>
      </c>
      <c r="U55" s="145">
        <f>SUMIFS(Table2[NewPointsAway],Table2[GameDate], "&lt;=" &amp; $A55, Table2[AwayTeam], U$1)+SUMIFS(Table2[NewPointsHome],Table2[GameDate], "&lt;=" &amp; $A55, Table2[HomeTeam], U$1)</f>
        <v>20</v>
      </c>
      <c r="V55" s="145">
        <f>SUMIFS(Table2[NewPointsAway],Table2[GameDate], "&lt;=" &amp; $A55, Table2[AwayTeam], V$1)+SUMIFS(Table2[NewPointsHome],Table2[GameDate], "&lt;=" &amp; $A55, Table2[HomeTeam], V$1)</f>
        <v>19</v>
      </c>
      <c r="W55" s="145">
        <f>SUMIFS(Table2[NewPointsAway],Table2[GameDate], "&lt;=" &amp; $A55, Table2[AwayTeam], W$1)+SUMIFS(Table2[NewPointsHome],Table2[GameDate], "&lt;=" &amp; $A55, Table2[HomeTeam], W$1)</f>
        <v>21</v>
      </c>
      <c r="X55" s="145">
        <f>SUMIFS(Table2[NewPointsAway],Table2[GameDate], "&lt;=" &amp; $A55, Table2[AwayTeam], X$1)+SUMIFS(Table2[NewPointsHome],Table2[GameDate], "&lt;=" &amp; $A55, Table2[HomeTeam], X$1)</f>
        <v>19</v>
      </c>
      <c r="Y55" s="145">
        <f>SUMIFS(Table2[NewPointsAway],Table2[GameDate], "&lt;=" &amp; $A55, Table2[AwayTeam], Y$1)+SUMIFS(Table2[NewPointsHome],Table2[GameDate], "&lt;=" &amp; $A55, Table2[HomeTeam], Y$1)</f>
        <v>19</v>
      </c>
      <c r="Z55" s="145">
        <f>SUMIFS(Table2[NewPointsAway],Table2[GameDate], "&lt;=" &amp; $A55, Table2[AwayTeam], Z$1)+SUMIFS(Table2[NewPointsHome],Table2[GameDate], "&lt;=" &amp; $A55, Table2[HomeTeam], Z$1)</f>
        <v>15</v>
      </c>
      <c r="AA55" s="145">
        <f>SUMIFS(Table2[NewPointsAway],Table2[GameDate], "&lt;=" &amp; $A55, Table2[AwayTeam], AA$1)+SUMIFS(Table2[NewPointsHome],Table2[GameDate], "&lt;=" &amp; $A55, Table2[HomeTeam], AA$1)</f>
        <v>18</v>
      </c>
      <c r="AB55" s="145">
        <f>SUMIFS(Table2[NewPointsAway],Table2[GameDate], "&lt;=" &amp; $A55, Table2[AwayTeam], AB$1)+SUMIFS(Table2[NewPointsHome],Table2[GameDate], "&lt;=" &amp; $A55, Table2[HomeTeam], AB$1)</f>
        <v>17</v>
      </c>
      <c r="AC55" s="145">
        <f>SUMIFS(Table2[NewPointsAway],Table2[GameDate], "&lt;=" &amp; $A55, Table2[AwayTeam], AC$1)+SUMIFS(Table2[NewPointsHome],Table2[GameDate], "&lt;=" &amp; $A55, Table2[HomeTeam], AC$1)</f>
        <v>18</v>
      </c>
      <c r="AD55" s="145">
        <f>SUMIFS(Table2[NewPointsAway],Table2[GameDate], "&lt;=" &amp; $A55, Table2[AwayTeam], AD$1)+SUMIFS(Table2[NewPointsHome],Table2[GameDate], "&lt;=" &amp; $A55, Table2[HomeTeam], AD$1)</f>
        <v>17</v>
      </c>
      <c r="AE55" s="145">
        <f>SUMIFS(Table2[NewPointsAway],Table2[GameDate], "&lt;=" &amp; $A55, Table2[AwayTeam], AE$1)+SUMIFS(Table2[NewPointsHome],Table2[GameDate], "&lt;=" &amp; $A55, Table2[HomeTeam], AE$1)</f>
        <v>18</v>
      </c>
      <c r="AF55" s="145">
        <f>SUMIFS(Table2[NewPointsAway],Table2[GameDate], "&lt;=" &amp; $A55, Table2[AwayTeam], AF$1)+SUMIFS(Table2[NewPointsHome],Table2[GameDate], "&lt;=" &amp; $A55, Table2[HomeTeam], AF$1)</f>
        <v>20</v>
      </c>
      <c r="AG55" s="145">
        <f>SUMIFS(Table2[NewPointsAway],Table2[GameDate], "&lt;=" &amp; $A55, Table2[AwayTeam], AG$1)+SUMIFS(Table2[NewPointsHome],Table2[GameDate], "&lt;=" &amp; $A55, Table2[HomeTeam], AG$1)</f>
        <v>17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23</v>
      </c>
      <c r="C56" s="145">
        <f>SUMIFS(Table2[NewPointsAway],Table2[GameDate], "&lt;=" &amp; $A56, Table2[AwayTeam], C$1)+SUMIFS(Table2[NewPointsHome],Table2[GameDate], "&lt;=" &amp; $A56, Table2[HomeTeam], C$1)</f>
        <v>22</v>
      </c>
      <c r="D56" s="145">
        <f>SUMIFS(Table2[NewPointsAway],Table2[GameDate], "&lt;=" &amp; $A56, Table2[AwayTeam], D$1)+SUMIFS(Table2[NewPointsHome],Table2[GameDate], "&lt;=" &amp; $A56, Table2[HomeTeam], D$1)</f>
        <v>14</v>
      </c>
      <c r="E56" s="145">
        <f>SUMIFS(Table2[NewPointsAway],Table2[GameDate], "&lt;=" &amp; $A56, Table2[AwayTeam], E$1)+SUMIFS(Table2[NewPointsHome],Table2[GameDate], "&lt;=" &amp; $A56, Table2[HomeTeam], E$1)</f>
        <v>22</v>
      </c>
      <c r="F56" s="145">
        <f>SUMIFS(Table2[NewPointsAway],Table2[GameDate], "&lt;=" &amp; $A56, Table2[AwayTeam], F$1)+SUMIFS(Table2[NewPointsHome],Table2[GameDate], "&lt;=" &amp; $A56, Table2[HomeTeam], F$1)</f>
        <v>17</v>
      </c>
      <c r="G56" s="145">
        <f>SUMIFS(Table2[NewPointsAway],Table2[GameDate], "&lt;=" &amp; $A56, Table2[AwayTeam], G$1)+SUMIFS(Table2[NewPointsHome],Table2[GameDate], "&lt;=" &amp; $A56, Table2[HomeTeam], G$1)</f>
        <v>10</v>
      </c>
      <c r="H56" s="145">
        <f>SUMIFS(Table2[NewPointsAway],Table2[GameDate], "&lt;=" &amp; $A56, Table2[AwayTeam], H$1)+SUMIFS(Table2[NewPointsHome],Table2[GameDate], "&lt;=" &amp; $A56, Table2[HomeTeam], H$1)</f>
        <v>19</v>
      </c>
      <c r="I56" s="145">
        <f>SUMIFS(Table2[NewPointsAway],Table2[GameDate], "&lt;=" &amp; $A56, Table2[AwayTeam], I$1)+SUMIFS(Table2[NewPointsHome],Table2[GameDate], "&lt;=" &amp; $A56, Table2[HomeTeam], I$1)</f>
        <v>27</v>
      </c>
      <c r="J56" s="145">
        <f>SUMIFS(Table2[NewPointsAway],Table2[GameDate], "&lt;=" &amp; $A56, Table2[AwayTeam], J$1)+SUMIFS(Table2[NewPointsHome],Table2[GameDate], "&lt;=" &amp; $A56, Table2[HomeTeam], J$1)</f>
        <v>23</v>
      </c>
      <c r="K56" s="145">
        <f>SUMIFS(Table2[NewPointsAway],Table2[GameDate], "&lt;=" &amp; $A56, Table2[AwayTeam], K$1)+SUMIFS(Table2[NewPointsHome],Table2[GameDate], "&lt;=" &amp; $A56, Table2[HomeTeam], K$1)</f>
        <v>18</v>
      </c>
      <c r="L56" s="145">
        <f>SUMIFS(Table2[NewPointsAway],Table2[GameDate], "&lt;=" &amp; $A56, Table2[AwayTeam], L$1)+SUMIFS(Table2[NewPointsHome],Table2[GameDate], "&lt;=" &amp; $A56, Table2[HomeTeam], L$1)</f>
        <v>20</v>
      </c>
      <c r="M56" s="145">
        <f>SUMIFS(Table2[NewPointsAway],Table2[GameDate], "&lt;=" &amp; $A56, Table2[AwayTeam], M$1)+SUMIFS(Table2[NewPointsHome],Table2[GameDate], "&lt;=" &amp; $A56, Table2[HomeTeam], M$1)</f>
        <v>17</v>
      </c>
      <c r="N56" s="145">
        <f>SUMIFS(Table2[NewPointsAway],Table2[GameDate], "&lt;=" &amp; $A56, Table2[AwayTeam], N$1)+SUMIFS(Table2[NewPointsHome],Table2[GameDate], "&lt;=" &amp; $A56, Table2[HomeTeam], N$1)</f>
        <v>20</v>
      </c>
      <c r="O56" s="145">
        <f>SUMIFS(Table2[NewPointsAway],Table2[GameDate], "&lt;=" &amp; $A56, Table2[AwayTeam], O$1)+SUMIFS(Table2[NewPointsHome],Table2[GameDate], "&lt;=" &amp; $A56, Table2[HomeTeam], O$1)</f>
        <v>18</v>
      </c>
      <c r="P56" s="145">
        <f>SUMIFS(Table2[NewPointsAway],Table2[GameDate], "&lt;=" &amp; $A56, Table2[AwayTeam], P$1)+SUMIFS(Table2[NewPointsHome],Table2[GameDate], "&lt;=" &amp; $A56, Table2[HomeTeam], P$1)</f>
        <v>22</v>
      </c>
      <c r="Q56" s="145">
        <f>SUMIFS(Table2[NewPointsAway],Table2[GameDate], "&lt;=" &amp; $A56, Table2[AwayTeam], Q$1)+SUMIFS(Table2[NewPointsHome],Table2[GameDate], "&lt;=" &amp; $A56, Table2[HomeTeam], Q$1)</f>
        <v>23</v>
      </c>
      <c r="R56" s="145">
        <f>SUMIFS(Table2[NewPointsAway],Table2[GameDate], "&lt;=" &amp; $A56, Table2[AwayTeam], R$1)+SUMIFS(Table2[NewPointsHome],Table2[GameDate], "&lt;=" &amp; $A56, Table2[HomeTeam], R$1)</f>
        <v>14</v>
      </c>
      <c r="S56" s="145">
        <f>SUMIFS(Table2[NewPointsAway],Table2[GameDate], "&lt;=" &amp; $A56, Table2[AwayTeam], S$1)+SUMIFS(Table2[NewPointsHome],Table2[GameDate], "&lt;=" &amp; $A56, Table2[HomeTeam], S$1)</f>
        <v>18</v>
      </c>
      <c r="T56" s="145">
        <f>SUMIFS(Table2[NewPointsAway],Table2[GameDate], "&lt;=" &amp; $A56, Table2[AwayTeam], T$1)+SUMIFS(Table2[NewPointsHome],Table2[GameDate], "&lt;=" &amp; $A56, Table2[HomeTeam], T$1)</f>
        <v>20</v>
      </c>
      <c r="U56" s="145">
        <f>SUMIFS(Table2[NewPointsAway],Table2[GameDate], "&lt;=" &amp; $A56, Table2[AwayTeam], U$1)+SUMIFS(Table2[NewPointsHome],Table2[GameDate], "&lt;=" &amp; $A56, Table2[HomeTeam], U$1)</f>
        <v>20</v>
      </c>
      <c r="V56" s="145">
        <f>SUMIFS(Table2[NewPointsAway],Table2[GameDate], "&lt;=" &amp; $A56, Table2[AwayTeam], V$1)+SUMIFS(Table2[NewPointsHome],Table2[GameDate], "&lt;=" &amp; $A56, Table2[HomeTeam], V$1)</f>
        <v>19</v>
      </c>
      <c r="W56" s="145">
        <f>SUMIFS(Table2[NewPointsAway],Table2[GameDate], "&lt;=" &amp; $A56, Table2[AwayTeam], W$1)+SUMIFS(Table2[NewPointsHome],Table2[GameDate], "&lt;=" &amp; $A56, Table2[HomeTeam], W$1)</f>
        <v>21</v>
      </c>
      <c r="X56" s="145">
        <f>SUMIFS(Table2[NewPointsAway],Table2[GameDate], "&lt;=" &amp; $A56, Table2[AwayTeam], X$1)+SUMIFS(Table2[NewPointsHome],Table2[GameDate], "&lt;=" &amp; $A56, Table2[HomeTeam], X$1)</f>
        <v>19</v>
      </c>
      <c r="Y56" s="145">
        <f>SUMIFS(Table2[NewPointsAway],Table2[GameDate], "&lt;=" &amp; $A56, Table2[AwayTeam], Y$1)+SUMIFS(Table2[NewPointsHome],Table2[GameDate], "&lt;=" &amp; $A56, Table2[HomeTeam], Y$1)</f>
        <v>19</v>
      </c>
      <c r="Z56" s="145">
        <f>SUMIFS(Table2[NewPointsAway],Table2[GameDate], "&lt;=" &amp; $A56, Table2[AwayTeam], Z$1)+SUMIFS(Table2[NewPointsHome],Table2[GameDate], "&lt;=" &amp; $A56, Table2[HomeTeam], Z$1)</f>
        <v>15</v>
      </c>
      <c r="AA56" s="145">
        <f>SUMIFS(Table2[NewPointsAway],Table2[GameDate], "&lt;=" &amp; $A56, Table2[AwayTeam], AA$1)+SUMIFS(Table2[NewPointsHome],Table2[GameDate], "&lt;=" &amp; $A56, Table2[HomeTeam], AA$1)</f>
        <v>18</v>
      </c>
      <c r="AB56" s="145">
        <f>SUMIFS(Table2[NewPointsAway],Table2[GameDate], "&lt;=" &amp; $A56, Table2[AwayTeam], AB$1)+SUMIFS(Table2[NewPointsHome],Table2[GameDate], "&lt;=" &amp; $A56, Table2[HomeTeam], AB$1)</f>
        <v>17</v>
      </c>
      <c r="AC56" s="145">
        <f>SUMIFS(Table2[NewPointsAway],Table2[GameDate], "&lt;=" &amp; $A56, Table2[AwayTeam], AC$1)+SUMIFS(Table2[NewPointsHome],Table2[GameDate], "&lt;=" &amp; $A56, Table2[HomeTeam], AC$1)</f>
        <v>18</v>
      </c>
      <c r="AD56" s="145">
        <f>SUMIFS(Table2[NewPointsAway],Table2[GameDate], "&lt;=" &amp; $A56, Table2[AwayTeam], AD$1)+SUMIFS(Table2[NewPointsHome],Table2[GameDate], "&lt;=" &amp; $A56, Table2[HomeTeam], AD$1)</f>
        <v>17</v>
      </c>
      <c r="AE56" s="145">
        <f>SUMIFS(Table2[NewPointsAway],Table2[GameDate], "&lt;=" &amp; $A56, Table2[AwayTeam], AE$1)+SUMIFS(Table2[NewPointsHome],Table2[GameDate], "&lt;=" &amp; $A56, Table2[HomeTeam], AE$1)</f>
        <v>18</v>
      </c>
      <c r="AF56" s="145">
        <f>SUMIFS(Table2[NewPointsAway],Table2[GameDate], "&lt;=" &amp; $A56, Table2[AwayTeam], AF$1)+SUMIFS(Table2[NewPointsHome],Table2[GameDate], "&lt;=" &amp; $A56, Table2[HomeTeam], AF$1)</f>
        <v>20</v>
      </c>
      <c r="AG56" s="145">
        <f>SUMIFS(Table2[NewPointsAway],Table2[GameDate], "&lt;=" &amp; $A56, Table2[AwayTeam], AG$1)+SUMIFS(Table2[NewPointsHome],Table2[GameDate], "&lt;=" &amp; $A56, Table2[HomeTeam], AG$1)</f>
        <v>17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23</v>
      </c>
      <c r="C57" s="145">
        <f>SUMIFS(Table2[NewPointsAway],Table2[GameDate], "&lt;=" &amp; $A57, Table2[AwayTeam], C$1)+SUMIFS(Table2[NewPointsHome],Table2[GameDate], "&lt;=" &amp; $A57, Table2[HomeTeam], C$1)</f>
        <v>22</v>
      </c>
      <c r="D57" s="145">
        <f>SUMIFS(Table2[NewPointsAway],Table2[GameDate], "&lt;=" &amp; $A57, Table2[AwayTeam], D$1)+SUMIFS(Table2[NewPointsHome],Table2[GameDate], "&lt;=" &amp; $A57, Table2[HomeTeam], D$1)</f>
        <v>14</v>
      </c>
      <c r="E57" s="145">
        <f>SUMIFS(Table2[NewPointsAway],Table2[GameDate], "&lt;=" &amp; $A57, Table2[AwayTeam], E$1)+SUMIFS(Table2[NewPointsHome],Table2[GameDate], "&lt;=" &amp; $A57, Table2[HomeTeam], E$1)</f>
        <v>22</v>
      </c>
      <c r="F57" s="145">
        <f>SUMIFS(Table2[NewPointsAway],Table2[GameDate], "&lt;=" &amp; $A57, Table2[AwayTeam], F$1)+SUMIFS(Table2[NewPointsHome],Table2[GameDate], "&lt;=" &amp; $A57, Table2[HomeTeam], F$1)</f>
        <v>17</v>
      </c>
      <c r="G57" s="145">
        <f>SUMIFS(Table2[NewPointsAway],Table2[GameDate], "&lt;=" &amp; $A57, Table2[AwayTeam], G$1)+SUMIFS(Table2[NewPointsHome],Table2[GameDate], "&lt;=" &amp; $A57, Table2[HomeTeam], G$1)</f>
        <v>10</v>
      </c>
      <c r="H57" s="145">
        <f>SUMIFS(Table2[NewPointsAway],Table2[GameDate], "&lt;=" &amp; $A57, Table2[AwayTeam], H$1)+SUMIFS(Table2[NewPointsHome],Table2[GameDate], "&lt;=" &amp; $A57, Table2[HomeTeam], H$1)</f>
        <v>19</v>
      </c>
      <c r="I57" s="145">
        <f>SUMIFS(Table2[NewPointsAway],Table2[GameDate], "&lt;=" &amp; $A57, Table2[AwayTeam], I$1)+SUMIFS(Table2[NewPointsHome],Table2[GameDate], "&lt;=" &amp; $A57, Table2[HomeTeam], I$1)</f>
        <v>27</v>
      </c>
      <c r="J57" s="145">
        <f>SUMIFS(Table2[NewPointsAway],Table2[GameDate], "&lt;=" &amp; $A57, Table2[AwayTeam], J$1)+SUMIFS(Table2[NewPointsHome],Table2[GameDate], "&lt;=" &amp; $A57, Table2[HomeTeam], J$1)</f>
        <v>23</v>
      </c>
      <c r="K57" s="145">
        <f>SUMIFS(Table2[NewPointsAway],Table2[GameDate], "&lt;=" &amp; $A57, Table2[AwayTeam], K$1)+SUMIFS(Table2[NewPointsHome],Table2[GameDate], "&lt;=" &amp; $A57, Table2[HomeTeam], K$1)</f>
        <v>18</v>
      </c>
      <c r="L57" s="145">
        <f>SUMIFS(Table2[NewPointsAway],Table2[GameDate], "&lt;=" &amp; $A57, Table2[AwayTeam], L$1)+SUMIFS(Table2[NewPointsHome],Table2[GameDate], "&lt;=" &amp; $A57, Table2[HomeTeam], L$1)</f>
        <v>20</v>
      </c>
      <c r="M57" s="145">
        <f>SUMIFS(Table2[NewPointsAway],Table2[GameDate], "&lt;=" &amp; $A57, Table2[AwayTeam], M$1)+SUMIFS(Table2[NewPointsHome],Table2[GameDate], "&lt;=" &amp; $A57, Table2[HomeTeam], M$1)</f>
        <v>17</v>
      </c>
      <c r="N57" s="145">
        <f>SUMIFS(Table2[NewPointsAway],Table2[GameDate], "&lt;=" &amp; $A57, Table2[AwayTeam], N$1)+SUMIFS(Table2[NewPointsHome],Table2[GameDate], "&lt;=" &amp; $A57, Table2[HomeTeam], N$1)</f>
        <v>20</v>
      </c>
      <c r="O57" s="145">
        <f>SUMIFS(Table2[NewPointsAway],Table2[GameDate], "&lt;=" &amp; $A57, Table2[AwayTeam], O$1)+SUMIFS(Table2[NewPointsHome],Table2[GameDate], "&lt;=" &amp; $A57, Table2[HomeTeam], O$1)</f>
        <v>18</v>
      </c>
      <c r="P57" s="145">
        <f>SUMIFS(Table2[NewPointsAway],Table2[GameDate], "&lt;=" &amp; $A57, Table2[AwayTeam], P$1)+SUMIFS(Table2[NewPointsHome],Table2[GameDate], "&lt;=" &amp; $A57, Table2[HomeTeam], P$1)</f>
        <v>22</v>
      </c>
      <c r="Q57" s="145">
        <f>SUMIFS(Table2[NewPointsAway],Table2[GameDate], "&lt;=" &amp; $A57, Table2[AwayTeam], Q$1)+SUMIFS(Table2[NewPointsHome],Table2[GameDate], "&lt;=" &amp; $A57, Table2[HomeTeam], Q$1)</f>
        <v>23</v>
      </c>
      <c r="R57" s="145">
        <f>SUMIFS(Table2[NewPointsAway],Table2[GameDate], "&lt;=" &amp; $A57, Table2[AwayTeam], R$1)+SUMIFS(Table2[NewPointsHome],Table2[GameDate], "&lt;=" &amp; $A57, Table2[HomeTeam], R$1)</f>
        <v>14</v>
      </c>
      <c r="S57" s="145">
        <f>SUMIFS(Table2[NewPointsAway],Table2[GameDate], "&lt;=" &amp; $A57, Table2[AwayTeam], S$1)+SUMIFS(Table2[NewPointsHome],Table2[GameDate], "&lt;=" &amp; $A57, Table2[HomeTeam], S$1)</f>
        <v>18</v>
      </c>
      <c r="T57" s="145">
        <f>SUMIFS(Table2[NewPointsAway],Table2[GameDate], "&lt;=" &amp; $A57, Table2[AwayTeam], T$1)+SUMIFS(Table2[NewPointsHome],Table2[GameDate], "&lt;=" &amp; $A57, Table2[HomeTeam], T$1)</f>
        <v>20</v>
      </c>
      <c r="U57" s="145">
        <f>SUMIFS(Table2[NewPointsAway],Table2[GameDate], "&lt;=" &amp; $A57, Table2[AwayTeam], U$1)+SUMIFS(Table2[NewPointsHome],Table2[GameDate], "&lt;=" &amp; $A57, Table2[HomeTeam], U$1)</f>
        <v>20</v>
      </c>
      <c r="V57" s="145">
        <f>SUMIFS(Table2[NewPointsAway],Table2[GameDate], "&lt;=" &amp; $A57, Table2[AwayTeam], V$1)+SUMIFS(Table2[NewPointsHome],Table2[GameDate], "&lt;=" &amp; $A57, Table2[HomeTeam], V$1)</f>
        <v>19</v>
      </c>
      <c r="W57" s="145">
        <f>SUMIFS(Table2[NewPointsAway],Table2[GameDate], "&lt;=" &amp; $A57, Table2[AwayTeam], W$1)+SUMIFS(Table2[NewPointsHome],Table2[GameDate], "&lt;=" &amp; $A57, Table2[HomeTeam], W$1)</f>
        <v>21</v>
      </c>
      <c r="X57" s="145">
        <f>SUMIFS(Table2[NewPointsAway],Table2[GameDate], "&lt;=" &amp; $A57, Table2[AwayTeam], X$1)+SUMIFS(Table2[NewPointsHome],Table2[GameDate], "&lt;=" &amp; $A57, Table2[HomeTeam], X$1)</f>
        <v>19</v>
      </c>
      <c r="Y57" s="145">
        <f>SUMIFS(Table2[NewPointsAway],Table2[GameDate], "&lt;=" &amp; $A57, Table2[AwayTeam], Y$1)+SUMIFS(Table2[NewPointsHome],Table2[GameDate], "&lt;=" &amp; $A57, Table2[HomeTeam], Y$1)</f>
        <v>19</v>
      </c>
      <c r="Z57" s="145">
        <f>SUMIFS(Table2[NewPointsAway],Table2[GameDate], "&lt;=" &amp; $A57, Table2[AwayTeam], Z$1)+SUMIFS(Table2[NewPointsHome],Table2[GameDate], "&lt;=" &amp; $A57, Table2[HomeTeam], Z$1)</f>
        <v>15</v>
      </c>
      <c r="AA57" s="145">
        <f>SUMIFS(Table2[NewPointsAway],Table2[GameDate], "&lt;=" &amp; $A57, Table2[AwayTeam], AA$1)+SUMIFS(Table2[NewPointsHome],Table2[GameDate], "&lt;=" &amp; $A57, Table2[HomeTeam], AA$1)</f>
        <v>18</v>
      </c>
      <c r="AB57" s="145">
        <f>SUMIFS(Table2[NewPointsAway],Table2[GameDate], "&lt;=" &amp; $A57, Table2[AwayTeam], AB$1)+SUMIFS(Table2[NewPointsHome],Table2[GameDate], "&lt;=" &amp; $A57, Table2[HomeTeam], AB$1)</f>
        <v>17</v>
      </c>
      <c r="AC57" s="145">
        <f>SUMIFS(Table2[NewPointsAway],Table2[GameDate], "&lt;=" &amp; $A57, Table2[AwayTeam], AC$1)+SUMIFS(Table2[NewPointsHome],Table2[GameDate], "&lt;=" &amp; $A57, Table2[HomeTeam], AC$1)</f>
        <v>18</v>
      </c>
      <c r="AD57" s="145">
        <f>SUMIFS(Table2[NewPointsAway],Table2[GameDate], "&lt;=" &amp; $A57, Table2[AwayTeam], AD$1)+SUMIFS(Table2[NewPointsHome],Table2[GameDate], "&lt;=" &amp; $A57, Table2[HomeTeam], AD$1)</f>
        <v>17</v>
      </c>
      <c r="AE57" s="145">
        <f>SUMIFS(Table2[NewPointsAway],Table2[GameDate], "&lt;=" &amp; $A57, Table2[AwayTeam], AE$1)+SUMIFS(Table2[NewPointsHome],Table2[GameDate], "&lt;=" &amp; $A57, Table2[HomeTeam], AE$1)</f>
        <v>18</v>
      </c>
      <c r="AF57" s="145">
        <f>SUMIFS(Table2[NewPointsAway],Table2[GameDate], "&lt;=" &amp; $A57, Table2[AwayTeam], AF$1)+SUMIFS(Table2[NewPointsHome],Table2[GameDate], "&lt;=" &amp; $A57, Table2[HomeTeam], AF$1)</f>
        <v>20</v>
      </c>
      <c r="AG57" s="145">
        <f>SUMIFS(Table2[NewPointsAway],Table2[GameDate], "&lt;=" &amp; $A57, Table2[AwayTeam], AG$1)+SUMIFS(Table2[NewPointsHome],Table2[GameDate], "&lt;=" &amp; $A57, Table2[HomeTeam], AG$1)</f>
        <v>17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23</v>
      </c>
      <c r="C58" s="145">
        <f>SUMIFS(Table2[NewPointsAway],Table2[GameDate], "&lt;=" &amp; $A58, Table2[AwayTeam], C$1)+SUMIFS(Table2[NewPointsHome],Table2[GameDate], "&lt;=" &amp; $A58, Table2[HomeTeam], C$1)</f>
        <v>22</v>
      </c>
      <c r="D58" s="145">
        <f>SUMIFS(Table2[NewPointsAway],Table2[GameDate], "&lt;=" &amp; $A58, Table2[AwayTeam], D$1)+SUMIFS(Table2[NewPointsHome],Table2[GameDate], "&lt;=" &amp; $A58, Table2[HomeTeam], D$1)</f>
        <v>14</v>
      </c>
      <c r="E58" s="145">
        <f>SUMIFS(Table2[NewPointsAway],Table2[GameDate], "&lt;=" &amp; $A58, Table2[AwayTeam], E$1)+SUMIFS(Table2[NewPointsHome],Table2[GameDate], "&lt;=" &amp; $A58, Table2[HomeTeam], E$1)</f>
        <v>22</v>
      </c>
      <c r="F58" s="145">
        <f>SUMIFS(Table2[NewPointsAway],Table2[GameDate], "&lt;=" &amp; $A58, Table2[AwayTeam], F$1)+SUMIFS(Table2[NewPointsHome],Table2[GameDate], "&lt;=" &amp; $A58, Table2[HomeTeam], F$1)</f>
        <v>17</v>
      </c>
      <c r="G58" s="145">
        <f>SUMIFS(Table2[NewPointsAway],Table2[GameDate], "&lt;=" &amp; $A58, Table2[AwayTeam], G$1)+SUMIFS(Table2[NewPointsHome],Table2[GameDate], "&lt;=" &amp; $A58, Table2[HomeTeam], G$1)</f>
        <v>10</v>
      </c>
      <c r="H58" s="145">
        <f>SUMIFS(Table2[NewPointsAway],Table2[GameDate], "&lt;=" &amp; $A58, Table2[AwayTeam], H$1)+SUMIFS(Table2[NewPointsHome],Table2[GameDate], "&lt;=" &amp; $A58, Table2[HomeTeam], H$1)</f>
        <v>19</v>
      </c>
      <c r="I58" s="145">
        <f>SUMIFS(Table2[NewPointsAway],Table2[GameDate], "&lt;=" &amp; $A58, Table2[AwayTeam], I$1)+SUMIFS(Table2[NewPointsHome],Table2[GameDate], "&lt;=" &amp; $A58, Table2[HomeTeam], I$1)</f>
        <v>27</v>
      </c>
      <c r="J58" s="145">
        <f>SUMIFS(Table2[NewPointsAway],Table2[GameDate], "&lt;=" &amp; $A58, Table2[AwayTeam], J$1)+SUMIFS(Table2[NewPointsHome],Table2[GameDate], "&lt;=" &amp; $A58, Table2[HomeTeam], J$1)</f>
        <v>23</v>
      </c>
      <c r="K58" s="145">
        <f>SUMIFS(Table2[NewPointsAway],Table2[GameDate], "&lt;=" &amp; $A58, Table2[AwayTeam], K$1)+SUMIFS(Table2[NewPointsHome],Table2[GameDate], "&lt;=" &amp; $A58, Table2[HomeTeam], K$1)</f>
        <v>18</v>
      </c>
      <c r="L58" s="145">
        <f>SUMIFS(Table2[NewPointsAway],Table2[GameDate], "&lt;=" &amp; $A58, Table2[AwayTeam], L$1)+SUMIFS(Table2[NewPointsHome],Table2[GameDate], "&lt;=" &amp; $A58, Table2[HomeTeam], L$1)</f>
        <v>20</v>
      </c>
      <c r="M58" s="145">
        <f>SUMIFS(Table2[NewPointsAway],Table2[GameDate], "&lt;=" &amp; $A58, Table2[AwayTeam], M$1)+SUMIFS(Table2[NewPointsHome],Table2[GameDate], "&lt;=" &amp; $A58, Table2[HomeTeam], M$1)</f>
        <v>17</v>
      </c>
      <c r="N58" s="145">
        <f>SUMIFS(Table2[NewPointsAway],Table2[GameDate], "&lt;=" &amp; $A58, Table2[AwayTeam], N$1)+SUMIFS(Table2[NewPointsHome],Table2[GameDate], "&lt;=" &amp; $A58, Table2[HomeTeam], N$1)</f>
        <v>20</v>
      </c>
      <c r="O58" s="145">
        <f>SUMIFS(Table2[NewPointsAway],Table2[GameDate], "&lt;=" &amp; $A58, Table2[AwayTeam], O$1)+SUMIFS(Table2[NewPointsHome],Table2[GameDate], "&lt;=" &amp; $A58, Table2[HomeTeam], O$1)</f>
        <v>18</v>
      </c>
      <c r="P58" s="145">
        <f>SUMIFS(Table2[NewPointsAway],Table2[GameDate], "&lt;=" &amp; $A58, Table2[AwayTeam], P$1)+SUMIFS(Table2[NewPointsHome],Table2[GameDate], "&lt;=" &amp; $A58, Table2[HomeTeam], P$1)</f>
        <v>22</v>
      </c>
      <c r="Q58" s="145">
        <f>SUMIFS(Table2[NewPointsAway],Table2[GameDate], "&lt;=" &amp; $A58, Table2[AwayTeam], Q$1)+SUMIFS(Table2[NewPointsHome],Table2[GameDate], "&lt;=" &amp; $A58, Table2[HomeTeam], Q$1)</f>
        <v>23</v>
      </c>
      <c r="R58" s="145">
        <f>SUMIFS(Table2[NewPointsAway],Table2[GameDate], "&lt;=" &amp; $A58, Table2[AwayTeam], R$1)+SUMIFS(Table2[NewPointsHome],Table2[GameDate], "&lt;=" &amp; $A58, Table2[HomeTeam], R$1)</f>
        <v>14</v>
      </c>
      <c r="S58" s="145">
        <f>SUMIFS(Table2[NewPointsAway],Table2[GameDate], "&lt;=" &amp; $A58, Table2[AwayTeam], S$1)+SUMIFS(Table2[NewPointsHome],Table2[GameDate], "&lt;=" &amp; $A58, Table2[HomeTeam], S$1)</f>
        <v>18</v>
      </c>
      <c r="T58" s="145">
        <f>SUMIFS(Table2[NewPointsAway],Table2[GameDate], "&lt;=" &amp; $A58, Table2[AwayTeam], T$1)+SUMIFS(Table2[NewPointsHome],Table2[GameDate], "&lt;=" &amp; $A58, Table2[HomeTeam], T$1)</f>
        <v>20</v>
      </c>
      <c r="U58" s="145">
        <f>SUMIFS(Table2[NewPointsAway],Table2[GameDate], "&lt;=" &amp; $A58, Table2[AwayTeam], U$1)+SUMIFS(Table2[NewPointsHome],Table2[GameDate], "&lt;=" &amp; $A58, Table2[HomeTeam], U$1)</f>
        <v>20</v>
      </c>
      <c r="V58" s="145">
        <f>SUMIFS(Table2[NewPointsAway],Table2[GameDate], "&lt;=" &amp; $A58, Table2[AwayTeam], V$1)+SUMIFS(Table2[NewPointsHome],Table2[GameDate], "&lt;=" &amp; $A58, Table2[HomeTeam], V$1)</f>
        <v>19</v>
      </c>
      <c r="W58" s="145">
        <f>SUMIFS(Table2[NewPointsAway],Table2[GameDate], "&lt;=" &amp; $A58, Table2[AwayTeam], W$1)+SUMIFS(Table2[NewPointsHome],Table2[GameDate], "&lt;=" &amp; $A58, Table2[HomeTeam], W$1)</f>
        <v>21</v>
      </c>
      <c r="X58" s="145">
        <f>SUMIFS(Table2[NewPointsAway],Table2[GameDate], "&lt;=" &amp; $A58, Table2[AwayTeam], X$1)+SUMIFS(Table2[NewPointsHome],Table2[GameDate], "&lt;=" &amp; $A58, Table2[HomeTeam], X$1)</f>
        <v>19</v>
      </c>
      <c r="Y58" s="145">
        <f>SUMIFS(Table2[NewPointsAway],Table2[GameDate], "&lt;=" &amp; $A58, Table2[AwayTeam], Y$1)+SUMIFS(Table2[NewPointsHome],Table2[GameDate], "&lt;=" &amp; $A58, Table2[HomeTeam], Y$1)</f>
        <v>19</v>
      </c>
      <c r="Z58" s="145">
        <f>SUMIFS(Table2[NewPointsAway],Table2[GameDate], "&lt;=" &amp; $A58, Table2[AwayTeam], Z$1)+SUMIFS(Table2[NewPointsHome],Table2[GameDate], "&lt;=" &amp; $A58, Table2[HomeTeam], Z$1)</f>
        <v>15</v>
      </c>
      <c r="AA58" s="145">
        <f>SUMIFS(Table2[NewPointsAway],Table2[GameDate], "&lt;=" &amp; $A58, Table2[AwayTeam], AA$1)+SUMIFS(Table2[NewPointsHome],Table2[GameDate], "&lt;=" &amp; $A58, Table2[HomeTeam], AA$1)</f>
        <v>18</v>
      </c>
      <c r="AB58" s="145">
        <f>SUMIFS(Table2[NewPointsAway],Table2[GameDate], "&lt;=" &amp; $A58, Table2[AwayTeam], AB$1)+SUMIFS(Table2[NewPointsHome],Table2[GameDate], "&lt;=" &amp; $A58, Table2[HomeTeam], AB$1)</f>
        <v>17</v>
      </c>
      <c r="AC58" s="145">
        <f>SUMIFS(Table2[NewPointsAway],Table2[GameDate], "&lt;=" &amp; $A58, Table2[AwayTeam], AC$1)+SUMIFS(Table2[NewPointsHome],Table2[GameDate], "&lt;=" &amp; $A58, Table2[HomeTeam], AC$1)</f>
        <v>18</v>
      </c>
      <c r="AD58" s="145">
        <f>SUMIFS(Table2[NewPointsAway],Table2[GameDate], "&lt;=" &amp; $A58, Table2[AwayTeam], AD$1)+SUMIFS(Table2[NewPointsHome],Table2[GameDate], "&lt;=" &amp; $A58, Table2[HomeTeam], AD$1)</f>
        <v>17</v>
      </c>
      <c r="AE58" s="145">
        <f>SUMIFS(Table2[NewPointsAway],Table2[GameDate], "&lt;=" &amp; $A58, Table2[AwayTeam], AE$1)+SUMIFS(Table2[NewPointsHome],Table2[GameDate], "&lt;=" &amp; $A58, Table2[HomeTeam], AE$1)</f>
        <v>18</v>
      </c>
      <c r="AF58" s="145">
        <f>SUMIFS(Table2[NewPointsAway],Table2[GameDate], "&lt;=" &amp; $A58, Table2[AwayTeam], AF$1)+SUMIFS(Table2[NewPointsHome],Table2[GameDate], "&lt;=" &amp; $A58, Table2[HomeTeam], AF$1)</f>
        <v>20</v>
      </c>
      <c r="AG58" s="145">
        <f>SUMIFS(Table2[NewPointsAway],Table2[GameDate], "&lt;=" &amp; $A58, Table2[AwayTeam], AG$1)+SUMIFS(Table2[NewPointsHome],Table2[GameDate], "&lt;=" &amp; $A58, Table2[HomeTeam], AG$1)</f>
        <v>17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23</v>
      </c>
      <c r="C59" s="145">
        <f>SUMIFS(Table2[NewPointsAway],Table2[GameDate], "&lt;=" &amp; $A59, Table2[AwayTeam], C$1)+SUMIFS(Table2[NewPointsHome],Table2[GameDate], "&lt;=" &amp; $A59, Table2[HomeTeam], C$1)</f>
        <v>22</v>
      </c>
      <c r="D59" s="145">
        <f>SUMIFS(Table2[NewPointsAway],Table2[GameDate], "&lt;=" &amp; $A59, Table2[AwayTeam], D$1)+SUMIFS(Table2[NewPointsHome],Table2[GameDate], "&lt;=" &amp; $A59, Table2[HomeTeam], D$1)</f>
        <v>14</v>
      </c>
      <c r="E59" s="145">
        <f>SUMIFS(Table2[NewPointsAway],Table2[GameDate], "&lt;=" &amp; $A59, Table2[AwayTeam], E$1)+SUMIFS(Table2[NewPointsHome],Table2[GameDate], "&lt;=" &amp; $A59, Table2[HomeTeam], E$1)</f>
        <v>22</v>
      </c>
      <c r="F59" s="145">
        <f>SUMIFS(Table2[NewPointsAway],Table2[GameDate], "&lt;=" &amp; $A59, Table2[AwayTeam], F$1)+SUMIFS(Table2[NewPointsHome],Table2[GameDate], "&lt;=" &amp; $A59, Table2[HomeTeam], F$1)</f>
        <v>17</v>
      </c>
      <c r="G59" s="145">
        <f>SUMIFS(Table2[NewPointsAway],Table2[GameDate], "&lt;=" &amp; $A59, Table2[AwayTeam], G$1)+SUMIFS(Table2[NewPointsHome],Table2[GameDate], "&lt;=" &amp; $A59, Table2[HomeTeam], G$1)</f>
        <v>10</v>
      </c>
      <c r="H59" s="145">
        <f>SUMIFS(Table2[NewPointsAway],Table2[GameDate], "&lt;=" &amp; $A59, Table2[AwayTeam], H$1)+SUMIFS(Table2[NewPointsHome],Table2[GameDate], "&lt;=" &amp; $A59, Table2[HomeTeam], H$1)</f>
        <v>19</v>
      </c>
      <c r="I59" s="145">
        <f>SUMIFS(Table2[NewPointsAway],Table2[GameDate], "&lt;=" &amp; $A59, Table2[AwayTeam], I$1)+SUMIFS(Table2[NewPointsHome],Table2[GameDate], "&lt;=" &amp; $A59, Table2[HomeTeam], I$1)</f>
        <v>27</v>
      </c>
      <c r="J59" s="145">
        <f>SUMIFS(Table2[NewPointsAway],Table2[GameDate], "&lt;=" &amp; $A59, Table2[AwayTeam], J$1)+SUMIFS(Table2[NewPointsHome],Table2[GameDate], "&lt;=" &amp; $A59, Table2[HomeTeam], J$1)</f>
        <v>23</v>
      </c>
      <c r="K59" s="145">
        <f>SUMIFS(Table2[NewPointsAway],Table2[GameDate], "&lt;=" &amp; $A59, Table2[AwayTeam], K$1)+SUMIFS(Table2[NewPointsHome],Table2[GameDate], "&lt;=" &amp; $A59, Table2[HomeTeam], K$1)</f>
        <v>18</v>
      </c>
      <c r="L59" s="145">
        <f>SUMIFS(Table2[NewPointsAway],Table2[GameDate], "&lt;=" &amp; $A59, Table2[AwayTeam], L$1)+SUMIFS(Table2[NewPointsHome],Table2[GameDate], "&lt;=" &amp; $A59, Table2[HomeTeam], L$1)</f>
        <v>20</v>
      </c>
      <c r="M59" s="145">
        <f>SUMIFS(Table2[NewPointsAway],Table2[GameDate], "&lt;=" &amp; $A59, Table2[AwayTeam], M$1)+SUMIFS(Table2[NewPointsHome],Table2[GameDate], "&lt;=" &amp; $A59, Table2[HomeTeam], M$1)</f>
        <v>17</v>
      </c>
      <c r="N59" s="145">
        <f>SUMIFS(Table2[NewPointsAway],Table2[GameDate], "&lt;=" &amp; $A59, Table2[AwayTeam], N$1)+SUMIFS(Table2[NewPointsHome],Table2[GameDate], "&lt;=" &amp; $A59, Table2[HomeTeam], N$1)</f>
        <v>20</v>
      </c>
      <c r="O59" s="145">
        <f>SUMIFS(Table2[NewPointsAway],Table2[GameDate], "&lt;=" &amp; $A59, Table2[AwayTeam], O$1)+SUMIFS(Table2[NewPointsHome],Table2[GameDate], "&lt;=" &amp; $A59, Table2[HomeTeam], O$1)</f>
        <v>18</v>
      </c>
      <c r="P59" s="145">
        <f>SUMIFS(Table2[NewPointsAway],Table2[GameDate], "&lt;=" &amp; $A59, Table2[AwayTeam], P$1)+SUMIFS(Table2[NewPointsHome],Table2[GameDate], "&lt;=" &amp; $A59, Table2[HomeTeam], P$1)</f>
        <v>22</v>
      </c>
      <c r="Q59" s="145">
        <f>SUMIFS(Table2[NewPointsAway],Table2[GameDate], "&lt;=" &amp; $A59, Table2[AwayTeam], Q$1)+SUMIFS(Table2[NewPointsHome],Table2[GameDate], "&lt;=" &amp; $A59, Table2[HomeTeam], Q$1)</f>
        <v>23</v>
      </c>
      <c r="R59" s="145">
        <f>SUMIFS(Table2[NewPointsAway],Table2[GameDate], "&lt;=" &amp; $A59, Table2[AwayTeam], R$1)+SUMIFS(Table2[NewPointsHome],Table2[GameDate], "&lt;=" &amp; $A59, Table2[HomeTeam], R$1)</f>
        <v>14</v>
      </c>
      <c r="S59" s="145">
        <f>SUMIFS(Table2[NewPointsAway],Table2[GameDate], "&lt;=" &amp; $A59, Table2[AwayTeam], S$1)+SUMIFS(Table2[NewPointsHome],Table2[GameDate], "&lt;=" &amp; $A59, Table2[HomeTeam], S$1)</f>
        <v>18</v>
      </c>
      <c r="T59" s="145">
        <f>SUMIFS(Table2[NewPointsAway],Table2[GameDate], "&lt;=" &amp; $A59, Table2[AwayTeam], T$1)+SUMIFS(Table2[NewPointsHome],Table2[GameDate], "&lt;=" &amp; $A59, Table2[HomeTeam], T$1)</f>
        <v>20</v>
      </c>
      <c r="U59" s="145">
        <f>SUMIFS(Table2[NewPointsAway],Table2[GameDate], "&lt;=" &amp; $A59, Table2[AwayTeam], U$1)+SUMIFS(Table2[NewPointsHome],Table2[GameDate], "&lt;=" &amp; $A59, Table2[HomeTeam], U$1)</f>
        <v>20</v>
      </c>
      <c r="V59" s="145">
        <f>SUMIFS(Table2[NewPointsAway],Table2[GameDate], "&lt;=" &amp; $A59, Table2[AwayTeam], V$1)+SUMIFS(Table2[NewPointsHome],Table2[GameDate], "&lt;=" &amp; $A59, Table2[HomeTeam], V$1)</f>
        <v>19</v>
      </c>
      <c r="W59" s="145">
        <f>SUMIFS(Table2[NewPointsAway],Table2[GameDate], "&lt;=" &amp; $A59, Table2[AwayTeam], W$1)+SUMIFS(Table2[NewPointsHome],Table2[GameDate], "&lt;=" &amp; $A59, Table2[HomeTeam], W$1)</f>
        <v>21</v>
      </c>
      <c r="X59" s="145">
        <f>SUMIFS(Table2[NewPointsAway],Table2[GameDate], "&lt;=" &amp; $A59, Table2[AwayTeam], X$1)+SUMIFS(Table2[NewPointsHome],Table2[GameDate], "&lt;=" &amp; $A59, Table2[HomeTeam], X$1)</f>
        <v>19</v>
      </c>
      <c r="Y59" s="145">
        <f>SUMIFS(Table2[NewPointsAway],Table2[GameDate], "&lt;=" &amp; $A59, Table2[AwayTeam], Y$1)+SUMIFS(Table2[NewPointsHome],Table2[GameDate], "&lt;=" &amp; $A59, Table2[HomeTeam], Y$1)</f>
        <v>19</v>
      </c>
      <c r="Z59" s="145">
        <f>SUMIFS(Table2[NewPointsAway],Table2[GameDate], "&lt;=" &amp; $A59, Table2[AwayTeam], Z$1)+SUMIFS(Table2[NewPointsHome],Table2[GameDate], "&lt;=" &amp; $A59, Table2[HomeTeam], Z$1)</f>
        <v>15</v>
      </c>
      <c r="AA59" s="145">
        <f>SUMIFS(Table2[NewPointsAway],Table2[GameDate], "&lt;=" &amp; $A59, Table2[AwayTeam], AA$1)+SUMIFS(Table2[NewPointsHome],Table2[GameDate], "&lt;=" &amp; $A59, Table2[HomeTeam], AA$1)</f>
        <v>18</v>
      </c>
      <c r="AB59" s="145">
        <f>SUMIFS(Table2[NewPointsAway],Table2[GameDate], "&lt;=" &amp; $A59, Table2[AwayTeam], AB$1)+SUMIFS(Table2[NewPointsHome],Table2[GameDate], "&lt;=" &amp; $A59, Table2[HomeTeam], AB$1)</f>
        <v>17</v>
      </c>
      <c r="AC59" s="145">
        <f>SUMIFS(Table2[NewPointsAway],Table2[GameDate], "&lt;=" &amp; $A59, Table2[AwayTeam], AC$1)+SUMIFS(Table2[NewPointsHome],Table2[GameDate], "&lt;=" &amp; $A59, Table2[HomeTeam], AC$1)</f>
        <v>18</v>
      </c>
      <c r="AD59" s="145">
        <f>SUMIFS(Table2[NewPointsAway],Table2[GameDate], "&lt;=" &amp; $A59, Table2[AwayTeam], AD$1)+SUMIFS(Table2[NewPointsHome],Table2[GameDate], "&lt;=" &amp; $A59, Table2[HomeTeam], AD$1)</f>
        <v>17</v>
      </c>
      <c r="AE59" s="145">
        <f>SUMIFS(Table2[NewPointsAway],Table2[GameDate], "&lt;=" &amp; $A59, Table2[AwayTeam], AE$1)+SUMIFS(Table2[NewPointsHome],Table2[GameDate], "&lt;=" &amp; $A59, Table2[HomeTeam], AE$1)</f>
        <v>18</v>
      </c>
      <c r="AF59" s="145">
        <f>SUMIFS(Table2[NewPointsAway],Table2[GameDate], "&lt;=" &amp; $A59, Table2[AwayTeam], AF$1)+SUMIFS(Table2[NewPointsHome],Table2[GameDate], "&lt;=" &amp; $A59, Table2[HomeTeam], AF$1)</f>
        <v>20</v>
      </c>
      <c r="AG59" s="145">
        <f>SUMIFS(Table2[NewPointsAway],Table2[GameDate], "&lt;=" &amp; $A59, Table2[AwayTeam], AG$1)+SUMIFS(Table2[NewPointsHome],Table2[GameDate], "&lt;=" &amp; $A59, Table2[HomeTeam], AG$1)</f>
        <v>17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23</v>
      </c>
      <c r="C60" s="145">
        <f>SUMIFS(Table2[NewPointsAway],Table2[GameDate], "&lt;=" &amp; $A60, Table2[AwayTeam], C$1)+SUMIFS(Table2[NewPointsHome],Table2[GameDate], "&lt;=" &amp; $A60, Table2[HomeTeam], C$1)</f>
        <v>22</v>
      </c>
      <c r="D60" s="145">
        <f>SUMIFS(Table2[NewPointsAway],Table2[GameDate], "&lt;=" &amp; $A60, Table2[AwayTeam], D$1)+SUMIFS(Table2[NewPointsHome],Table2[GameDate], "&lt;=" &amp; $A60, Table2[HomeTeam], D$1)</f>
        <v>14</v>
      </c>
      <c r="E60" s="145">
        <f>SUMIFS(Table2[NewPointsAway],Table2[GameDate], "&lt;=" &amp; $A60, Table2[AwayTeam], E$1)+SUMIFS(Table2[NewPointsHome],Table2[GameDate], "&lt;=" &amp; $A60, Table2[HomeTeam], E$1)</f>
        <v>22</v>
      </c>
      <c r="F60" s="145">
        <f>SUMIFS(Table2[NewPointsAway],Table2[GameDate], "&lt;=" &amp; $A60, Table2[AwayTeam], F$1)+SUMIFS(Table2[NewPointsHome],Table2[GameDate], "&lt;=" &amp; $A60, Table2[HomeTeam], F$1)</f>
        <v>17</v>
      </c>
      <c r="G60" s="145">
        <f>SUMIFS(Table2[NewPointsAway],Table2[GameDate], "&lt;=" &amp; $A60, Table2[AwayTeam], G$1)+SUMIFS(Table2[NewPointsHome],Table2[GameDate], "&lt;=" &amp; $A60, Table2[HomeTeam], G$1)</f>
        <v>10</v>
      </c>
      <c r="H60" s="145">
        <f>SUMIFS(Table2[NewPointsAway],Table2[GameDate], "&lt;=" &amp; $A60, Table2[AwayTeam], H$1)+SUMIFS(Table2[NewPointsHome],Table2[GameDate], "&lt;=" &amp; $A60, Table2[HomeTeam], H$1)</f>
        <v>19</v>
      </c>
      <c r="I60" s="145">
        <f>SUMIFS(Table2[NewPointsAway],Table2[GameDate], "&lt;=" &amp; $A60, Table2[AwayTeam], I$1)+SUMIFS(Table2[NewPointsHome],Table2[GameDate], "&lt;=" &amp; $A60, Table2[HomeTeam], I$1)</f>
        <v>27</v>
      </c>
      <c r="J60" s="145">
        <f>SUMIFS(Table2[NewPointsAway],Table2[GameDate], "&lt;=" &amp; $A60, Table2[AwayTeam], J$1)+SUMIFS(Table2[NewPointsHome],Table2[GameDate], "&lt;=" &amp; $A60, Table2[HomeTeam], J$1)</f>
        <v>23</v>
      </c>
      <c r="K60" s="145">
        <f>SUMIFS(Table2[NewPointsAway],Table2[GameDate], "&lt;=" &amp; $A60, Table2[AwayTeam], K$1)+SUMIFS(Table2[NewPointsHome],Table2[GameDate], "&lt;=" &amp; $A60, Table2[HomeTeam], K$1)</f>
        <v>18</v>
      </c>
      <c r="L60" s="145">
        <f>SUMIFS(Table2[NewPointsAway],Table2[GameDate], "&lt;=" &amp; $A60, Table2[AwayTeam], L$1)+SUMIFS(Table2[NewPointsHome],Table2[GameDate], "&lt;=" &amp; $A60, Table2[HomeTeam], L$1)</f>
        <v>20</v>
      </c>
      <c r="M60" s="145">
        <f>SUMIFS(Table2[NewPointsAway],Table2[GameDate], "&lt;=" &amp; $A60, Table2[AwayTeam], M$1)+SUMIFS(Table2[NewPointsHome],Table2[GameDate], "&lt;=" &amp; $A60, Table2[HomeTeam], M$1)</f>
        <v>17</v>
      </c>
      <c r="N60" s="145">
        <f>SUMIFS(Table2[NewPointsAway],Table2[GameDate], "&lt;=" &amp; $A60, Table2[AwayTeam], N$1)+SUMIFS(Table2[NewPointsHome],Table2[GameDate], "&lt;=" &amp; $A60, Table2[HomeTeam], N$1)</f>
        <v>20</v>
      </c>
      <c r="O60" s="145">
        <f>SUMIFS(Table2[NewPointsAway],Table2[GameDate], "&lt;=" &amp; $A60, Table2[AwayTeam], O$1)+SUMIFS(Table2[NewPointsHome],Table2[GameDate], "&lt;=" &amp; $A60, Table2[HomeTeam], O$1)</f>
        <v>18</v>
      </c>
      <c r="P60" s="145">
        <f>SUMIFS(Table2[NewPointsAway],Table2[GameDate], "&lt;=" &amp; $A60, Table2[AwayTeam], P$1)+SUMIFS(Table2[NewPointsHome],Table2[GameDate], "&lt;=" &amp; $A60, Table2[HomeTeam], P$1)</f>
        <v>22</v>
      </c>
      <c r="Q60" s="145">
        <f>SUMIFS(Table2[NewPointsAway],Table2[GameDate], "&lt;=" &amp; $A60, Table2[AwayTeam], Q$1)+SUMIFS(Table2[NewPointsHome],Table2[GameDate], "&lt;=" &amp; $A60, Table2[HomeTeam], Q$1)</f>
        <v>23</v>
      </c>
      <c r="R60" s="145">
        <f>SUMIFS(Table2[NewPointsAway],Table2[GameDate], "&lt;=" &amp; $A60, Table2[AwayTeam], R$1)+SUMIFS(Table2[NewPointsHome],Table2[GameDate], "&lt;=" &amp; $A60, Table2[HomeTeam], R$1)</f>
        <v>14</v>
      </c>
      <c r="S60" s="145">
        <f>SUMIFS(Table2[NewPointsAway],Table2[GameDate], "&lt;=" &amp; $A60, Table2[AwayTeam], S$1)+SUMIFS(Table2[NewPointsHome],Table2[GameDate], "&lt;=" &amp; $A60, Table2[HomeTeam], S$1)</f>
        <v>18</v>
      </c>
      <c r="T60" s="145">
        <f>SUMIFS(Table2[NewPointsAway],Table2[GameDate], "&lt;=" &amp; $A60, Table2[AwayTeam], T$1)+SUMIFS(Table2[NewPointsHome],Table2[GameDate], "&lt;=" &amp; $A60, Table2[HomeTeam], T$1)</f>
        <v>20</v>
      </c>
      <c r="U60" s="145">
        <f>SUMIFS(Table2[NewPointsAway],Table2[GameDate], "&lt;=" &amp; $A60, Table2[AwayTeam], U$1)+SUMIFS(Table2[NewPointsHome],Table2[GameDate], "&lt;=" &amp; $A60, Table2[HomeTeam], U$1)</f>
        <v>20</v>
      </c>
      <c r="V60" s="145">
        <f>SUMIFS(Table2[NewPointsAway],Table2[GameDate], "&lt;=" &amp; $A60, Table2[AwayTeam], V$1)+SUMIFS(Table2[NewPointsHome],Table2[GameDate], "&lt;=" &amp; $A60, Table2[HomeTeam], V$1)</f>
        <v>19</v>
      </c>
      <c r="W60" s="145">
        <f>SUMIFS(Table2[NewPointsAway],Table2[GameDate], "&lt;=" &amp; $A60, Table2[AwayTeam], W$1)+SUMIFS(Table2[NewPointsHome],Table2[GameDate], "&lt;=" &amp; $A60, Table2[HomeTeam], W$1)</f>
        <v>21</v>
      </c>
      <c r="X60" s="145">
        <f>SUMIFS(Table2[NewPointsAway],Table2[GameDate], "&lt;=" &amp; $A60, Table2[AwayTeam], X$1)+SUMIFS(Table2[NewPointsHome],Table2[GameDate], "&lt;=" &amp; $A60, Table2[HomeTeam], X$1)</f>
        <v>19</v>
      </c>
      <c r="Y60" s="145">
        <f>SUMIFS(Table2[NewPointsAway],Table2[GameDate], "&lt;=" &amp; $A60, Table2[AwayTeam], Y$1)+SUMIFS(Table2[NewPointsHome],Table2[GameDate], "&lt;=" &amp; $A60, Table2[HomeTeam], Y$1)</f>
        <v>19</v>
      </c>
      <c r="Z60" s="145">
        <f>SUMIFS(Table2[NewPointsAway],Table2[GameDate], "&lt;=" &amp; $A60, Table2[AwayTeam], Z$1)+SUMIFS(Table2[NewPointsHome],Table2[GameDate], "&lt;=" &amp; $A60, Table2[HomeTeam], Z$1)</f>
        <v>15</v>
      </c>
      <c r="AA60" s="145">
        <f>SUMIFS(Table2[NewPointsAway],Table2[GameDate], "&lt;=" &amp; $A60, Table2[AwayTeam], AA$1)+SUMIFS(Table2[NewPointsHome],Table2[GameDate], "&lt;=" &amp; $A60, Table2[HomeTeam], AA$1)</f>
        <v>18</v>
      </c>
      <c r="AB60" s="145">
        <f>SUMIFS(Table2[NewPointsAway],Table2[GameDate], "&lt;=" &amp; $A60, Table2[AwayTeam], AB$1)+SUMIFS(Table2[NewPointsHome],Table2[GameDate], "&lt;=" &amp; $A60, Table2[HomeTeam], AB$1)</f>
        <v>17</v>
      </c>
      <c r="AC60" s="145">
        <f>SUMIFS(Table2[NewPointsAway],Table2[GameDate], "&lt;=" &amp; $A60, Table2[AwayTeam], AC$1)+SUMIFS(Table2[NewPointsHome],Table2[GameDate], "&lt;=" &amp; $A60, Table2[HomeTeam], AC$1)</f>
        <v>18</v>
      </c>
      <c r="AD60" s="145">
        <f>SUMIFS(Table2[NewPointsAway],Table2[GameDate], "&lt;=" &amp; $A60, Table2[AwayTeam], AD$1)+SUMIFS(Table2[NewPointsHome],Table2[GameDate], "&lt;=" &amp; $A60, Table2[HomeTeam], AD$1)</f>
        <v>17</v>
      </c>
      <c r="AE60" s="145">
        <f>SUMIFS(Table2[NewPointsAway],Table2[GameDate], "&lt;=" &amp; $A60, Table2[AwayTeam], AE$1)+SUMIFS(Table2[NewPointsHome],Table2[GameDate], "&lt;=" &amp; $A60, Table2[HomeTeam], AE$1)</f>
        <v>18</v>
      </c>
      <c r="AF60" s="145">
        <f>SUMIFS(Table2[NewPointsAway],Table2[GameDate], "&lt;=" &amp; $A60, Table2[AwayTeam], AF$1)+SUMIFS(Table2[NewPointsHome],Table2[GameDate], "&lt;=" &amp; $A60, Table2[HomeTeam], AF$1)</f>
        <v>20</v>
      </c>
      <c r="AG60" s="145">
        <f>SUMIFS(Table2[NewPointsAway],Table2[GameDate], "&lt;=" &amp; $A60, Table2[AwayTeam], AG$1)+SUMIFS(Table2[NewPointsHome],Table2[GameDate], "&lt;=" &amp; $A60, Table2[HomeTeam], AG$1)</f>
        <v>17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23</v>
      </c>
      <c r="C61" s="145">
        <f>SUMIFS(Table2[NewPointsAway],Table2[GameDate], "&lt;=" &amp; $A61, Table2[AwayTeam], C$1)+SUMIFS(Table2[NewPointsHome],Table2[GameDate], "&lt;=" &amp; $A61, Table2[HomeTeam], C$1)</f>
        <v>22</v>
      </c>
      <c r="D61" s="145">
        <f>SUMIFS(Table2[NewPointsAway],Table2[GameDate], "&lt;=" &amp; $A61, Table2[AwayTeam], D$1)+SUMIFS(Table2[NewPointsHome],Table2[GameDate], "&lt;=" &amp; $A61, Table2[HomeTeam], D$1)</f>
        <v>14</v>
      </c>
      <c r="E61" s="145">
        <f>SUMIFS(Table2[NewPointsAway],Table2[GameDate], "&lt;=" &amp; $A61, Table2[AwayTeam], E$1)+SUMIFS(Table2[NewPointsHome],Table2[GameDate], "&lt;=" &amp; $A61, Table2[HomeTeam], E$1)</f>
        <v>22</v>
      </c>
      <c r="F61" s="145">
        <f>SUMIFS(Table2[NewPointsAway],Table2[GameDate], "&lt;=" &amp; $A61, Table2[AwayTeam], F$1)+SUMIFS(Table2[NewPointsHome],Table2[GameDate], "&lt;=" &amp; $A61, Table2[HomeTeam], F$1)</f>
        <v>17</v>
      </c>
      <c r="G61" s="145">
        <f>SUMIFS(Table2[NewPointsAway],Table2[GameDate], "&lt;=" &amp; $A61, Table2[AwayTeam], G$1)+SUMIFS(Table2[NewPointsHome],Table2[GameDate], "&lt;=" &amp; $A61, Table2[HomeTeam], G$1)</f>
        <v>10</v>
      </c>
      <c r="H61" s="145">
        <f>SUMIFS(Table2[NewPointsAway],Table2[GameDate], "&lt;=" &amp; $A61, Table2[AwayTeam], H$1)+SUMIFS(Table2[NewPointsHome],Table2[GameDate], "&lt;=" &amp; $A61, Table2[HomeTeam], H$1)</f>
        <v>19</v>
      </c>
      <c r="I61" s="145">
        <f>SUMIFS(Table2[NewPointsAway],Table2[GameDate], "&lt;=" &amp; $A61, Table2[AwayTeam], I$1)+SUMIFS(Table2[NewPointsHome],Table2[GameDate], "&lt;=" &amp; $A61, Table2[HomeTeam], I$1)</f>
        <v>27</v>
      </c>
      <c r="J61" s="145">
        <f>SUMIFS(Table2[NewPointsAway],Table2[GameDate], "&lt;=" &amp; $A61, Table2[AwayTeam], J$1)+SUMIFS(Table2[NewPointsHome],Table2[GameDate], "&lt;=" &amp; $A61, Table2[HomeTeam], J$1)</f>
        <v>23</v>
      </c>
      <c r="K61" s="145">
        <f>SUMIFS(Table2[NewPointsAway],Table2[GameDate], "&lt;=" &amp; $A61, Table2[AwayTeam], K$1)+SUMIFS(Table2[NewPointsHome],Table2[GameDate], "&lt;=" &amp; $A61, Table2[HomeTeam], K$1)</f>
        <v>18</v>
      </c>
      <c r="L61" s="145">
        <f>SUMIFS(Table2[NewPointsAway],Table2[GameDate], "&lt;=" &amp; $A61, Table2[AwayTeam], L$1)+SUMIFS(Table2[NewPointsHome],Table2[GameDate], "&lt;=" &amp; $A61, Table2[HomeTeam], L$1)</f>
        <v>20</v>
      </c>
      <c r="M61" s="145">
        <f>SUMIFS(Table2[NewPointsAway],Table2[GameDate], "&lt;=" &amp; $A61, Table2[AwayTeam], M$1)+SUMIFS(Table2[NewPointsHome],Table2[GameDate], "&lt;=" &amp; $A61, Table2[HomeTeam], M$1)</f>
        <v>17</v>
      </c>
      <c r="N61" s="145">
        <f>SUMIFS(Table2[NewPointsAway],Table2[GameDate], "&lt;=" &amp; $A61, Table2[AwayTeam], N$1)+SUMIFS(Table2[NewPointsHome],Table2[GameDate], "&lt;=" &amp; $A61, Table2[HomeTeam], N$1)</f>
        <v>20</v>
      </c>
      <c r="O61" s="145">
        <f>SUMIFS(Table2[NewPointsAway],Table2[GameDate], "&lt;=" &amp; $A61, Table2[AwayTeam], O$1)+SUMIFS(Table2[NewPointsHome],Table2[GameDate], "&lt;=" &amp; $A61, Table2[HomeTeam], O$1)</f>
        <v>18</v>
      </c>
      <c r="P61" s="145">
        <f>SUMIFS(Table2[NewPointsAway],Table2[GameDate], "&lt;=" &amp; $A61, Table2[AwayTeam], P$1)+SUMIFS(Table2[NewPointsHome],Table2[GameDate], "&lt;=" &amp; $A61, Table2[HomeTeam], P$1)</f>
        <v>22</v>
      </c>
      <c r="Q61" s="145">
        <f>SUMIFS(Table2[NewPointsAway],Table2[GameDate], "&lt;=" &amp; $A61, Table2[AwayTeam], Q$1)+SUMIFS(Table2[NewPointsHome],Table2[GameDate], "&lt;=" &amp; $A61, Table2[HomeTeam], Q$1)</f>
        <v>23</v>
      </c>
      <c r="R61" s="145">
        <f>SUMIFS(Table2[NewPointsAway],Table2[GameDate], "&lt;=" &amp; $A61, Table2[AwayTeam], R$1)+SUMIFS(Table2[NewPointsHome],Table2[GameDate], "&lt;=" &amp; $A61, Table2[HomeTeam], R$1)</f>
        <v>14</v>
      </c>
      <c r="S61" s="145">
        <f>SUMIFS(Table2[NewPointsAway],Table2[GameDate], "&lt;=" &amp; $A61, Table2[AwayTeam], S$1)+SUMIFS(Table2[NewPointsHome],Table2[GameDate], "&lt;=" &amp; $A61, Table2[HomeTeam], S$1)</f>
        <v>18</v>
      </c>
      <c r="T61" s="145">
        <f>SUMIFS(Table2[NewPointsAway],Table2[GameDate], "&lt;=" &amp; $A61, Table2[AwayTeam], T$1)+SUMIFS(Table2[NewPointsHome],Table2[GameDate], "&lt;=" &amp; $A61, Table2[HomeTeam], T$1)</f>
        <v>20</v>
      </c>
      <c r="U61" s="145">
        <f>SUMIFS(Table2[NewPointsAway],Table2[GameDate], "&lt;=" &amp; $A61, Table2[AwayTeam], U$1)+SUMIFS(Table2[NewPointsHome],Table2[GameDate], "&lt;=" &amp; $A61, Table2[HomeTeam], U$1)</f>
        <v>20</v>
      </c>
      <c r="V61" s="145">
        <f>SUMIFS(Table2[NewPointsAway],Table2[GameDate], "&lt;=" &amp; $A61, Table2[AwayTeam], V$1)+SUMIFS(Table2[NewPointsHome],Table2[GameDate], "&lt;=" &amp; $A61, Table2[HomeTeam], V$1)</f>
        <v>19</v>
      </c>
      <c r="W61" s="145">
        <f>SUMIFS(Table2[NewPointsAway],Table2[GameDate], "&lt;=" &amp; $A61, Table2[AwayTeam], W$1)+SUMIFS(Table2[NewPointsHome],Table2[GameDate], "&lt;=" &amp; $A61, Table2[HomeTeam], W$1)</f>
        <v>21</v>
      </c>
      <c r="X61" s="145">
        <f>SUMIFS(Table2[NewPointsAway],Table2[GameDate], "&lt;=" &amp; $A61, Table2[AwayTeam], X$1)+SUMIFS(Table2[NewPointsHome],Table2[GameDate], "&lt;=" &amp; $A61, Table2[HomeTeam], X$1)</f>
        <v>19</v>
      </c>
      <c r="Y61" s="145">
        <f>SUMIFS(Table2[NewPointsAway],Table2[GameDate], "&lt;=" &amp; $A61, Table2[AwayTeam], Y$1)+SUMIFS(Table2[NewPointsHome],Table2[GameDate], "&lt;=" &amp; $A61, Table2[HomeTeam], Y$1)</f>
        <v>19</v>
      </c>
      <c r="Z61" s="145">
        <f>SUMIFS(Table2[NewPointsAway],Table2[GameDate], "&lt;=" &amp; $A61, Table2[AwayTeam], Z$1)+SUMIFS(Table2[NewPointsHome],Table2[GameDate], "&lt;=" &amp; $A61, Table2[HomeTeam], Z$1)</f>
        <v>15</v>
      </c>
      <c r="AA61" s="145">
        <f>SUMIFS(Table2[NewPointsAway],Table2[GameDate], "&lt;=" &amp; $A61, Table2[AwayTeam], AA$1)+SUMIFS(Table2[NewPointsHome],Table2[GameDate], "&lt;=" &amp; $A61, Table2[HomeTeam], AA$1)</f>
        <v>18</v>
      </c>
      <c r="AB61" s="145">
        <f>SUMIFS(Table2[NewPointsAway],Table2[GameDate], "&lt;=" &amp; $A61, Table2[AwayTeam], AB$1)+SUMIFS(Table2[NewPointsHome],Table2[GameDate], "&lt;=" &amp; $A61, Table2[HomeTeam], AB$1)</f>
        <v>17</v>
      </c>
      <c r="AC61" s="145">
        <f>SUMIFS(Table2[NewPointsAway],Table2[GameDate], "&lt;=" &amp; $A61, Table2[AwayTeam], AC$1)+SUMIFS(Table2[NewPointsHome],Table2[GameDate], "&lt;=" &amp; $A61, Table2[HomeTeam], AC$1)</f>
        <v>18</v>
      </c>
      <c r="AD61" s="145">
        <f>SUMIFS(Table2[NewPointsAway],Table2[GameDate], "&lt;=" &amp; $A61, Table2[AwayTeam], AD$1)+SUMIFS(Table2[NewPointsHome],Table2[GameDate], "&lt;=" &amp; $A61, Table2[HomeTeam], AD$1)</f>
        <v>17</v>
      </c>
      <c r="AE61" s="145">
        <f>SUMIFS(Table2[NewPointsAway],Table2[GameDate], "&lt;=" &amp; $A61, Table2[AwayTeam], AE$1)+SUMIFS(Table2[NewPointsHome],Table2[GameDate], "&lt;=" &amp; $A61, Table2[HomeTeam], AE$1)</f>
        <v>18</v>
      </c>
      <c r="AF61" s="145">
        <f>SUMIFS(Table2[NewPointsAway],Table2[GameDate], "&lt;=" &amp; $A61, Table2[AwayTeam], AF$1)+SUMIFS(Table2[NewPointsHome],Table2[GameDate], "&lt;=" &amp; $A61, Table2[HomeTeam], AF$1)</f>
        <v>20</v>
      </c>
      <c r="AG61" s="145">
        <f>SUMIFS(Table2[NewPointsAway],Table2[GameDate], "&lt;=" &amp; $A61, Table2[AwayTeam], AG$1)+SUMIFS(Table2[NewPointsHome],Table2[GameDate], "&lt;=" &amp; $A61, Table2[HomeTeam], AG$1)</f>
        <v>17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23</v>
      </c>
      <c r="C62" s="145">
        <f>SUMIFS(Table2[NewPointsAway],Table2[GameDate], "&lt;=" &amp; $A62, Table2[AwayTeam], C$1)+SUMIFS(Table2[NewPointsHome],Table2[GameDate], "&lt;=" &amp; $A62, Table2[HomeTeam], C$1)</f>
        <v>22</v>
      </c>
      <c r="D62" s="145">
        <f>SUMIFS(Table2[NewPointsAway],Table2[GameDate], "&lt;=" &amp; $A62, Table2[AwayTeam], D$1)+SUMIFS(Table2[NewPointsHome],Table2[GameDate], "&lt;=" &amp; $A62, Table2[HomeTeam], D$1)</f>
        <v>14</v>
      </c>
      <c r="E62" s="145">
        <f>SUMIFS(Table2[NewPointsAway],Table2[GameDate], "&lt;=" &amp; $A62, Table2[AwayTeam], E$1)+SUMIFS(Table2[NewPointsHome],Table2[GameDate], "&lt;=" &amp; $A62, Table2[HomeTeam], E$1)</f>
        <v>22</v>
      </c>
      <c r="F62" s="145">
        <f>SUMIFS(Table2[NewPointsAway],Table2[GameDate], "&lt;=" &amp; $A62, Table2[AwayTeam], F$1)+SUMIFS(Table2[NewPointsHome],Table2[GameDate], "&lt;=" &amp; $A62, Table2[HomeTeam], F$1)</f>
        <v>17</v>
      </c>
      <c r="G62" s="145">
        <f>SUMIFS(Table2[NewPointsAway],Table2[GameDate], "&lt;=" &amp; $A62, Table2[AwayTeam], G$1)+SUMIFS(Table2[NewPointsHome],Table2[GameDate], "&lt;=" &amp; $A62, Table2[HomeTeam], G$1)</f>
        <v>10</v>
      </c>
      <c r="H62" s="145">
        <f>SUMIFS(Table2[NewPointsAway],Table2[GameDate], "&lt;=" &amp; $A62, Table2[AwayTeam], H$1)+SUMIFS(Table2[NewPointsHome],Table2[GameDate], "&lt;=" &amp; $A62, Table2[HomeTeam], H$1)</f>
        <v>19</v>
      </c>
      <c r="I62" s="145">
        <f>SUMIFS(Table2[NewPointsAway],Table2[GameDate], "&lt;=" &amp; $A62, Table2[AwayTeam], I$1)+SUMIFS(Table2[NewPointsHome],Table2[GameDate], "&lt;=" &amp; $A62, Table2[HomeTeam], I$1)</f>
        <v>27</v>
      </c>
      <c r="J62" s="145">
        <f>SUMIFS(Table2[NewPointsAway],Table2[GameDate], "&lt;=" &amp; $A62, Table2[AwayTeam], J$1)+SUMIFS(Table2[NewPointsHome],Table2[GameDate], "&lt;=" &amp; $A62, Table2[HomeTeam], J$1)</f>
        <v>23</v>
      </c>
      <c r="K62" s="145">
        <f>SUMIFS(Table2[NewPointsAway],Table2[GameDate], "&lt;=" &amp; $A62, Table2[AwayTeam], K$1)+SUMIFS(Table2[NewPointsHome],Table2[GameDate], "&lt;=" &amp; $A62, Table2[HomeTeam], K$1)</f>
        <v>18</v>
      </c>
      <c r="L62" s="145">
        <f>SUMIFS(Table2[NewPointsAway],Table2[GameDate], "&lt;=" &amp; $A62, Table2[AwayTeam], L$1)+SUMIFS(Table2[NewPointsHome],Table2[GameDate], "&lt;=" &amp; $A62, Table2[HomeTeam], L$1)</f>
        <v>20</v>
      </c>
      <c r="M62" s="145">
        <f>SUMIFS(Table2[NewPointsAway],Table2[GameDate], "&lt;=" &amp; $A62, Table2[AwayTeam], M$1)+SUMIFS(Table2[NewPointsHome],Table2[GameDate], "&lt;=" &amp; $A62, Table2[HomeTeam], M$1)</f>
        <v>17</v>
      </c>
      <c r="N62" s="145">
        <f>SUMIFS(Table2[NewPointsAway],Table2[GameDate], "&lt;=" &amp; $A62, Table2[AwayTeam], N$1)+SUMIFS(Table2[NewPointsHome],Table2[GameDate], "&lt;=" &amp; $A62, Table2[HomeTeam], N$1)</f>
        <v>20</v>
      </c>
      <c r="O62" s="145">
        <f>SUMIFS(Table2[NewPointsAway],Table2[GameDate], "&lt;=" &amp; $A62, Table2[AwayTeam], O$1)+SUMIFS(Table2[NewPointsHome],Table2[GameDate], "&lt;=" &amp; $A62, Table2[HomeTeam], O$1)</f>
        <v>18</v>
      </c>
      <c r="P62" s="145">
        <f>SUMIFS(Table2[NewPointsAway],Table2[GameDate], "&lt;=" &amp; $A62, Table2[AwayTeam], P$1)+SUMIFS(Table2[NewPointsHome],Table2[GameDate], "&lt;=" &amp; $A62, Table2[HomeTeam], P$1)</f>
        <v>22</v>
      </c>
      <c r="Q62" s="145">
        <f>SUMIFS(Table2[NewPointsAway],Table2[GameDate], "&lt;=" &amp; $A62, Table2[AwayTeam], Q$1)+SUMIFS(Table2[NewPointsHome],Table2[GameDate], "&lt;=" &amp; $A62, Table2[HomeTeam], Q$1)</f>
        <v>23</v>
      </c>
      <c r="R62" s="145">
        <f>SUMIFS(Table2[NewPointsAway],Table2[GameDate], "&lt;=" &amp; $A62, Table2[AwayTeam], R$1)+SUMIFS(Table2[NewPointsHome],Table2[GameDate], "&lt;=" &amp; $A62, Table2[HomeTeam], R$1)</f>
        <v>14</v>
      </c>
      <c r="S62" s="145">
        <f>SUMIFS(Table2[NewPointsAway],Table2[GameDate], "&lt;=" &amp; $A62, Table2[AwayTeam], S$1)+SUMIFS(Table2[NewPointsHome],Table2[GameDate], "&lt;=" &amp; $A62, Table2[HomeTeam], S$1)</f>
        <v>18</v>
      </c>
      <c r="T62" s="145">
        <f>SUMIFS(Table2[NewPointsAway],Table2[GameDate], "&lt;=" &amp; $A62, Table2[AwayTeam], T$1)+SUMIFS(Table2[NewPointsHome],Table2[GameDate], "&lt;=" &amp; $A62, Table2[HomeTeam], T$1)</f>
        <v>20</v>
      </c>
      <c r="U62" s="145">
        <f>SUMIFS(Table2[NewPointsAway],Table2[GameDate], "&lt;=" &amp; $A62, Table2[AwayTeam], U$1)+SUMIFS(Table2[NewPointsHome],Table2[GameDate], "&lt;=" &amp; $A62, Table2[HomeTeam], U$1)</f>
        <v>20</v>
      </c>
      <c r="V62" s="145">
        <f>SUMIFS(Table2[NewPointsAway],Table2[GameDate], "&lt;=" &amp; $A62, Table2[AwayTeam], V$1)+SUMIFS(Table2[NewPointsHome],Table2[GameDate], "&lt;=" &amp; $A62, Table2[HomeTeam], V$1)</f>
        <v>19</v>
      </c>
      <c r="W62" s="145">
        <f>SUMIFS(Table2[NewPointsAway],Table2[GameDate], "&lt;=" &amp; $A62, Table2[AwayTeam], W$1)+SUMIFS(Table2[NewPointsHome],Table2[GameDate], "&lt;=" &amp; $A62, Table2[HomeTeam], W$1)</f>
        <v>21</v>
      </c>
      <c r="X62" s="145">
        <f>SUMIFS(Table2[NewPointsAway],Table2[GameDate], "&lt;=" &amp; $A62, Table2[AwayTeam], X$1)+SUMIFS(Table2[NewPointsHome],Table2[GameDate], "&lt;=" &amp; $A62, Table2[HomeTeam], X$1)</f>
        <v>19</v>
      </c>
      <c r="Y62" s="145">
        <f>SUMIFS(Table2[NewPointsAway],Table2[GameDate], "&lt;=" &amp; $A62, Table2[AwayTeam], Y$1)+SUMIFS(Table2[NewPointsHome],Table2[GameDate], "&lt;=" &amp; $A62, Table2[HomeTeam], Y$1)</f>
        <v>19</v>
      </c>
      <c r="Z62" s="145">
        <f>SUMIFS(Table2[NewPointsAway],Table2[GameDate], "&lt;=" &amp; $A62, Table2[AwayTeam], Z$1)+SUMIFS(Table2[NewPointsHome],Table2[GameDate], "&lt;=" &amp; $A62, Table2[HomeTeam], Z$1)</f>
        <v>15</v>
      </c>
      <c r="AA62" s="145">
        <f>SUMIFS(Table2[NewPointsAway],Table2[GameDate], "&lt;=" &amp; $A62, Table2[AwayTeam], AA$1)+SUMIFS(Table2[NewPointsHome],Table2[GameDate], "&lt;=" &amp; $A62, Table2[HomeTeam], AA$1)</f>
        <v>18</v>
      </c>
      <c r="AB62" s="145">
        <f>SUMIFS(Table2[NewPointsAway],Table2[GameDate], "&lt;=" &amp; $A62, Table2[AwayTeam], AB$1)+SUMIFS(Table2[NewPointsHome],Table2[GameDate], "&lt;=" &amp; $A62, Table2[HomeTeam], AB$1)</f>
        <v>17</v>
      </c>
      <c r="AC62" s="145">
        <f>SUMIFS(Table2[NewPointsAway],Table2[GameDate], "&lt;=" &amp; $A62, Table2[AwayTeam], AC$1)+SUMIFS(Table2[NewPointsHome],Table2[GameDate], "&lt;=" &amp; $A62, Table2[HomeTeam], AC$1)</f>
        <v>18</v>
      </c>
      <c r="AD62" s="145">
        <f>SUMIFS(Table2[NewPointsAway],Table2[GameDate], "&lt;=" &amp; $A62, Table2[AwayTeam], AD$1)+SUMIFS(Table2[NewPointsHome],Table2[GameDate], "&lt;=" &amp; $A62, Table2[HomeTeam], AD$1)</f>
        <v>17</v>
      </c>
      <c r="AE62" s="145">
        <f>SUMIFS(Table2[NewPointsAway],Table2[GameDate], "&lt;=" &amp; $A62, Table2[AwayTeam], AE$1)+SUMIFS(Table2[NewPointsHome],Table2[GameDate], "&lt;=" &amp; $A62, Table2[HomeTeam], AE$1)</f>
        <v>18</v>
      </c>
      <c r="AF62" s="145">
        <f>SUMIFS(Table2[NewPointsAway],Table2[GameDate], "&lt;=" &amp; $A62, Table2[AwayTeam], AF$1)+SUMIFS(Table2[NewPointsHome],Table2[GameDate], "&lt;=" &amp; $A62, Table2[HomeTeam], AF$1)</f>
        <v>20</v>
      </c>
      <c r="AG62" s="145">
        <f>SUMIFS(Table2[NewPointsAway],Table2[GameDate], "&lt;=" &amp; $A62, Table2[AwayTeam], AG$1)+SUMIFS(Table2[NewPointsHome],Table2[GameDate], "&lt;=" &amp; $A62, Table2[HomeTeam], AG$1)</f>
        <v>17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23</v>
      </c>
      <c r="C63" s="145">
        <f>SUMIFS(Table2[NewPointsAway],Table2[GameDate], "&lt;=" &amp; $A63, Table2[AwayTeam], C$1)+SUMIFS(Table2[NewPointsHome],Table2[GameDate], "&lt;=" &amp; $A63, Table2[HomeTeam], C$1)</f>
        <v>22</v>
      </c>
      <c r="D63" s="145">
        <f>SUMIFS(Table2[NewPointsAway],Table2[GameDate], "&lt;=" &amp; $A63, Table2[AwayTeam], D$1)+SUMIFS(Table2[NewPointsHome],Table2[GameDate], "&lt;=" &amp; $A63, Table2[HomeTeam], D$1)</f>
        <v>14</v>
      </c>
      <c r="E63" s="145">
        <f>SUMIFS(Table2[NewPointsAway],Table2[GameDate], "&lt;=" &amp; $A63, Table2[AwayTeam], E$1)+SUMIFS(Table2[NewPointsHome],Table2[GameDate], "&lt;=" &amp; $A63, Table2[HomeTeam], E$1)</f>
        <v>22</v>
      </c>
      <c r="F63" s="145">
        <f>SUMIFS(Table2[NewPointsAway],Table2[GameDate], "&lt;=" &amp; $A63, Table2[AwayTeam], F$1)+SUMIFS(Table2[NewPointsHome],Table2[GameDate], "&lt;=" &amp; $A63, Table2[HomeTeam], F$1)</f>
        <v>17</v>
      </c>
      <c r="G63" s="145">
        <f>SUMIFS(Table2[NewPointsAway],Table2[GameDate], "&lt;=" &amp; $A63, Table2[AwayTeam], G$1)+SUMIFS(Table2[NewPointsHome],Table2[GameDate], "&lt;=" &amp; $A63, Table2[HomeTeam], G$1)</f>
        <v>10</v>
      </c>
      <c r="H63" s="145">
        <f>SUMIFS(Table2[NewPointsAway],Table2[GameDate], "&lt;=" &amp; $A63, Table2[AwayTeam], H$1)+SUMIFS(Table2[NewPointsHome],Table2[GameDate], "&lt;=" &amp; $A63, Table2[HomeTeam], H$1)</f>
        <v>19</v>
      </c>
      <c r="I63" s="145">
        <f>SUMIFS(Table2[NewPointsAway],Table2[GameDate], "&lt;=" &amp; $A63, Table2[AwayTeam], I$1)+SUMIFS(Table2[NewPointsHome],Table2[GameDate], "&lt;=" &amp; $A63, Table2[HomeTeam], I$1)</f>
        <v>27</v>
      </c>
      <c r="J63" s="145">
        <f>SUMIFS(Table2[NewPointsAway],Table2[GameDate], "&lt;=" &amp; $A63, Table2[AwayTeam], J$1)+SUMIFS(Table2[NewPointsHome],Table2[GameDate], "&lt;=" &amp; $A63, Table2[HomeTeam], J$1)</f>
        <v>23</v>
      </c>
      <c r="K63" s="145">
        <f>SUMIFS(Table2[NewPointsAway],Table2[GameDate], "&lt;=" &amp; $A63, Table2[AwayTeam], K$1)+SUMIFS(Table2[NewPointsHome],Table2[GameDate], "&lt;=" &amp; $A63, Table2[HomeTeam], K$1)</f>
        <v>18</v>
      </c>
      <c r="L63" s="145">
        <f>SUMIFS(Table2[NewPointsAway],Table2[GameDate], "&lt;=" &amp; $A63, Table2[AwayTeam], L$1)+SUMIFS(Table2[NewPointsHome],Table2[GameDate], "&lt;=" &amp; $A63, Table2[HomeTeam], L$1)</f>
        <v>20</v>
      </c>
      <c r="M63" s="145">
        <f>SUMIFS(Table2[NewPointsAway],Table2[GameDate], "&lt;=" &amp; $A63, Table2[AwayTeam], M$1)+SUMIFS(Table2[NewPointsHome],Table2[GameDate], "&lt;=" &amp; $A63, Table2[HomeTeam], M$1)</f>
        <v>17</v>
      </c>
      <c r="N63" s="145">
        <f>SUMIFS(Table2[NewPointsAway],Table2[GameDate], "&lt;=" &amp; $A63, Table2[AwayTeam], N$1)+SUMIFS(Table2[NewPointsHome],Table2[GameDate], "&lt;=" &amp; $A63, Table2[HomeTeam], N$1)</f>
        <v>20</v>
      </c>
      <c r="O63" s="145">
        <f>SUMIFS(Table2[NewPointsAway],Table2[GameDate], "&lt;=" &amp; $A63, Table2[AwayTeam], O$1)+SUMIFS(Table2[NewPointsHome],Table2[GameDate], "&lt;=" &amp; $A63, Table2[HomeTeam], O$1)</f>
        <v>18</v>
      </c>
      <c r="P63" s="145">
        <f>SUMIFS(Table2[NewPointsAway],Table2[GameDate], "&lt;=" &amp; $A63, Table2[AwayTeam], P$1)+SUMIFS(Table2[NewPointsHome],Table2[GameDate], "&lt;=" &amp; $A63, Table2[HomeTeam], P$1)</f>
        <v>22</v>
      </c>
      <c r="Q63" s="145">
        <f>SUMIFS(Table2[NewPointsAway],Table2[GameDate], "&lt;=" &amp; $A63, Table2[AwayTeam], Q$1)+SUMIFS(Table2[NewPointsHome],Table2[GameDate], "&lt;=" &amp; $A63, Table2[HomeTeam], Q$1)</f>
        <v>23</v>
      </c>
      <c r="R63" s="145">
        <f>SUMIFS(Table2[NewPointsAway],Table2[GameDate], "&lt;=" &amp; $A63, Table2[AwayTeam], R$1)+SUMIFS(Table2[NewPointsHome],Table2[GameDate], "&lt;=" &amp; $A63, Table2[HomeTeam], R$1)</f>
        <v>14</v>
      </c>
      <c r="S63" s="145">
        <f>SUMIFS(Table2[NewPointsAway],Table2[GameDate], "&lt;=" &amp; $A63, Table2[AwayTeam], S$1)+SUMIFS(Table2[NewPointsHome],Table2[GameDate], "&lt;=" &amp; $A63, Table2[HomeTeam], S$1)</f>
        <v>18</v>
      </c>
      <c r="T63" s="145">
        <f>SUMIFS(Table2[NewPointsAway],Table2[GameDate], "&lt;=" &amp; $A63, Table2[AwayTeam], T$1)+SUMIFS(Table2[NewPointsHome],Table2[GameDate], "&lt;=" &amp; $A63, Table2[HomeTeam], T$1)</f>
        <v>20</v>
      </c>
      <c r="U63" s="145">
        <f>SUMIFS(Table2[NewPointsAway],Table2[GameDate], "&lt;=" &amp; $A63, Table2[AwayTeam], U$1)+SUMIFS(Table2[NewPointsHome],Table2[GameDate], "&lt;=" &amp; $A63, Table2[HomeTeam], U$1)</f>
        <v>20</v>
      </c>
      <c r="V63" s="145">
        <f>SUMIFS(Table2[NewPointsAway],Table2[GameDate], "&lt;=" &amp; $A63, Table2[AwayTeam], V$1)+SUMIFS(Table2[NewPointsHome],Table2[GameDate], "&lt;=" &amp; $A63, Table2[HomeTeam], V$1)</f>
        <v>19</v>
      </c>
      <c r="W63" s="145">
        <f>SUMIFS(Table2[NewPointsAway],Table2[GameDate], "&lt;=" &amp; $A63, Table2[AwayTeam], W$1)+SUMIFS(Table2[NewPointsHome],Table2[GameDate], "&lt;=" &amp; $A63, Table2[HomeTeam], W$1)</f>
        <v>21</v>
      </c>
      <c r="X63" s="145">
        <f>SUMIFS(Table2[NewPointsAway],Table2[GameDate], "&lt;=" &amp; $A63, Table2[AwayTeam], X$1)+SUMIFS(Table2[NewPointsHome],Table2[GameDate], "&lt;=" &amp; $A63, Table2[HomeTeam], X$1)</f>
        <v>19</v>
      </c>
      <c r="Y63" s="145">
        <f>SUMIFS(Table2[NewPointsAway],Table2[GameDate], "&lt;=" &amp; $A63, Table2[AwayTeam], Y$1)+SUMIFS(Table2[NewPointsHome],Table2[GameDate], "&lt;=" &amp; $A63, Table2[HomeTeam], Y$1)</f>
        <v>19</v>
      </c>
      <c r="Z63" s="145">
        <f>SUMIFS(Table2[NewPointsAway],Table2[GameDate], "&lt;=" &amp; $A63, Table2[AwayTeam], Z$1)+SUMIFS(Table2[NewPointsHome],Table2[GameDate], "&lt;=" &amp; $A63, Table2[HomeTeam], Z$1)</f>
        <v>15</v>
      </c>
      <c r="AA63" s="145">
        <f>SUMIFS(Table2[NewPointsAway],Table2[GameDate], "&lt;=" &amp; $A63, Table2[AwayTeam], AA$1)+SUMIFS(Table2[NewPointsHome],Table2[GameDate], "&lt;=" &amp; $A63, Table2[HomeTeam], AA$1)</f>
        <v>18</v>
      </c>
      <c r="AB63" s="145">
        <f>SUMIFS(Table2[NewPointsAway],Table2[GameDate], "&lt;=" &amp; $A63, Table2[AwayTeam], AB$1)+SUMIFS(Table2[NewPointsHome],Table2[GameDate], "&lt;=" &amp; $A63, Table2[HomeTeam], AB$1)</f>
        <v>17</v>
      </c>
      <c r="AC63" s="145">
        <f>SUMIFS(Table2[NewPointsAway],Table2[GameDate], "&lt;=" &amp; $A63, Table2[AwayTeam], AC$1)+SUMIFS(Table2[NewPointsHome],Table2[GameDate], "&lt;=" &amp; $A63, Table2[HomeTeam], AC$1)</f>
        <v>18</v>
      </c>
      <c r="AD63" s="145">
        <f>SUMIFS(Table2[NewPointsAway],Table2[GameDate], "&lt;=" &amp; $A63, Table2[AwayTeam], AD$1)+SUMIFS(Table2[NewPointsHome],Table2[GameDate], "&lt;=" &amp; $A63, Table2[HomeTeam], AD$1)</f>
        <v>17</v>
      </c>
      <c r="AE63" s="145">
        <f>SUMIFS(Table2[NewPointsAway],Table2[GameDate], "&lt;=" &amp; $A63, Table2[AwayTeam], AE$1)+SUMIFS(Table2[NewPointsHome],Table2[GameDate], "&lt;=" &amp; $A63, Table2[HomeTeam], AE$1)</f>
        <v>18</v>
      </c>
      <c r="AF63" s="145">
        <f>SUMIFS(Table2[NewPointsAway],Table2[GameDate], "&lt;=" &amp; $A63, Table2[AwayTeam], AF$1)+SUMIFS(Table2[NewPointsHome],Table2[GameDate], "&lt;=" &amp; $A63, Table2[HomeTeam], AF$1)</f>
        <v>20</v>
      </c>
      <c r="AG63" s="145">
        <f>SUMIFS(Table2[NewPointsAway],Table2[GameDate], "&lt;=" &amp; $A63, Table2[AwayTeam], AG$1)+SUMIFS(Table2[NewPointsHome],Table2[GameDate], "&lt;=" &amp; $A63, Table2[HomeTeam], AG$1)</f>
        <v>17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23</v>
      </c>
      <c r="C64" s="145">
        <f>SUMIFS(Table2[NewPointsAway],Table2[GameDate], "&lt;=" &amp; $A64, Table2[AwayTeam], C$1)+SUMIFS(Table2[NewPointsHome],Table2[GameDate], "&lt;=" &amp; $A64, Table2[HomeTeam], C$1)</f>
        <v>22</v>
      </c>
      <c r="D64" s="145">
        <f>SUMIFS(Table2[NewPointsAway],Table2[GameDate], "&lt;=" &amp; $A64, Table2[AwayTeam], D$1)+SUMIFS(Table2[NewPointsHome],Table2[GameDate], "&lt;=" &amp; $A64, Table2[HomeTeam], D$1)</f>
        <v>14</v>
      </c>
      <c r="E64" s="145">
        <f>SUMIFS(Table2[NewPointsAway],Table2[GameDate], "&lt;=" &amp; $A64, Table2[AwayTeam], E$1)+SUMIFS(Table2[NewPointsHome],Table2[GameDate], "&lt;=" &amp; $A64, Table2[HomeTeam], E$1)</f>
        <v>22</v>
      </c>
      <c r="F64" s="145">
        <f>SUMIFS(Table2[NewPointsAway],Table2[GameDate], "&lt;=" &amp; $A64, Table2[AwayTeam], F$1)+SUMIFS(Table2[NewPointsHome],Table2[GameDate], "&lt;=" &amp; $A64, Table2[HomeTeam], F$1)</f>
        <v>17</v>
      </c>
      <c r="G64" s="145">
        <f>SUMIFS(Table2[NewPointsAway],Table2[GameDate], "&lt;=" &amp; $A64, Table2[AwayTeam], G$1)+SUMIFS(Table2[NewPointsHome],Table2[GameDate], "&lt;=" &amp; $A64, Table2[HomeTeam], G$1)</f>
        <v>10</v>
      </c>
      <c r="H64" s="145">
        <f>SUMIFS(Table2[NewPointsAway],Table2[GameDate], "&lt;=" &amp; $A64, Table2[AwayTeam], H$1)+SUMIFS(Table2[NewPointsHome],Table2[GameDate], "&lt;=" &amp; $A64, Table2[HomeTeam], H$1)</f>
        <v>19</v>
      </c>
      <c r="I64" s="145">
        <f>SUMIFS(Table2[NewPointsAway],Table2[GameDate], "&lt;=" &amp; $A64, Table2[AwayTeam], I$1)+SUMIFS(Table2[NewPointsHome],Table2[GameDate], "&lt;=" &amp; $A64, Table2[HomeTeam], I$1)</f>
        <v>27</v>
      </c>
      <c r="J64" s="145">
        <f>SUMIFS(Table2[NewPointsAway],Table2[GameDate], "&lt;=" &amp; $A64, Table2[AwayTeam], J$1)+SUMIFS(Table2[NewPointsHome],Table2[GameDate], "&lt;=" &amp; $A64, Table2[HomeTeam], J$1)</f>
        <v>23</v>
      </c>
      <c r="K64" s="145">
        <f>SUMIFS(Table2[NewPointsAway],Table2[GameDate], "&lt;=" &amp; $A64, Table2[AwayTeam], K$1)+SUMIFS(Table2[NewPointsHome],Table2[GameDate], "&lt;=" &amp; $A64, Table2[HomeTeam], K$1)</f>
        <v>18</v>
      </c>
      <c r="L64" s="145">
        <f>SUMIFS(Table2[NewPointsAway],Table2[GameDate], "&lt;=" &amp; $A64, Table2[AwayTeam], L$1)+SUMIFS(Table2[NewPointsHome],Table2[GameDate], "&lt;=" &amp; $A64, Table2[HomeTeam], L$1)</f>
        <v>20</v>
      </c>
      <c r="M64" s="145">
        <f>SUMIFS(Table2[NewPointsAway],Table2[GameDate], "&lt;=" &amp; $A64, Table2[AwayTeam], M$1)+SUMIFS(Table2[NewPointsHome],Table2[GameDate], "&lt;=" &amp; $A64, Table2[HomeTeam], M$1)</f>
        <v>17</v>
      </c>
      <c r="N64" s="145">
        <f>SUMIFS(Table2[NewPointsAway],Table2[GameDate], "&lt;=" &amp; $A64, Table2[AwayTeam], N$1)+SUMIFS(Table2[NewPointsHome],Table2[GameDate], "&lt;=" &amp; $A64, Table2[HomeTeam], N$1)</f>
        <v>20</v>
      </c>
      <c r="O64" s="145">
        <f>SUMIFS(Table2[NewPointsAway],Table2[GameDate], "&lt;=" &amp; $A64, Table2[AwayTeam], O$1)+SUMIFS(Table2[NewPointsHome],Table2[GameDate], "&lt;=" &amp; $A64, Table2[HomeTeam], O$1)</f>
        <v>18</v>
      </c>
      <c r="P64" s="145">
        <f>SUMIFS(Table2[NewPointsAway],Table2[GameDate], "&lt;=" &amp; $A64, Table2[AwayTeam], P$1)+SUMIFS(Table2[NewPointsHome],Table2[GameDate], "&lt;=" &amp; $A64, Table2[HomeTeam], P$1)</f>
        <v>22</v>
      </c>
      <c r="Q64" s="145">
        <f>SUMIFS(Table2[NewPointsAway],Table2[GameDate], "&lt;=" &amp; $A64, Table2[AwayTeam], Q$1)+SUMIFS(Table2[NewPointsHome],Table2[GameDate], "&lt;=" &amp; $A64, Table2[HomeTeam], Q$1)</f>
        <v>23</v>
      </c>
      <c r="R64" s="145">
        <f>SUMIFS(Table2[NewPointsAway],Table2[GameDate], "&lt;=" &amp; $A64, Table2[AwayTeam], R$1)+SUMIFS(Table2[NewPointsHome],Table2[GameDate], "&lt;=" &amp; $A64, Table2[HomeTeam], R$1)</f>
        <v>14</v>
      </c>
      <c r="S64" s="145">
        <f>SUMIFS(Table2[NewPointsAway],Table2[GameDate], "&lt;=" &amp; $A64, Table2[AwayTeam], S$1)+SUMIFS(Table2[NewPointsHome],Table2[GameDate], "&lt;=" &amp; $A64, Table2[HomeTeam], S$1)</f>
        <v>18</v>
      </c>
      <c r="T64" s="145">
        <f>SUMIFS(Table2[NewPointsAway],Table2[GameDate], "&lt;=" &amp; $A64, Table2[AwayTeam], T$1)+SUMIFS(Table2[NewPointsHome],Table2[GameDate], "&lt;=" &amp; $A64, Table2[HomeTeam], T$1)</f>
        <v>20</v>
      </c>
      <c r="U64" s="145">
        <f>SUMIFS(Table2[NewPointsAway],Table2[GameDate], "&lt;=" &amp; $A64, Table2[AwayTeam], U$1)+SUMIFS(Table2[NewPointsHome],Table2[GameDate], "&lt;=" &amp; $A64, Table2[HomeTeam], U$1)</f>
        <v>20</v>
      </c>
      <c r="V64" s="145">
        <f>SUMIFS(Table2[NewPointsAway],Table2[GameDate], "&lt;=" &amp; $A64, Table2[AwayTeam], V$1)+SUMIFS(Table2[NewPointsHome],Table2[GameDate], "&lt;=" &amp; $A64, Table2[HomeTeam], V$1)</f>
        <v>19</v>
      </c>
      <c r="W64" s="145">
        <f>SUMIFS(Table2[NewPointsAway],Table2[GameDate], "&lt;=" &amp; $A64, Table2[AwayTeam], W$1)+SUMIFS(Table2[NewPointsHome],Table2[GameDate], "&lt;=" &amp; $A64, Table2[HomeTeam], W$1)</f>
        <v>21</v>
      </c>
      <c r="X64" s="145">
        <f>SUMIFS(Table2[NewPointsAway],Table2[GameDate], "&lt;=" &amp; $A64, Table2[AwayTeam], X$1)+SUMIFS(Table2[NewPointsHome],Table2[GameDate], "&lt;=" &amp; $A64, Table2[HomeTeam], X$1)</f>
        <v>19</v>
      </c>
      <c r="Y64" s="145">
        <f>SUMIFS(Table2[NewPointsAway],Table2[GameDate], "&lt;=" &amp; $A64, Table2[AwayTeam], Y$1)+SUMIFS(Table2[NewPointsHome],Table2[GameDate], "&lt;=" &amp; $A64, Table2[HomeTeam], Y$1)</f>
        <v>19</v>
      </c>
      <c r="Z64" s="145">
        <f>SUMIFS(Table2[NewPointsAway],Table2[GameDate], "&lt;=" &amp; $A64, Table2[AwayTeam], Z$1)+SUMIFS(Table2[NewPointsHome],Table2[GameDate], "&lt;=" &amp; $A64, Table2[HomeTeam], Z$1)</f>
        <v>15</v>
      </c>
      <c r="AA64" s="145">
        <f>SUMIFS(Table2[NewPointsAway],Table2[GameDate], "&lt;=" &amp; $A64, Table2[AwayTeam], AA$1)+SUMIFS(Table2[NewPointsHome],Table2[GameDate], "&lt;=" &amp; $A64, Table2[HomeTeam], AA$1)</f>
        <v>18</v>
      </c>
      <c r="AB64" s="145">
        <f>SUMIFS(Table2[NewPointsAway],Table2[GameDate], "&lt;=" &amp; $A64, Table2[AwayTeam], AB$1)+SUMIFS(Table2[NewPointsHome],Table2[GameDate], "&lt;=" &amp; $A64, Table2[HomeTeam], AB$1)</f>
        <v>17</v>
      </c>
      <c r="AC64" s="145">
        <f>SUMIFS(Table2[NewPointsAway],Table2[GameDate], "&lt;=" &amp; $A64, Table2[AwayTeam], AC$1)+SUMIFS(Table2[NewPointsHome],Table2[GameDate], "&lt;=" &amp; $A64, Table2[HomeTeam], AC$1)</f>
        <v>18</v>
      </c>
      <c r="AD64" s="145">
        <f>SUMIFS(Table2[NewPointsAway],Table2[GameDate], "&lt;=" &amp; $A64, Table2[AwayTeam], AD$1)+SUMIFS(Table2[NewPointsHome],Table2[GameDate], "&lt;=" &amp; $A64, Table2[HomeTeam], AD$1)</f>
        <v>17</v>
      </c>
      <c r="AE64" s="145">
        <f>SUMIFS(Table2[NewPointsAway],Table2[GameDate], "&lt;=" &amp; $A64, Table2[AwayTeam], AE$1)+SUMIFS(Table2[NewPointsHome],Table2[GameDate], "&lt;=" &amp; $A64, Table2[HomeTeam], AE$1)</f>
        <v>18</v>
      </c>
      <c r="AF64" s="145">
        <f>SUMIFS(Table2[NewPointsAway],Table2[GameDate], "&lt;=" &amp; $A64, Table2[AwayTeam], AF$1)+SUMIFS(Table2[NewPointsHome],Table2[GameDate], "&lt;=" &amp; $A64, Table2[HomeTeam], AF$1)</f>
        <v>20</v>
      </c>
      <c r="AG64" s="145">
        <f>SUMIFS(Table2[NewPointsAway],Table2[GameDate], "&lt;=" &amp; $A64, Table2[AwayTeam], AG$1)+SUMIFS(Table2[NewPointsHome],Table2[GameDate], "&lt;=" &amp; $A64, Table2[HomeTeam], AG$1)</f>
        <v>17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23</v>
      </c>
      <c r="C65" s="145">
        <f>SUMIFS(Table2[NewPointsAway],Table2[GameDate], "&lt;=" &amp; $A65, Table2[AwayTeam], C$1)+SUMIFS(Table2[NewPointsHome],Table2[GameDate], "&lt;=" &amp; $A65, Table2[HomeTeam], C$1)</f>
        <v>22</v>
      </c>
      <c r="D65" s="145">
        <f>SUMIFS(Table2[NewPointsAway],Table2[GameDate], "&lt;=" &amp; $A65, Table2[AwayTeam], D$1)+SUMIFS(Table2[NewPointsHome],Table2[GameDate], "&lt;=" &amp; $A65, Table2[HomeTeam], D$1)</f>
        <v>14</v>
      </c>
      <c r="E65" s="145">
        <f>SUMIFS(Table2[NewPointsAway],Table2[GameDate], "&lt;=" &amp; $A65, Table2[AwayTeam], E$1)+SUMIFS(Table2[NewPointsHome],Table2[GameDate], "&lt;=" &amp; $A65, Table2[HomeTeam], E$1)</f>
        <v>22</v>
      </c>
      <c r="F65" s="145">
        <f>SUMIFS(Table2[NewPointsAway],Table2[GameDate], "&lt;=" &amp; $A65, Table2[AwayTeam], F$1)+SUMIFS(Table2[NewPointsHome],Table2[GameDate], "&lt;=" &amp; $A65, Table2[HomeTeam], F$1)</f>
        <v>17</v>
      </c>
      <c r="G65" s="145">
        <f>SUMIFS(Table2[NewPointsAway],Table2[GameDate], "&lt;=" &amp; $A65, Table2[AwayTeam], G$1)+SUMIFS(Table2[NewPointsHome],Table2[GameDate], "&lt;=" &amp; $A65, Table2[HomeTeam], G$1)</f>
        <v>10</v>
      </c>
      <c r="H65" s="145">
        <f>SUMIFS(Table2[NewPointsAway],Table2[GameDate], "&lt;=" &amp; $A65, Table2[AwayTeam], H$1)+SUMIFS(Table2[NewPointsHome],Table2[GameDate], "&lt;=" &amp; $A65, Table2[HomeTeam], H$1)</f>
        <v>19</v>
      </c>
      <c r="I65" s="145">
        <f>SUMIFS(Table2[NewPointsAway],Table2[GameDate], "&lt;=" &amp; $A65, Table2[AwayTeam], I$1)+SUMIFS(Table2[NewPointsHome],Table2[GameDate], "&lt;=" &amp; $A65, Table2[HomeTeam], I$1)</f>
        <v>27</v>
      </c>
      <c r="J65" s="145">
        <f>SUMIFS(Table2[NewPointsAway],Table2[GameDate], "&lt;=" &amp; $A65, Table2[AwayTeam], J$1)+SUMIFS(Table2[NewPointsHome],Table2[GameDate], "&lt;=" &amp; $A65, Table2[HomeTeam], J$1)</f>
        <v>23</v>
      </c>
      <c r="K65" s="145">
        <f>SUMIFS(Table2[NewPointsAway],Table2[GameDate], "&lt;=" &amp; $A65, Table2[AwayTeam], K$1)+SUMIFS(Table2[NewPointsHome],Table2[GameDate], "&lt;=" &amp; $A65, Table2[HomeTeam], K$1)</f>
        <v>18</v>
      </c>
      <c r="L65" s="145">
        <f>SUMIFS(Table2[NewPointsAway],Table2[GameDate], "&lt;=" &amp; $A65, Table2[AwayTeam], L$1)+SUMIFS(Table2[NewPointsHome],Table2[GameDate], "&lt;=" &amp; $A65, Table2[HomeTeam], L$1)</f>
        <v>20</v>
      </c>
      <c r="M65" s="145">
        <f>SUMIFS(Table2[NewPointsAway],Table2[GameDate], "&lt;=" &amp; $A65, Table2[AwayTeam], M$1)+SUMIFS(Table2[NewPointsHome],Table2[GameDate], "&lt;=" &amp; $A65, Table2[HomeTeam], M$1)</f>
        <v>17</v>
      </c>
      <c r="N65" s="145">
        <f>SUMIFS(Table2[NewPointsAway],Table2[GameDate], "&lt;=" &amp; $A65, Table2[AwayTeam], N$1)+SUMIFS(Table2[NewPointsHome],Table2[GameDate], "&lt;=" &amp; $A65, Table2[HomeTeam], N$1)</f>
        <v>20</v>
      </c>
      <c r="O65" s="145">
        <f>SUMIFS(Table2[NewPointsAway],Table2[GameDate], "&lt;=" &amp; $A65, Table2[AwayTeam], O$1)+SUMIFS(Table2[NewPointsHome],Table2[GameDate], "&lt;=" &amp; $A65, Table2[HomeTeam], O$1)</f>
        <v>18</v>
      </c>
      <c r="P65" s="145">
        <f>SUMIFS(Table2[NewPointsAway],Table2[GameDate], "&lt;=" &amp; $A65, Table2[AwayTeam], P$1)+SUMIFS(Table2[NewPointsHome],Table2[GameDate], "&lt;=" &amp; $A65, Table2[HomeTeam], P$1)</f>
        <v>22</v>
      </c>
      <c r="Q65" s="145">
        <f>SUMIFS(Table2[NewPointsAway],Table2[GameDate], "&lt;=" &amp; $A65, Table2[AwayTeam], Q$1)+SUMIFS(Table2[NewPointsHome],Table2[GameDate], "&lt;=" &amp; $A65, Table2[HomeTeam], Q$1)</f>
        <v>23</v>
      </c>
      <c r="R65" s="145">
        <f>SUMIFS(Table2[NewPointsAway],Table2[GameDate], "&lt;=" &amp; $A65, Table2[AwayTeam], R$1)+SUMIFS(Table2[NewPointsHome],Table2[GameDate], "&lt;=" &amp; $A65, Table2[HomeTeam], R$1)</f>
        <v>14</v>
      </c>
      <c r="S65" s="145">
        <f>SUMIFS(Table2[NewPointsAway],Table2[GameDate], "&lt;=" &amp; $A65, Table2[AwayTeam], S$1)+SUMIFS(Table2[NewPointsHome],Table2[GameDate], "&lt;=" &amp; $A65, Table2[HomeTeam], S$1)</f>
        <v>18</v>
      </c>
      <c r="T65" s="145">
        <f>SUMIFS(Table2[NewPointsAway],Table2[GameDate], "&lt;=" &amp; $A65, Table2[AwayTeam], T$1)+SUMIFS(Table2[NewPointsHome],Table2[GameDate], "&lt;=" &amp; $A65, Table2[HomeTeam], T$1)</f>
        <v>20</v>
      </c>
      <c r="U65" s="145">
        <f>SUMIFS(Table2[NewPointsAway],Table2[GameDate], "&lt;=" &amp; $A65, Table2[AwayTeam], U$1)+SUMIFS(Table2[NewPointsHome],Table2[GameDate], "&lt;=" &amp; $A65, Table2[HomeTeam], U$1)</f>
        <v>20</v>
      </c>
      <c r="V65" s="145">
        <f>SUMIFS(Table2[NewPointsAway],Table2[GameDate], "&lt;=" &amp; $A65, Table2[AwayTeam], V$1)+SUMIFS(Table2[NewPointsHome],Table2[GameDate], "&lt;=" &amp; $A65, Table2[HomeTeam], V$1)</f>
        <v>19</v>
      </c>
      <c r="W65" s="145">
        <f>SUMIFS(Table2[NewPointsAway],Table2[GameDate], "&lt;=" &amp; $A65, Table2[AwayTeam], W$1)+SUMIFS(Table2[NewPointsHome],Table2[GameDate], "&lt;=" &amp; $A65, Table2[HomeTeam], W$1)</f>
        <v>21</v>
      </c>
      <c r="X65" s="145">
        <f>SUMIFS(Table2[NewPointsAway],Table2[GameDate], "&lt;=" &amp; $A65, Table2[AwayTeam], X$1)+SUMIFS(Table2[NewPointsHome],Table2[GameDate], "&lt;=" &amp; $A65, Table2[HomeTeam], X$1)</f>
        <v>19</v>
      </c>
      <c r="Y65" s="145">
        <f>SUMIFS(Table2[NewPointsAway],Table2[GameDate], "&lt;=" &amp; $A65, Table2[AwayTeam], Y$1)+SUMIFS(Table2[NewPointsHome],Table2[GameDate], "&lt;=" &amp; $A65, Table2[HomeTeam], Y$1)</f>
        <v>19</v>
      </c>
      <c r="Z65" s="145">
        <f>SUMIFS(Table2[NewPointsAway],Table2[GameDate], "&lt;=" &amp; $A65, Table2[AwayTeam], Z$1)+SUMIFS(Table2[NewPointsHome],Table2[GameDate], "&lt;=" &amp; $A65, Table2[HomeTeam], Z$1)</f>
        <v>15</v>
      </c>
      <c r="AA65" s="145">
        <f>SUMIFS(Table2[NewPointsAway],Table2[GameDate], "&lt;=" &amp; $A65, Table2[AwayTeam], AA$1)+SUMIFS(Table2[NewPointsHome],Table2[GameDate], "&lt;=" &amp; $A65, Table2[HomeTeam], AA$1)</f>
        <v>18</v>
      </c>
      <c r="AB65" s="145">
        <f>SUMIFS(Table2[NewPointsAway],Table2[GameDate], "&lt;=" &amp; $A65, Table2[AwayTeam], AB$1)+SUMIFS(Table2[NewPointsHome],Table2[GameDate], "&lt;=" &amp; $A65, Table2[HomeTeam], AB$1)</f>
        <v>17</v>
      </c>
      <c r="AC65" s="145">
        <f>SUMIFS(Table2[NewPointsAway],Table2[GameDate], "&lt;=" &amp; $A65, Table2[AwayTeam], AC$1)+SUMIFS(Table2[NewPointsHome],Table2[GameDate], "&lt;=" &amp; $A65, Table2[HomeTeam], AC$1)</f>
        <v>18</v>
      </c>
      <c r="AD65" s="145">
        <f>SUMIFS(Table2[NewPointsAway],Table2[GameDate], "&lt;=" &amp; $A65, Table2[AwayTeam], AD$1)+SUMIFS(Table2[NewPointsHome],Table2[GameDate], "&lt;=" &amp; $A65, Table2[HomeTeam], AD$1)</f>
        <v>17</v>
      </c>
      <c r="AE65" s="145">
        <f>SUMIFS(Table2[NewPointsAway],Table2[GameDate], "&lt;=" &amp; $A65, Table2[AwayTeam], AE$1)+SUMIFS(Table2[NewPointsHome],Table2[GameDate], "&lt;=" &amp; $A65, Table2[HomeTeam], AE$1)</f>
        <v>18</v>
      </c>
      <c r="AF65" s="145">
        <f>SUMIFS(Table2[NewPointsAway],Table2[GameDate], "&lt;=" &amp; $A65, Table2[AwayTeam], AF$1)+SUMIFS(Table2[NewPointsHome],Table2[GameDate], "&lt;=" &amp; $A65, Table2[HomeTeam], AF$1)</f>
        <v>20</v>
      </c>
      <c r="AG65" s="145">
        <f>SUMIFS(Table2[NewPointsAway],Table2[GameDate], "&lt;=" &amp; $A65, Table2[AwayTeam], AG$1)+SUMIFS(Table2[NewPointsHome],Table2[GameDate], "&lt;=" &amp; $A65, Table2[HomeTeam], AG$1)</f>
        <v>17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23</v>
      </c>
      <c r="C66" s="145">
        <f>SUMIFS(Table2[NewPointsAway],Table2[GameDate], "&lt;=" &amp; $A66, Table2[AwayTeam], C$1)+SUMIFS(Table2[NewPointsHome],Table2[GameDate], "&lt;=" &amp; $A66, Table2[HomeTeam], C$1)</f>
        <v>22</v>
      </c>
      <c r="D66" s="145">
        <f>SUMIFS(Table2[NewPointsAway],Table2[GameDate], "&lt;=" &amp; $A66, Table2[AwayTeam], D$1)+SUMIFS(Table2[NewPointsHome],Table2[GameDate], "&lt;=" &amp; $A66, Table2[HomeTeam], D$1)</f>
        <v>14</v>
      </c>
      <c r="E66" s="145">
        <f>SUMIFS(Table2[NewPointsAway],Table2[GameDate], "&lt;=" &amp; $A66, Table2[AwayTeam], E$1)+SUMIFS(Table2[NewPointsHome],Table2[GameDate], "&lt;=" &amp; $A66, Table2[HomeTeam], E$1)</f>
        <v>22</v>
      </c>
      <c r="F66" s="145">
        <f>SUMIFS(Table2[NewPointsAway],Table2[GameDate], "&lt;=" &amp; $A66, Table2[AwayTeam], F$1)+SUMIFS(Table2[NewPointsHome],Table2[GameDate], "&lt;=" &amp; $A66, Table2[HomeTeam], F$1)</f>
        <v>17</v>
      </c>
      <c r="G66" s="145">
        <f>SUMIFS(Table2[NewPointsAway],Table2[GameDate], "&lt;=" &amp; $A66, Table2[AwayTeam], G$1)+SUMIFS(Table2[NewPointsHome],Table2[GameDate], "&lt;=" &amp; $A66, Table2[HomeTeam], G$1)</f>
        <v>10</v>
      </c>
      <c r="H66" s="145">
        <f>SUMIFS(Table2[NewPointsAway],Table2[GameDate], "&lt;=" &amp; $A66, Table2[AwayTeam], H$1)+SUMIFS(Table2[NewPointsHome],Table2[GameDate], "&lt;=" &amp; $A66, Table2[HomeTeam], H$1)</f>
        <v>19</v>
      </c>
      <c r="I66" s="145">
        <f>SUMIFS(Table2[NewPointsAway],Table2[GameDate], "&lt;=" &amp; $A66, Table2[AwayTeam], I$1)+SUMIFS(Table2[NewPointsHome],Table2[GameDate], "&lt;=" &amp; $A66, Table2[HomeTeam], I$1)</f>
        <v>27</v>
      </c>
      <c r="J66" s="145">
        <f>SUMIFS(Table2[NewPointsAway],Table2[GameDate], "&lt;=" &amp; $A66, Table2[AwayTeam], J$1)+SUMIFS(Table2[NewPointsHome],Table2[GameDate], "&lt;=" &amp; $A66, Table2[HomeTeam], J$1)</f>
        <v>23</v>
      </c>
      <c r="K66" s="145">
        <f>SUMIFS(Table2[NewPointsAway],Table2[GameDate], "&lt;=" &amp; $A66, Table2[AwayTeam], K$1)+SUMIFS(Table2[NewPointsHome],Table2[GameDate], "&lt;=" &amp; $A66, Table2[HomeTeam], K$1)</f>
        <v>18</v>
      </c>
      <c r="L66" s="145">
        <f>SUMIFS(Table2[NewPointsAway],Table2[GameDate], "&lt;=" &amp; $A66, Table2[AwayTeam], L$1)+SUMIFS(Table2[NewPointsHome],Table2[GameDate], "&lt;=" &amp; $A66, Table2[HomeTeam], L$1)</f>
        <v>20</v>
      </c>
      <c r="M66" s="145">
        <f>SUMIFS(Table2[NewPointsAway],Table2[GameDate], "&lt;=" &amp; $A66, Table2[AwayTeam], M$1)+SUMIFS(Table2[NewPointsHome],Table2[GameDate], "&lt;=" &amp; $A66, Table2[HomeTeam], M$1)</f>
        <v>17</v>
      </c>
      <c r="N66" s="145">
        <f>SUMIFS(Table2[NewPointsAway],Table2[GameDate], "&lt;=" &amp; $A66, Table2[AwayTeam], N$1)+SUMIFS(Table2[NewPointsHome],Table2[GameDate], "&lt;=" &amp; $A66, Table2[HomeTeam], N$1)</f>
        <v>20</v>
      </c>
      <c r="O66" s="145">
        <f>SUMIFS(Table2[NewPointsAway],Table2[GameDate], "&lt;=" &amp; $A66, Table2[AwayTeam], O$1)+SUMIFS(Table2[NewPointsHome],Table2[GameDate], "&lt;=" &amp; $A66, Table2[HomeTeam], O$1)</f>
        <v>18</v>
      </c>
      <c r="P66" s="145">
        <f>SUMIFS(Table2[NewPointsAway],Table2[GameDate], "&lt;=" &amp; $A66, Table2[AwayTeam], P$1)+SUMIFS(Table2[NewPointsHome],Table2[GameDate], "&lt;=" &amp; $A66, Table2[HomeTeam], P$1)</f>
        <v>22</v>
      </c>
      <c r="Q66" s="145">
        <f>SUMIFS(Table2[NewPointsAway],Table2[GameDate], "&lt;=" &amp; $A66, Table2[AwayTeam], Q$1)+SUMIFS(Table2[NewPointsHome],Table2[GameDate], "&lt;=" &amp; $A66, Table2[HomeTeam], Q$1)</f>
        <v>23</v>
      </c>
      <c r="R66" s="145">
        <f>SUMIFS(Table2[NewPointsAway],Table2[GameDate], "&lt;=" &amp; $A66, Table2[AwayTeam], R$1)+SUMIFS(Table2[NewPointsHome],Table2[GameDate], "&lt;=" &amp; $A66, Table2[HomeTeam], R$1)</f>
        <v>14</v>
      </c>
      <c r="S66" s="145">
        <f>SUMIFS(Table2[NewPointsAway],Table2[GameDate], "&lt;=" &amp; $A66, Table2[AwayTeam], S$1)+SUMIFS(Table2[NewPointsHome],Table2[GameDate], "&lt;=" &amp; $A66, Table2[HomeTeam], S$1)</f>
        <v>18</v>
      </c>
      <c r="T66" s="145">
        <f>SUMIFS(Table2[NewPointsAway],Table2[GameDate], "&lt;=" &amp; $A66, Table2[AwayTeam], T$1)+SUMIFS(Table2[NewPointsHome],Table2[GameDate], "&lt;=" &amp; $A66, Table2[HomeTeam], T$1)</f>
        <v>20</v>
      </c>
      <c r="U66" s="145">
        <f>SUMIFS(Table2[NewPointsAway],Table2[GameDate], "&lt;=" &amp; $A66, Table2[AwayTeam], U$1)+SUMIFS(Table2[NewPointsHome],Table2[GameDate], "&lt;=" &amp; $A66, Table2[HomeTeam], U$1)</f>
        <v>20</v>
      </c>
      <c r="V66" s="145">
        <f>SUMIFS(Table2[NewPointsAway],Table2[GameDate], "&lt;=" &amp; $A66, Table2[AwayTeam], V$1)+SUMIFS(Table2[NewPointsHome],Table2[GameDate], "&lt;=" &amp; $A66, Table2[HomeTeam], V$1)</f>
        <v>19</v>
      </c>
      <c r="W66" s="145">
        <f>SUMIFS(Table2[NewPointsAway],Table2[GameDate], "&lt;=" &amp; $A66, Table2[AwayTeam], W$1)+SUMIFS(Table2[NewPointsHome],Table2[GameDate], "&lt;=" &amp; $A66, Table2[HomeTeam], W$1)</f>
        <v>21</v>
      </c>
      <c r="X66" s="145">
        <f>SUMIFS(Table2[NewPointsAway],Table2[GameDate], "&lt;=" &amp; $A66, Table2[AwayTeam], X$1)+SUMIFS(Table2[NewPointsHome],Table2[GameDate], "&lt;=" &amp; $A66, Table2[HomeTeam], X$1)</f>
        <v>19</v>
      </c>
      <c r="Y66" s="145">
        <f>SUMIFS(Table2[NewPointsAway],Table2[GameDate], "&lt;=" &amp; $A66, Table2[AwayTeam], Y$1)+SUMIFS(Table2[NewPointsHome],Table2[GameDate], "&lt;=" &amp; $A66, Table2[HomeTeam], Y$1)</f>
        <v>19</v>
      </c>
      <c r="Z66" s="145">
        <f>SUMIFS(Table2[NewPointsAway],Table2[GameDate], "&lt;=" &amp; $A66, Table2[AwayTeam], Z$1)+SUMIFS(Table2[NewPointsHome],Table2[GameDate], "&lt;=" &amp; $A66, Table2[HomeTeam], Z$1)</f>
        <v>15</v>
      </c>
      <c r="AA66" s="145">
        <f>SUMIFS(Table2[NewPointsAway],Table2[GameDate], "&lt;=" &amp; $A66, Table2[AwayTeam], AA$1)+SUMIFS(Table2[NewPointsHome],Table2[GameDate], "&lt;=" &amp; $A66, Table2[HomeTeam], AA$1)</f>
        <v>18</v>
      </c>
      <c r="AB66" s="145">
        <f>SUMIFS(Table2[NewPointsAway],Table2[GameDate], "&lt;=" &amp; $A66, Table2[AwayTeam], AB$1)+SUMIFS(Table2[NewPointsHome],Table2[GameDate], "&lt;=" &amp; $A66, Table2[HomeTeam], AB$1)</f>
        <v>17</v>
      </c>
      <c r="AC66" s="145">
        <f>SUMIFS(Table2[NewPointsAway],Table2[GameDate], "&lt;=" &amp; $A66, Table2[AwayTeam], AC$1)+SUMIFS(Table2[NewPointsHome],Table2[GameDate], "&lt;=" &amp; $A66, Table2[HomeTeam], AC$1)</f>
        <v>18</v>
      </c>
      <c r="AD66" s="145">
        <f>SUMIFS(Table2[NewPointsAway],Table2[GameDate], "&lt;=" &amp; $A66, Table2[AwayTeam], AD$1)+SUMIFS(Table2[NewPointsHome],Table2[GameDate], "&lt;=" &amp; $A66, Table2[HomeTeam], AD$1)</f>
        <v>17</v>
      </c>
      <c r="AE66" s="145">
        <f>SUMIFS(Table2[NewPointsAway],Table2[GameDate], "&lt;=" &amp; $A66, Table2[AwayTeam], AE$1)+SUMIFS(Table2[NewPointsHome],Table2[GameDate], "&lt;=" &amp; $A66, Table2[HomeTeam], AE$1)</f>
        <v>18</v>
      </c>
      <c r="AF66" s="145">
        <f>SUMIFS(Table2[NewPointsAway],Table2[GameDate], "&lt;=" &amp; $A66, Table2[AwayTeam], AF$1)+SUMIFS(Table2[NewPointsHome],Table2[GameDate], "&lt;=" &amp; $A66, Table2[HomeTeam], AF$1)</f>
        <v>20</v>
      </c>
      <c r="AG66" s="145">
        <f>SUMIFS(Table2[NewPointsAway],Table2[GameDate], "&lt;=" &amp; $A66, Table2[AwayTeam], AG$1)+SUMIFS(Table2[NewPointsHome],Table2[GameDate], "&lt;=" &amp; $A66, Table2[HomeTeam], AG$1)</f>
        <v>17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23</v>
      </c>
      <c r="C67" s="145">
        <f>SUMIFS(Table2[NewPointsAway],Table2[GameDate], "&lt;=" &amp; $A67, Table2[AwayTeam], C$1)+SUMIFS(Table2[NewPointsHome],Table2[GameDate], "&lt;=" &amp; $A67, Table2[HomeTeam], C$1)</f>
        <v>22</v>
      </c>
      <c r="D67" s="145">
        <f>SUMIFS(Table2[NewPointsAway],Table2[GameDate], "&lt;=" &amp; $A67, Table2[AwayTeam], D$1)+SUMIFS(Table2[NewPointsHome],Table2[GameDate], "&lt;=" &amp; $A67, Table2[HomeTeam], D$1)</f>
        <v>14</v>
      </c>
      <c r="E67" s="145">
        <f>SUMIFS(Table2[NewPointsAway],Table2[GameDate], "&lt;=" &amp; $A67, Table2[AwayTeam], E$1)+SUMIFS(Table2[NewPointsHome],Table2[GameDate], "&lt;=" &amp; $A67, Table2[HomeTeam], E$1)</f>
        <v>22</v>
      </c>
      <c r="F67" s="145">
        <f>SUMIFS(Table2[NewPointsAway],Table2[GameDate], "&lt;=" &amp; $A67, Table2[AwayTeam], F$1)+SUMIFS(Table2[NewPointsHome],Table2[GameDate], "&lt;=" &amp; $A67, Table2[HomeTeam], F$1)</f>
        <v>17</v>
      </c>
      <c r="G67" s="145">
        <f>SUMIFS(Table2[NewPointsAway],Table2[GameDate], "&lt;=" &amp; $A67, Table2[AwayTeam], G$1)+SUMIFS(Table2[NewPointsHome],Table2[GameDate], "&lt;=" &amp; $A67, Table2[HomeTeam], G$1)</f>
        <v>10</v>
      </c>
      <c r="H67" s="145">
        <f>SUMIFS(Table2[NewPointsAway],Table2[GameDate], "&lt;=" &amp; $A67, Table2[AwayTeam], H$1)+SUMIFS(Table2[NewPointsHome],Table2[GameDate], "&lt;=" &amp; $A67, Table2[HomeTeam], H$1)</f>
        <v>19</v>
      </c>
      <c r="I67" s="145">
        <f>SUMIFS(Table2[NewPointsAway],Table2[GameDate], "&lt;=" &amp; $A67, Table2[AwayTeam], I$1)+SUMIFS(Table2[NewPointsHome],Table2[GameDate], "&lt;=" &amp; $A67, Table2[HomeTeam], I$1)</f>
        <v>27</v>
      </c>
      <c r="J67" s="145">
        <f>SUMIFS(Table2[NewPointsAway],Table2[GameDate], "&lt;=" &amp; $A67, Table2[AwayTeam], J$1)+SUMIFS(Table2[NewPointsHome],Table2[GameDate], "&lt;=" &amp; $A67, Table2[HomeTeam], J$1)</f>
        <v>23</v>
      </c>
      <c r="K67" s="145">
        <f>SUMIFS(Table2[NewPointsAway],Table2[GameDate], "&lt;=" &amp; $A67, Table2[AwayTeam], K$1)+SUMIFS(Table2[NewPointsHome],Table2[GameDate], "&lt;=" &amp; $A67, Table2[HomeTeam], K$1)</f>
        <v>18</v>
      </c>
      <c r="L67" s="145">
        <f>SUMIFS(Table2[NewPointsAway],Table2[GameDate], "&lt;=" &amp; $A67, Table2[AwayTeam], L$1)+SUMIFS(Table2[NewPointsHome],Table2[GameDate], "&lt;=" &amp; $A67, Table2[HomeTeam], L$1)</f>
        <v>20</v>
      </c>
      <c r="M67" s="145">
        <f>SUMIFS(Table2[NewPointsAway],Table2[GameDate], "&lt;=" &amp; $A67, Table2[AwayTeam], M$1)+SUMIFS(Table2[NewPointsHome],Table2[GameDate], "&lt;=" &amp; $A67, Table2[HomeTeam], M$1)</f>
        <v>17</v>
      </c>
      <c r="N67" s="145">
        <f>SUMIFS(Table2[NewPointsAway],Table2[GameDate], "&lt;=" &amp; $A67, Table2[AwayTeam], N$1)+SUMIFS(Table2[NewPointsHome],Table2[GameDate], "&lt;=" &amp; $A67, Table2[HomeTeam], N$1)</f>
        <v>20</v>
      </c>
      <c r="O67" s="145">
        <f>SUMIFS(Table2[NewPointsAway],Table2[GameDate], "&lt;=" &amp; $A67, Table2[AwayTeam], O$1)+SUMIFS(Table2[NewPointsHome],Table2[GameDate], "&lt;=" &amp; $A67, Table2[HomeTeam], O$1)</f>
        <v>18</v>
      </c>
      <c r="P67" s="145">
        <f>SUMIFS(Table2[NewPointsAway],Table2[GameDate], "&lt;=" &amp; $A67, Table2[AwayTeam], P$1)+SUMIFS(Table2[NewPointsHome],Table2[GameDate], "&lt;=" &amp; $A67, Table2[HomeTeam], P$1)</f>
        <v>22</v>
      </c>
      <c r="Q67" s="145">
        <f>SUMIFS(Table2[NewPointsAway],Table2[GameDate], "&lt;=" &amp; $A67, Table2[AwayTeam], Q$1)+SUMIFS(Table2[NewPointsHome],Table2[GameDate], "&lt;=" &amp; $A67, Table2[HomeTeam], Q$1)</f>
        <v>23</v>
      </c>
      <c r="R67" s="145">
        <f>SUMIFS(Table2[NewPointsAway],Table2[GameDate], "&lt;=" &amp; $A67, Table2[AwayTeam], R$1)+SUMIFS(Table2[NewPointsHome],Table2[GameDate], "&lt;=" &amp; $A67, Table2[HomeTeam], R$1)</f>
        <v>14</v>
      </c>
      <c r="S67" s="145">
        <f>SUMIFS(Table2[NewPointsAway],Table2[GameDate], "&lt;=" &amp; $A67, Table2[AwayTeam], S$1)+SUMIFS(Table2[NewPointsHome],Table2[GameDate], "&lt;=" &amp; $A67, Table2[HomeTeam], S$1)</f>
        <v>18</v>
      </c>
      <c r="T67" s="145">
        <f>SUMIFS(Table2[NewPointsAway],Table2[GameDate], "&lt;=" &amp; $A67, Table2[AwayTeam], T$1)+SUMIFS(Table2[NewPointsHome],Table2[GameDate], "&lt;=" &amp; $A67, Table2[HomeTeam], T$1)</f>
        <v>20</v>
      </c>
      <c r="U67" s="145">
        <f>SUMIFS(Table2[NewPointsAway],Table2[GameDate], "&lt;=" &amp; $A67, Table2[AwayTeam], U$1)+SUMIFS(Table2[NewPointsHome],Table2[GameDate], "&lt;=" &amp; $A67, Table2[HomeTeam], U$1)</f>
        <v>20</v>
      </c>
      <c r="V67" s="145">
        <f>SUMIFS(Table2[NewPointsAway],Table2[GameDate], "&lt;=" &amp; $A67, Table2[AwayTeam], V$1)+SUMIFS(Table2[NewPointsHome],Table2[GameDate], "&lt;=" &amp; $A67, Table2[HomeTeam], V$1)</f>
        <v>19</v>
      </c>
      <c r="W67" s="145">
        <f>SUMIFS(Table2[NewPointsAway],Table2[GameDate], "&lt;=" &amp; $A67, Table2[AwayTeam], W$1)+SUMIFS(Table2[NewPointsHome],Table2[GameDate], "&lt;=" &amp; $A67, Table2[HomeTeam], W$1)</f>
        <v>21</v>
      </c>
      <c r="X67" s="145">
        <f>SUMIFS(Table2[NewPointsAway],Table2[GameDate], "&lt;=" &amp; $A67, Table2[AwayTeam], X$1)+SUMIFS(Table2[NewPointsHome],Table2[GameDate], "&lt;=" &amp; $A67, Table2[HomeTeam], X$1)</f>
        <v>19</v>
      </c>
      <c r="Y67" s="145">
        <f>SUMIFS(Table2[NewPointsAway],Table2[GameDate], "&lt;=" &amp; $A67, Table2[AwayTeam], Y$1)+SUMIFS(Table2[NewPointsHome],Table2[GameDate], "&lt;=" &amp; $A67, Table2[HomeTeam], Y$1)</f>
        <v>19</v>
      </c>
      <c r="Z67" s="145">
        <f>SUMIFS(Table2[NewPointsAway],Table2[GameDate], "&lt;=" &amp; $A67, Table2[AwayTeam], Z$1)+SUMIFS(Table2[NewPointsHome],Table2[GameDate], "&lt;=" &amp; $A67, Table2[HomeTeam], Z$1)</f>
        <v>15</v>
      </c>
      <c r="AA67" s="145">
        <f>SUMIFS(Table2[NewPointsAway],Table2[GameDate], "&lt;=" &amp; $A67, Table2[AwayTeam], AA$1)+SUMIFS(Table2[NewPointsHome],Table2[GameDate], "&lt;=" &amp; $A67, Table2[HomeTeam], AA$1)</f>
        <v>18</v>
      </c>
      <c r="AB67" s="145">
        <f>SUMIFS(Table2[NewPointsAway],Table2[GameDate], "&lt;=" &amp; $A67, Table2[AwayTeam], AB$1)+SUMIFS(Table2[NewPointsHome],Table2[GameDate], "&lt;=" &amp; $A67, Table2[HomeTeam], AB$1)</f>
        <v>17</v>
      </c>
      <c r="AC67" s="145">
        <f>SUMIFS(Table2[NewPointsAway],Table2[GameDate], "&lt;=" &amp; $A67, Table2[AwayTeam], AC$1)+SUMIFS(Table2[NewPointsHome],Table2[GameDate], "&lt;=" &amp; $A67, Table2[HomeTeam], AC$1)</f>
        <v>18</v>
      </c>
      <c r="AD67" s="145">
        <f>SUMIFS(Table2[NewPointsAway],Table2[GameDate], "&lt;=" &amp; $A67, Table2[AwayTeam], AD$1)+SUMIFS(Table2[NewPointsHome],Table2[GameDate], "&lt;=" &amp; $A67, Table2[HomeTeam], AD$1)</f>
        <v>17</v>
      </c>
      <c r="AE67" s="145">
        <f>SUMIFS(Table2[NewPointsAway],Table2[GameDate], "&lt;=" &amp; $A67, Table2[AwayTeam], AE$1)+SUMIFS(Table2[NewPointsHome],Table2[GameDate], "&lt;=" &amp; $A67, Table2[HomeTeam], AE$1)</f>
        <v>18</v>
      </c>
      <c r="AF67" s="145">
        <f>SUMIFS(Table2[NewPointsAway],Table2[GameDate], "&lt;=" &amp; $A67, Table2[AwayTeam], AF$1)+SUMIFS(Table2[NewPointsHome],Table2[GameDate], "&lt;=" &amp; $A67, Table2[HomeTeam], AF$1)</f>
        <v>20</v>
      </c>
      <c r="AG67" s="145">
        <f>SUMIFS(Table2[NewPointsAway],Table2[GameDate], "&lt;=" &amp; $A67, Table2[AwayTeam], AG$1)+SUMIFS(Table2[NewPointsHome],Table2[GameDate], "&lt;=" &amp; $A67, Table2[HomeTeam], AG$1)</f>
        <v>17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23</v>
      </c>
      <c r="C68" s="145">
        <f>SUMIFS(Table2[NewPointsAway],Table2[GameDate], "&lt;=" &amp; $A68, Table2[AwayTeam], C$1)+SUMIFS(Table2[NewPointsHome],Table2[GameDate], "&lt;=" &amp; $A68, Table2[HomeTeam], C$1)</f>
        <v>22</v>
      </c>
      <c r="D68" s="145">
        <f>SUMIFS(Table2[NewPointsAway],Table2[GameDate], "&lt;=" &amp; $A68, Table2[AwayTeam], D$1)+SUMIFS(Table2[NewPointsHome],Table2[GameDate], "&lt;=" &amp; $A68, Table2[HomeTeam], D$1)</f>
        <v>14</v>
      </c>
      <c r="E68" s="145">
        <f>SUMIFS(Table2[NewPointsAway],Table2[GameDate], "&lt;=" &amp; $A68, Table2[AwayTeam], E$1)+SUMIFS(Table2[NewPointsHome],Table2[GameDate], "&lt;=" &amp; $A68, Table2[HomeTeam], E$1)</f>
        <v>22</v>
      </c>
      <c r="F68" s="145">
        <f>SUMIFS(Table2[NewPointsAway],Table2[GameDate], "&lt;=" &amp; $A68, Table2[AwayTeam], F$1)+SUMIFS(Table2[NewPointsHome],Table2[GameDate], "&lt;=" &amp; $A68, Table2[HomeTeam], F$1)</f>
        <v>17</v>
      </c>
      <c r="G68" s="145">
        <f>SUMIFS(Table2[NewPointsAway],Table2[GameDate], "&lt;=" &amp; $A68, Table2[AwayTeam], G$1)+SUMIFS(Table2[NewPointsHome],Table2[GameDate], "&lt;=" &amp; $A68, Table2[HomeTeam], G$1)</f>
        <v>10</v>
      </c>
      <c r="H68" s="145">
        <f>SUMIFS(Table2[NewPointsAway],Table2[GameDate], "&lt;=" &amp; $A68, Table2[AwayTeam], H$1)+SUMIFS(Table2[NewPointsHome],Table2[GameDate], "&lt;=" &amp; $A68, Table2[HomeTeam], H$1)</f>
        <v>19</v>
      </c>
      <c r="I68" s="145">
        <f>SUMIFS(Table2[NewPointsAway],Table2[GameDate], "&lt;=" &amp; $A68, Table2[AwayTeam], I$1)+SUMIFS(Table2[NewPointsHome],Table2[GameDate], "&lt;=" &amp; $A68, Table2[HomeTeam], I$1)</f>
        <v>27</v>
      </c>
      <c r="J68" s="145">
        <f>SUMIFS(Table2[NewPointsAway],Table2[GameDate], "&lt;=" &amp; $A68, Table2[AwayTeam], J$1)+SUMIFS(Table2[NewPointsHome],Table2[GameDate], "&lt;=" &amp; $A68, Table2[HomeTeam], J$1)</f>
        <v>23</v>
      </c>
      <c r="K68" s="145">
        <f>SUMIFS(Table2[NewPointsAway],Table2[GameDate], "&lt;=" &amp; $A68, Table2[AwayTeam], K$1)+SUMIFS(Table2[NewPointsHome],Table2[GameDate], "&lt;=" &amp; $A68, Table2[HomeTeam], K$1)</f>
        <v>18</v>
      </c>
      <c r="L68" s="145">
        <f>SUMIFS(Table2[NewPointsAway],Table2[GameDate], "&lt;=" &amp; $A68, Table2[AwayTeam], L$1)+SUMIFS(Table2[NewPointsHome],Table2[GameDate], "&lt;=" &amp; $A68, Table2[HomeTeam], L$1)</f>
        <v>20</v>
      </c>
      <c r="M68" s="145">
        <f>SUMIFS(Table2[NewPointsAway],Table2[GameDate], "&lt;=" &amp; $A68, Table2[AwayTeam], M$1)+SUMIFS(Table2[NewPointsHome],Table2[GameDate], "&lt;=" &amp; $A68, Table2[HomeTeam], M$1)</f>
        <v>17</v>
      </c>
      <c r="N68" s="145">
        <f>SUMIFS(Table2[NewPointsAway],Table2[GameDate], "&lt;=" &amp; $A68, Table2[AwayTeam], N$1)+SUMIFS(Table2[NewPointsHome],Table2[GameDate], "&lt;=" &amp; $A68, Table2[HomeTeam], N$1)</f>
        <v>20</v>
      </c>
      <c r="O68" s="145">
        <f>SUMIFS(Table2[NewPointsAway],Table2[GameDate], "&lt;=" &amp; $A68, Table2[AwayTeam], O$1)+SUMIFS(Table2[NewPointsHome],Table2[GameDate], "&lt;=" &amp; $A68, Table2[HomeTeam], O$1)</f>
        <v>18</v>
      </c>
      <c r="P68" s="145">
        <f>SUMIFS(Table2[NewPointsAway],Table2[GameDate], "&lt;=" &amp; $A68, Table2[AwayTeam], P$1)+SUMIFS(Table2[NewPointsHome],Table2[GameDate], "&lt;=" &amp; $A68, Table2[HomeTeam], P$1)</f>
        <v>22</v>
      </c>
      <c r="Q68" s="145">
        <f>SUMIFS(Table2[NewPointsAway],Table2[GameDate], "&lt;=" &amp; $A68, Table2[AwayTeam], Q$1)+SUMIFS(Table2[NewPointsHome],Table2[GameDate], "&lt;=" &amp; $A68, Table2[HomeTeam], Q$1)</f>
        <v>23</v>
      </c>
      <c r="R68" s="145">
        <f>SUMIFS(Table2[NewPointsAway],Table2[GameDate], "&lt;=" &amp; $A68, Table2[AwayTeam], R$1)+SUMIFS(Table2[NewPointsHome],Table2[GameDate], "&lt;=" &amp; $A68, Table2[HomeTeam], R$1)</f>
        <v>14</v>
      </c>
      <c r="S68" s="145">
        <f>SUMIFS(Table2[NewPointsAway],Table2[GameDate], "&lt;=" &amp; $A68, Table2[AwayTeam], S$1)+SUMIFS(Table2[NewPointsHome],Table2[GameDate], "&lt;=" &amp; $A68, Table2[HomeTeam], S$1)</f>
        <v>18</v>
      </c>
      <c r="T68" s="145">
        <f>SUMIFS(Table2[NewPointsAway],Table2[GameDate], "&lt;=" &amp; $A68, Table2[AwayTeam], T$1)+SUMIFS(Table2[NewPointsHome],Table2[GameDate], "&lt;=" &amp; $A68, Table2[HomeTeam], T$1)</f>
        <v>20</v>
      </c>
      <c r="U68" s="145">
        <f>SUMIFS(Table2[NewPointsAway],Table2[GameDate], "&lt;=" &amp; $A68, Table2[AwayTeam], U$1)+SUMIFS(Table2[NewPointsHome],Table2[GameDate], "&lt;=" &amp; $A68, Table2[HomeTeam], U$1)</f>
        <v>20</v>
      </c>
      <c r="V68" s="145">
        <f>SUMIFS(Table2[NewPointsAway],Table2[GameDate], "&lt;=" &amp; $A68, Table2[AwayTeam], V$1)+SUMIFS(Table2[NewPointsHome],Table2[GameDate], "&lt;=" &amp; $A68, Table2[HomeTeam], V$1)</f>
        <v>19</v>
      </c>
      <c r="W68" s="145">
        <f>SUMIFS(Table2[NewPointsAway],Table2[GameDate], "&lt;=" &amp; $A68, Table2[AwayTeam], W$1)+SUMIFS(Table2[NewPointsHome],Table2[GameDate], "&lt;=" &amp; $A68, Table2[HomeTeam], W$1)</f>
        <v>21</v>
      </c>
      <c r="X68" s="145">
        <f>SUMIFS(Table2[NewPointsAway],Table2[GameDate], "&lt;=" &amp; $A68, Table2[AwayTeam], X$1)+SUMIFS(Table2[NewPointsHome],Table2[GameDate], "&lt;=" &amp; $A68, Table2[HomeTeam], X$1)</f>
        <v>19</v>
      </c>
      <c r="Y68" s="145">
        <f>SUMIFS(Table2[NewPointsAway],Table2[GameDate], "&lt;=" &amp; $A68, Table2[AwayTeam], Y$1)+SUMIFS(Table2[NewPointsHome],Table2[GameDate], "&lt;=" &amp; $A68, Table2[HomeTeam], Y$1)</f>
        <v>19</v>
      </c>
      <c r="Z68" s="145">
        <f>SUMIFS(Table2[NewPointsAway],Table2[GameDate], "&lt;=" &amp; $A68, Table2[AwayTeam], Z$1)+SUMIFS(Table2[NewPointsHome],Table2[GameDate], "&lt;=" &amp; $A68, Table2[HomeTeam], Z$1)</f>
        <v>15</v>
      </c>
      <c r="AA68" s="145">
        <f>SUMIFS(Table2[NewPointsAway],Table2[GameDate], "&lt;=" &amp; $A68, Table2[AwayTeam], AA$1)+SUMIFS(Table2[NewPointsHome],Table2[GameDate], "&lt;=" &amp; $A68, Table2[HomeTeam], AA$1)</f>
        <v>18</v>
      </c>
      <c r="AB68" s="145">
        <f>SUMIFS(Table2[NewPointsAway],Table2[GameDate], "&lt;=" &amp; $A68, Table2[AwayTeam], AB$1)+SUMIFS(Table2[NewPointsHome],Table2[GameDate], "&lt;=" &amp; $A68, Table2[HomeTeam], AB$1)</f>
        <v>17</v>
      </c>
      <c r="AC68" s="145">
        <f>SUMIFS(Table2[NewPointsAway],Table2[GameDate], "&lt;=" &amp; $A68, Table2[AwayTeam], AC$1)+SUMIFS(Table2[NewPointsHome],Table2[GameDate], "&lt;=" &amp; $A68, Table2[HomeTeam], AC$1)</f>
        <v>18</v>
      </c>
      <c r="AD68" s="145">
        <f>SUMIFS(Table2[NewPointsAway],Table2[GameDate], "&lt;=" &amp; $A68, Table2[AwayTeam], AD$1)+SUMIFS(Table2[NewPointsHome],Table2[GameDate], "&lt;=" &amp; $A68, Table2[HomeTeam], AD$1)</f>
        <v>17</v>
      </c>
      <c r="AE68" s="145">
        <f>SUMIFS(Table2[NewPointsAway],Table2[GameDate], "&lt;=" &amp; $A68, Table2[AwayTeam], AE$1)+SUMIFS(Table2[NewPointsHome],Table2[GameDate], "&lt;=" &amp; $A68, Table2[HomeTeam], AE$1)</f>
        <v>18</v>
      </c>
      <c r="AF68" s="145">
        <f>SUMIFS(Table2[NewPointsAway],Table2[GameDate], "&lt;=" &amp; $A68, Table2[AwayTeam], AF$1)+SUMIFS(Table2[NewPointsHome],Table2[GameDate], "&lt;=" &amp; $A68, Table2[HomeTeam], AF$1)</f>
        <v>20</v>
      </c>
      <c r="AG68" s="145">
        <f>SUMIFS(Table2[NewPointsAway],Table2[GameDate], "&lt;=" &amp; $A68, Table2[AwayTeam], AG$1)+SUMIFS(Table2[NewPointsHome],Table2[GameDate], "&lt;=" &amp; $A68, Table2[HomeTeam], AG$1)</f>
        <v>17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23</v>
      </c>
      <c r="C69" s="145">
        <f>SUMIFS(Table2[NewPointsAway],Table2[GameDate], "&lt;=" &amp; $A69, Table2[AwayTeam], C$1)+SUMIFS(Table2[NewPointsHome],Table2[GameDate], "&lt;=" &amp; $A69, Table2[HomeTeam], C$1)</f>
        <v>22</v>
      </c>
      <c r="D69" s="145">
        <f>SUMIFS(Table2[NewPointsAway],Table2[GameDate], "&lt;=" &amp; $A69, Table2[AwayTeam], D$1)+SUMIFS(Table2[NewPointsHome],Table2[GameDate], "&lt;=" &amp; $A69, Table2[HomeTeam], D$1)</f>
        <v>14</v>
      </c>
      <c r="E69" s="145">
        <f>SUMIFS(Table2[NewPointsAway],Table2[GameDate], "&lt;=" &amp; $A69, Table2[AwayTeam], E$1)+SUMIFS(Table2[NewPointsHome],Table2[GameDate], "&lt;=" &amp; $A69, Table2[HomeTeam], E$1)</f>
        <v>22</v>
      </c>
      <c r="F69" s="145">
        <f>SUMIFS(Table2[NewPointsAway],Table2[GameDate], "&lt;=" &amp; $A69, Table2[AwayTeam], F$1)+SUMIFS(Table2[NewPointsHome],Table2[GameDate], "&lt;=" &amp; $A69, Table2[HomeTeam], F$1)</f>
        <v>17</v>
      </c>
      <c r="G69" s="145">
        <f>SUMIFS(Table2[NewPointsAway],Table2[GameDate], "&lt;=" &amp; $A69, Table2[AwayTeam], G$1)+SUMIFS(Table2[NewPointsHome],Table2[GameDate], "&lt;=" &amp; $A69, Table2[HomeTeam], G$1)</f>
        <v>10</v>
      </c>
      <c r="H69" s="145">
        <f>SUMIFS(Table2[NewPointsAway],Table2[GameDate], "&lt;=" &amp; $A69, Table2[AwayTeam], H$1)+SUMIFS(Table2[NewPointsHome],Table2[GameDate], "&lt;=" &amp; $A69, Table2[HomeTeam], H$1)</f>
        <v>19</v>
      </c>
      <c r="I69" s="145">
        <f>SUMIFS(Table2[NewPointsAway],Table2[GameDate], "&lt;=" &amp; $A69, Table2[AwayTeam], I$1)+SUMIFS(Table2[NewPointsHome],Table2[GameDate], "&lt;=" &amp; $A69, Table2[HomeTeam], I$1)</f>
        <v>27</v>
      </c>
      <c r="J69" s="145">
        <f>SUMIFS(Table2[NewPointsAway],Table2[GameDate], "&lt;=" &amp; $A69, Table2[AwayTeam], J$1)+SUMIFS(Table2[NewPointsHome],Table2[GameDate], "&lt;=" &amp; $A69, Table2[HomeTeam], J$1)</f>
        <v>23</v>
      </c>
      <c r="K69" s="145">
        <f>SUMIFS(Table2[NewPointsAway],Table2[GameDate], "&lt;=" &amp; $A69, Table2[AwayTeam], K$1)+SUMIFS(Table2[NewPointsHome],Table2[GameDate], "&lt;=" &amp; $A69, Table2[HomeTeam], K$1)</f>
        <v>18</v>
      </c>
      <c r="L69" s="145">
        <f>SUMIFS(Table2[NewPointsAway],Table2[GameDate], "&lt;=" &amp; $A69, Table2[AwayTeam], L$1)+SUMIFS(Table2[NewPointsHome],Table2[GameDate], "&lt;=" &amp; $A69, Table2[HomeTeam], L$1)</f>
        <v>20</v>
      </c>
      <c r="M69" s="145">
        <f>SUMIFS(Table2[NewPointsAway],Table2[GameDate], "&lt;=" &amp; $A69, Table2[AwayTeam], M$1)+SUMIFS(Table2[NewPointsHome],Table2[GameDate], "&lt;=" &amp; $A69, Table2[HomeTeam], M$1)</f>
        <v>17</v>
      </c>
      <c r="N69" s="145">
        <f>SUMIFS(Table2[NewPointsAway],Table2[GameDate], "&lt;=" &amp; $A69, Table2[AwayTeam], N$1)+SUMIFS(Table2[NewPointsHome],Table2[GameDate], "&lt;=" &amp; $A69, Table2[HomeTeam], N$1)</f>
        <v>20</v>
      </c>
      <c r="O69" s="145">
        <f>SUMIFS(Table2[NewPointsAway],Table2[GameDate], "&lt;=" &amp; $A69, Table2[AwayTeam], O$1)+SUMIFS(Table2[NewPointsHome],Table2[GameDate], "&lt;=" &amp; $A69, Table2[HomeTeam], O$1)</f>
        <v>18</v>
      </c>
      <c r="P69" s="145">
        <f>SUMIFS(Table2[NewPointsAway],Table2[GameDate], "&lt;=" &amp; $A69, Table2[AwayTeam], P$1)+SUMIFS(Table2[NewPointsHome],Table2[GameDate], "&lt;=" &amp; $A69, Table2[HomeTeam], P$1)</f>
        <v>22</v>
      </c>
      <c r="Q69" s="145">
        <f>SUMIFS(Table2[NewPointsAway],Table2[GameDate], "&lt;=" &amp; $A69, Table2[AwayTeam], Q$1)+SUMIFS(Table2[NewPointsHome],Table2[GameDate], "&lt;=" &amp; $A69, Table2[HomeTeam], Q$1)</f>
        <v>23</v>
      </c>
      <c r="R69" s="145">
        <f>SUMIFS(Table2[NewPointsAway],Table2[GameDate], "&lt;=" &amp; $A69, Table2[AwayTeam], R$1)+SUMIFS(Table2[NewPointsHome],Table2[GameDate], "&lt;=" &amp; $A69, Table2[HomeTeam], R$1)</f>
        <v>14</v>
      </c>
      <c r="S69" s="145">
        <f>SUMIFS(Table2[NewPointsAway],Table2[GameDate], "&lt;=" &amp; $A69, Table2[AwayTeam], S$1)+SUMIFS(Table2[NewPointsHome],Table2[GameDate], "&lt;=" &amp; $A69, Table2[HomeTeam], S$1)</f>
        <v>18</v>
      </c>
      <c r="T69" s="145">
        <f>SUMIFS(Table2[NewPointsAway],Table2[GameDate], "&lt;=" &amp; $A69, Table2[AwayTeam], T$1)+SUMIFS(Table2[NewPointsHome],Table2[GameDate], "&lt;=" &amp; $A69, Table2[HomeTeam], T$1)</f>
        <v>20</v>
      </c>
      <c r="U69" s="145">
        <f>SUMIFS(Table2[NewPointsAway],Table2[GameDate], "&lt;=" &amp; $A69, Table2[AwayTeam], U$1)+SUMIFS(Table2[NewPointsHome],Table2[GameDate], "&lt;=" &amp; $A69, Table2[HomeTeam], U$1)</f>
        <v>20</v>
      </c>
      <c r="V69" s="145">
        <f>SUMIFS(Table2[NewPointsAway],Table2[GameDate], "&lt;=" &amp; $A69, Table2[AwayTeam], V$1)+SUMIFS(Table2[NewPointsHome],Table2[GameDate], "&lt;=" &amp; $A69, Table2[HomeTeam], V$1)</f>
        <v>19</v>
      </c>
      <c r="W69" s="145">
        <f>SUMIFS(Table2[NewPointsAway],Table2[GameDate], "&lt;=" &amp; $A69, Table2[AwayTeam], W$1)+SUMIFS(Table2[NewPointsHome],Table2[GameDate], "&lt;=" &amp; $A69, Table2[HomeTeam], W$1)</f>
        <v>21</v>
      </c>
      <c r="X69" s="145">
        <f>SUMIFS(Table2[NewPointsAway],Table2[GameDate], "&lt;=" &amp; $A69, Table2[AwayTeam], X$1)+SUMIFS(Table2[NewPointsHome],Table2[GameDate], "&lt;=" &amp; $A69, Table2[HomeTeam], X$1)</f>
        <v>19</v>
      </c>
      <c r="Y69" s="145">
        <f>SUMIFS(Table2[NewPointsAway],Table2[GameDate], "&lt;=" &amp; $A69, Table2[AwayTeam], Y$1)+SUMIFS(Table2[NewPointsHome],Table2[GameDate], "&lt;=" &amp; $A69, Table2[HomeTeam], Y$1)</f>
        <v>19</v>
      </c>
      <c r="Z69" s="145">
        <f>SUMIFS(Table2[NewPointsAway],Table2[GameDate], "&lt;=" &amp; $A69, Table2[AwayTeam], Z$1)+SUMIFS(Table2[NewPointsHome],Table2[GameDate], "&lt;=" &amp; $A69, Table2[HomeTeam], Z$1)</f>
        <v>15</v>
      </c>
      <c r="AA69" s="145">
        <f>SUMIFS(Table2[NewPointsAway],Table2[GameDate], "&lt;=" &amp; $A69, Table2[AwayTeam], AA$1)+SUMIFS(Table2[NewPointsHome],Table2[GameDate], "&lt;=" &amp; $A69, Table2[HomeTeam], AA$1)</f>
        <v>18</v>
      </c>
      <c r="AB69" s="145">
        <f>SUMIFS(Table2[NewPointsAway],Table2[GameDate], "&lt;=" &amp; $A69, Table2[AwayTeam], AB$1)+SUMIFS(Table2[NewPointsHome],Table2[GameDate], "&lt;=" &amp; $A69, Table2[HomeTeam], AB$1)</f>
        <v>17</v>
      </c>
      <c r="AC69" s="145">
        <f>SUMIFS(Table2[NewPointsAway],Table2[GameDate], "&lt;=" &amp; $A69, Table2[AwayTeam], AC$1)+SUMIFS(Table2[NewPointsHome],Table2[GameDate], "&lt;=" &amp; $A69, Table2[HomeTeam], AC$1)</f>
        <v>18</v>
      </c>
      <c r="AD69" s="145">
        <f>SUMIFS(Table2[NewPointsAway],Table2[GameDate], "&lt;=" &amp; $A69, Table2[AwayTeam], AD$1)+SUMIFS(Table2[NewPointsHome],Table2[GameDate], "&lt;=" &amp; $A69, Table2[HomeTeam], AD$1)</f>
        <v>17</v>
      </c>
      <c r="AE69" s="145">
        <f>SUMIFS(Table2[NewPointsAway],Table2[GameDate], "&lt;=" &amp; $A69, Table2[AwayTeam], AE$1)+SUMIFS(Table2[NewPointsHome],Table2[GameDate], "&lt;=" &amp; $A69, Table2[HomeTeam], AE$1)</f>
        <v>18</v>
      </c>
      <c r="AF69" s="145">
        <f>SUMIFS(Table2[NewPointsAway],Table2[GameDate], "&lt;=" &amp; $A69, Table2[AwayTeam], AF$1)+SUMIFS(Table2[NewPointsHome],Table2[GameDate], "&lt;=" &amp; $A69, Table2[HomeTeam], AF$1)</f>
        <v>20</v>
      </c>
      <c r="AG69" s="145">
        <f>SUMIFS(Table2[NewPointsAway],Table2[GameDate], "&lt;=" &amp; $A69, Table2[AwayTeam], AG$1)+SUMIFS(Table2[NewPointsHome],Table2[GameDate], "&lt;=" &amp; $A69, Table2[HomeTeam], AG$1)</f>
        <v>17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23</v>
      </c>
      <c r="C70" s="145">
        <f>SUMIFS(Table2[NewPointsAway],Table2[GameDate], "&lt;=" &amp; $A70, Table2[AwayTeam], C$1)+SUMIFS(Table2[NewPointsHome],Table2[GameDate], "&lt;=" &amp; $A70, Table2[HomeTeam], C$1)</f>
        <v>22</v>
      </c>
      <c r="D70" s="145">
        <f>SUMIFS(Table2[NewPointsAway],Table2[GameDate], "&lt;=" &amp; $A70, Table2[AwayTeam], D$1)+SUMIFS(Table2[NewPointsHome],Table2[GameDate], "&lt;=" &amp; $A70, Table2[HomeTeam], D$1)</f>
        <v>14</v>
      </c>
      <c r="E70" s="145">
        <f>SUMIFS(Table2[NewPointsAway],Table2[GameDate], "&lt;=" &amp; $A70, Table2[AwayTeam], E$1)+SUMIFS(Table2[NewPointsHome],Table2[GameDate], "&lt;=" &amp; $A70, Table2[HomeTeam], E$1)</f>
        <v>22</v>
      </c>
      <c r="F70" s="145">
        <f>SUMIFS(Table2[NewPointsAway],Table2[GameDate], "&lt;=" &amp; $A70, Table2[AwayTeam], F$1)+SUMIFS(Table2[NewPointsHome],Table2[GameDate], "&lt;=" &amp; $A70, Table2[HomeTeam], F$1)</f>
        <v>17</v>
      </c>
      <c r="G70" s="145">
        <f>SUMIFS(Table2[NewPointsAway],Table2[GameDate], "&lt;=" &amp; $A70, Table2[AwayTeam], G$1)+SUMIFS(Table2[NewPointsHome],Table2[GameDate], "&lt;=" &amp; $A70, Table2[HomeTeam], G$1)</f>
        <v>10</v>
      </c>
      <c r="H70" s="145">
        <f>SUMIFS(Table2[NewPointsAway],Table2[GameDate], "&lt;=" &amp; $A70, Table2[AwayTeam], H$1)+SUMIFS(Table2[NewPointsHome],Table2[GameDate], "&lt;=" &amp; $A70, Table2[HomeTeam], H$1)</f>
        <v>19</v>
      </c>
      <c r="I70" s="145">
        <f>SUMIFS(Table2[NewPointsAway],Table2[GameDate], "&lt;=" &amp; $A70, Table2[AwayTeam], I$1)+SUMIFS(Table2[NewPointsHome],Table2[GameDate], "&lt;=" &amp; $A70, Table2[HomeTeam], I$1)</f>
        <v>27</v>
      </c>
      <c r="J70" s="145">
        <f>SUMIFS(Table2[NewPointsAway],Table2[GameDate], "&lt;=" &amp; $A70, Table2[AwayTeam], J$1)+SUMIFS(Table2[NewPointsHome],Table2[GameDate], "&lt;=" &amp; $A70, Table2[HomeTeam], J$1)</f>
        <v>23</v>
      </c>
      <c r="K70" s="145">
        <f>SUMIFS(Table2[NewPointsAway],Table2[GameDate], "&lt;=" &amp; $A70, Table2[AwayTeam], K$1)+SUMIFS(Table2[NewPointsHome],Table2[GameDate], "&lt;=" &amp; $A70, Table2[HomeTeam], K$1)</f>
        <v>18</v>
      </c>
      <c r="L70" s="145">
        <f>SUMIFS(Table2[NewPointsAway],Table2[GameDate], "&lt;=" &amp; $A70, Table2[AwayTeam], L$1)+SUMIFS(Table2[NewPointsHome],Table2[GameDate], "&lt;=" &amp; $A70, Table2[HomeTeam], L$1)</f>
        <v>20</v>
      </c>
      <c r="M70" s="145">
        <f>SUMIFS(Table2[NewPointsAway],Table2[GameDate], "&lt;=" &amp; $A70, Table2[AwayTeam], M$1)+SUMIFS(Table2[NewPointsHome],Table2[GameDate], "&lt;=" &amp; $A70, Table2[HomeTeam], M$1)</f>
        <v>17</v>
      </c>
      <c r="N70" s="145">
        <f>SUMIFS(Table2[NewPointsAway],Table2[GameDate], "&lt;=" &amp; $A70, Table2[AwayTeam], N$1)+SUMIFS(Table2[NewPointsHome],Table2[GameDate], "&lt;=" &amp; $A70, Table2[HomeTeam], N$1)</f>
        <v>20</v>
      </c>
      <c r="O70" s="145">
        <f>SUMIFS(Table2[NewPointsAway],Table2[GameDate], "&lt;=" &amp; $A70, Table2[AwayTeam], O$1)+SUMIFS(Table2[NewPointsHome],Table2[GameDate], "&lt;=" &amp; $A70, Table2[HomeTeam], O$1)</f>
        <v>18</v>
      </c>
      <c r="P70" s="145">
        <f>SUMIFS(Table2[NewPointsAway],Table2[GameDate], "&lt;=" &amp; $A70, Table2[AwayTeam], P$1)+SUMIFS(Table2[NewPointsHome],Table2[GameDate], "&lt;=" &amp; $A70, Table2[HomeTeam], P$1)</f>
        <v>22</v>
      </c>
      <c r="Q70" s="145">
        <f>SUMIFS(Table2[NewPointsAway],Table2[GameDate], "&lt;=" &amp; $A70, Table2[AwayTeam], Q$1)+SUMIFS(Table2[NewPointsHome],Table2[GameDate], "&lt;=" &amp; $A70, Table2[HomeTeam], Q$1)</f>
        <v>23</v>
      </c>
      <c r="R70" s="145">
        <f>SUMIFS(Table2[NewPointsAway],Table2[GameDate], "&lt;=" &amp; $A70, Table2[AwayTeam], R$1)+SUMIFS(Table2[NewPointsHome],Table2[GameDate], "&lt;=" &amp; $A70, Table2[HomeTeam], R$1)</f>
        <v>14</v>
      </c>
      <c r="S70" s="145">
        <f>SUMIFS(Table2[NewPointsAway],Table2[GameDate], "&lt;=" &amp; $A70, Table2[AwayTeam], S$1)+SUMIFS(Table2[NewPointsHome],Table2[GameDate], "&lt;=" &amp; $A70, Table2[HomeTeam], S$1)</f>
        <v>18</v>
      </c>
      <c r="T70" s="145">
        <f>SUMIFS(Table2[NewPointsAway],Table2[GameDate], "&lt;=" &amp; $A70, Table2[AwayTeam], T$1)+SUMIFS(Table2[NewPointsHome],Table2[GameDate], "&lt;=" &amp; $A70, Table2[HomeTeam], T$1)</f>
        <v>20</v>
      </c>
      <c r="U70" s="145">
        <f>SUMIFS(Table2[NewPointsAway],Table2[GameDate], "&lt;=" &amp; $A70, Table2[AwayTeam], U$1)+SUMIFS(Table2[NewPointsHome],Table2[GameDate], "&lt;=" &amp; $A70, Table2[HomeTeam], U$1)</f>
        <v>20</v>
      </c>
      <c r="V70" s="145">
        <f>SUMIFS(Table2[NewPointsAway],Table2[GameDate], "&lt;=" &amp; $A70, Table2[AwayTeam], V$1)+SUMIFS(Table2[NewPointsHome],Table2[GameDate], "&lt;=" &amp; $A70, Table2[HomeTeam], V$1)</f>
        <v>19</v>
      </c>
      <c r="W70" s="145">
        <f>SUMIFS(Table2[NewPointsAway],Table2[GameDate], "&lt;=" &amp; $A70, Table2[AwayTeam], W$1)+SUMIFS(Table2[NewPointsHome],Table2[GameDate], "&lt;=" &amp; $A70, Table2[HomeTeam], W$1)</f>
        <v>21</v>
      </c>
      <c r="X70" s="145">
        <f>SUMIFS(Table2[NewPointsAway],Table2[GameDate], "&lt;=" &amp; $A70, Table2[AwayTeam], X$1)+SUMIFS(Table2[NewPointsHome],Table2[GameDate], "&lt;=" &amp; $A70, Table2[HomeTeam], X$1)</f>
        <v>19</v>
      </c>
      <c r="Y70" s="145">
        <f>SUMIFS(Table2[NewPointsAway],Table2[GameDate], "&lt;=" &amp; $A70, Table2[AwayTeam], Y$1)+SUMIFS(Table2[NewPointsHome],Table2[GameDate], "&lt;=" &amp; $A70, Table2[HomeTeam], Y$1)</f>
        <v>19</v>
      </c>
      <c r="Z70" s="145">
        <f>SUMIFS(Table2[NewPointsAway],Table2[GameDate], "&lt;=" &amp; $A70, Table2[AwayTeam], Z$1)+SUMIFS(Table2[NewPointsHome],Table2[GameDate], "&lt;=" &amp; $A70, Table2[HomeTeam], Z$1)</f>
        <v>15</v>
      </c>
      <c r="AA70" s="145">
        <f>SUMIFS(Table2[NewPointsAway],Table2[GameDate], "&lt;=" &amp; $A70, Table2[AwayTeam], AA$1)+SUMIFS(Table2[NewPointsHome],Table2[GameDate], "&lt;=" &amp; $A70, Table2[HomeTeam], AA$1)</f>
        <v>18</v>
      </c>
      <c r="AB70" s="145">
        <f>SUMIFS(Table2[NewPointsAway],Table2[GameDate], "&lt;=" &amp; $A70, Table2[AwayTeam], AB$1)+SUMIFS(Table2[NewPointsHome],Table2[GameDate], "&lt;=" &amp; $A70, Table2[HomeTeam], AB$1)</f>
        <v>17</v>
      </c>
      <c r="AC70" s="145">
        <f>SUMIFS(Table2[NewPointsAway],Table2[GameDate], "&lt;=" &amp; $A70, Table2[AwayTeam], AC$1)+SUMIFS(Table2[NewPointsHome],Table2[GameDate], "&lt;=" &amp; $A70, Table2[HomeTeam], AC$1)</f>
        <v>18</v>
      </c>
      <c r="AD70" s="145">
        <f>SUMIFS(Table2[NewPointsAway],Table2[GameDate], "&lt;=" &amp; $A70, Table2[AwayTeam], AD$1)+SUMIFS(Table2[NewPointsHome],Table2[GameDate], "&lt;=" &amp; $A70, Table2[HomeTeam], AD$1)</f>
        <v>17</v>
      </c>
      <c r="AE70" s="145">
        <f>SUMIFS(Table2[NewPointsAway],Table2[GameDate], "&lt;=" &amp; $A70, Table2[AwayTeam], AE$1)+SUMIFS(Table2[NewPointsHome],Table2[GameDate], "&lt;=" &amp; $A70, Table2[HomeTeam], AE$1)</f>
        <v>18</v>
      </c>
      <c r="AF70" s="145">
        <f>SUMIFS(Table2[NewPointsAway],Table2[GameDate], "&lt;=" &amp; $A70, Table2[AwayTeam], AF$1)+SUMIFS(Table2[NewPointsHome],Table2[GameDate], "&lt;=" &amp; $A70, Table2[HomeTeam], AF$1)</f>
        <v>20</v>
      </c>
      <c r="AG70" s="145">
        <f>SUMIFS(Table2[NewPointsAway],Table2[GameDate], "&lt;=" &amp; $A70, Table2[AwayTeam], AG$1)+SUMIFS(Table2[NewPointsHome],Table2[GameDate], "&lt;=" &amp; $A70, Table2[HomeTeam], AG$1)</f>
        <v>17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23</v>
      </c>
      <c r="C71" s="145">
        <f>SUMIFS(Table2[NewPointsAway],Table2[GameDate], "&lt;=" &amp; $A71, Table2[AwayTeam], C$1)+SUMIFS(Table2[NewPointsHome],Table2[GameDate], "&lt;=" &amp; $A71, Table2[HomeTeam], C$1)</f>
        <v>22</v>
      </c>
      <c r="D71" s="145">
        <f>SUMIFS(Table2[NewPointsAway],Table2[GameDate], "&lt;=" &amp; $A71, Table2[AwayTeam], D$1)+SUMIFS(Table2[NewPointsHome],Table2[GameDate], "&lt;=" &amp; $A71, Table2[HomeTeam], D$1)</f>
        <v>14</v>
      </c>
      <c r="E71" s="145">
        <f>SUMIFS(Table2[NewPointsAway],Table2[GameDate], "&lt;=" &amp; $A71, Table2[AwayTeam], E$1)+SUMIFS(Table2[NewPointsHome],Table2[GameDate], "&lt;=" &amp; $A71, Table2[HomeTeam], E$1)</f>
        <v>22</v>
      </c>
      <c r="F71" s="145">
        <f>SUMIFS(Table2[NewPointsAway],Table2[GameDate], "&lt;=" &amp; $A71, Table2[AwayTeam], F$1)+SUMIFS(Table2[NewPointsHome],Table2[GameDate], "&lt;=" &amp; $A71, Table2[HomeTeam], F$1)</f>
        <v>17</v>
      </c>
      <c r="G71" s="145">
        <f>SUMIFS(Table2[NewPointsAway],Table2[GameDate], "&lt;=" &amp; $A71, Table2[AwayTeam], G$1)+SUMIFS(Table2[NewPointsHome],Table2[GameDate], "&lt;=" &amp; $A71, Table2[HomeTeam], G$1)</f>
        <v>10</v>
      </c>
      <c r="H71" s="145">
        <f>SUMIFS(Table2[NewPointsAway],Table2[GameDate], "&lt;=" &amp; $A71, Table2[AwayTeam], H$1)+SUMIFS(Table2[NewPointsHome],Table2[GameDate], "&lt;=" &amp; $A71, Table2[HomeTeam], H$1)</f>
        <v>19</v>
      </c>
      <c r="I71" s="145">
        <f>SUMIFS(Table2[NewPointsAway],Table2[GameDate], "&lt;=" &amp; $A71, Table2[AwayTeam], I$1)+SUMIFS(Table2[NewPointsHome],Table2[GameDate], "&lt;=" &amp; $A71, Table2[HomeTeam], I$1)</f>
        <v>27</v>
      </c>
      <c r="J71" s="145">
        <f>SUMIFS(Table2[NewPointsAway],Table2[GameDate], "&lt;=" &amp; $A71, Table2[AwayTeam], J$1)+SUMIFS(Table2[NewPointsHome],Table2[GameDate], "&lt;=" &amp; $A71, Table2[HomeTeam], J$1)</f>
        <v>23</v>
      </c>
      <c r="K71" s="145">
        <f>SUMIFS(Table2[NewPointsAway],Table2[GameDate], "&lt;=" &amp; $A71, Table2[AwayTeam], K$1)+SUMIFS(Table2[NewPointsHome],Table2[GameDate], "&lt;=" &amp; $A71, Table2[HomeTeam], K$1)</f>
        <v>18</v>
      </c>
      <c r="L71" s="145">
        <f>SUMIFS(Table2[NewPointsAway],Table2[GameDate], "&lt;=" &amp; $A71, Table2[AwayTeam], L$1)+SUMIFS(Table2[NewPointsHome],Table2[GameDate], "&lt;=" &amp; $A71, Table2[HomeTeam], L$1)</f>
        <v>20</v>
      </c>
      <c r="M71" s="145">
        <f>SUMIFS(Table2[NewPointsAway],Table2[GameDate], "&lt;=" &amp; $A71, Table2[AwayTeam], M$1)+SUMIFS(Table2[NewPointsHome],Table2[GameDate], "&lt;=" &amp; $A71, Table2[HomeTeam], M$1)</f>
        <v>17</v>
      </c>
      <c r="N71" s="145">
        <f>SUMIFS(Table2[NewPointsAway],Table2[GameDate], "&lt;=" &amp; $A71, Table2[AwayTeam], N$1)+SUMIFS(Table2[NewPointsHome],Table2[GameDate], "&lt;=" &amp; $A71, Table2[HomeTeam], N$1)</f>
        <v>20</v>
      </c>
      <c r="O71" s="145">
        <f>SUMIFS(Table2[NewPointsAway],Table2[GameDate], "&lt;=" &amp; $A71, Table2[AwayTeam], O$1)+SUMIFS(Table2[NewPointsHome],Table2[GameDate], "&lt;=" &amp; $A71, Table2[HomeTeam], O$1)</f>
        <v>18</v>
      </c>
      <c r="P71" s="145">
        <f>SUMIFS(Table2[NewPointsAway],Table2[GameDate], "&lt;=" &amp; $A71, Table2[AwayTeam], P$1)+SUMIFS(Table2[NewPointsHome],Table2[GameDate], "&lt;=" &amp; $A71, Table2[HomeTeam], P$1)</f>
        <v>22</v>
      </c>
      <c r="Q71" s="145">
        <f>SUMIFS(Table2[NewPointsAway],Table2[GameDate], "&lt;=" &amp; $A71, Table2[AwayTeam], Q$1)+SUMIFS(Table2[NewPointsHome],Table2[GameDate], "&lt;=" &amp; $A71, Table2[HomeTeam], Q$1)</f>
        <v>23</v>
      </c>
      <c r="R71" s="145">
        <f>SUMIFS(Table2[NewPointsAway],Table2[GameDate], "&lt;=" &amp; $A71, Table2[AwayTeam], R$1)+SUMIFS(Table2[NewPointsHome],Table2[GameDate], "&lt;=" &amp; $A71, Table2[HomeTeam], R$1)</f>
        <v>14</v>
      </c>
      <c r="S71" s="145">
        <f>SUMIFS(Table2[NewPointsAway],Table2[GameDate], "&lt;=" &amp; $A71, Table2[AwayTeam], S$1)+SUMIFS(Table2[NewPointsHome],Table2[GameDate], "&lt;=" &amp; $A71, Table2[HomeTeam], S$1)</f>
        <v>18</v>
      </c>
      <c r="T71" s="145">
        <f>SUMIFS(Table2[NewPointsAway],Table2[GameDate], "&lt;=" &amp; $A71, Table2[AwayTeam], T$1)+SUMIFS(Table2[NewPointsHome],Table2[GameDate], "&lt;=" &amp; $A71, Table2[HomeTeam], T$1)</f>
        <v>20</v>
      </c>
      <c r="U71" s="145">
        <f>SUMIFS(Table2[NewPointsAway],Table2[GameDate], "&lt;=" &amp; $A71, Table2[AwayTeam], U$1)+SUMIFS(Table2[NewPointsHome],Table2[GameDate], "&lt;=" &amp; $A71, Table2[HomeTeam], U$1)</f>
        <v>20</v>
      </c>
      <c r="V71" s="145">
        <f>SUMIFS(Table2[NewPointsAway],Table2[GameDate], "&lt;=" &amp; $A71, Table2[AwayTeam], V$1)+SUMIFS(Table2[NewPointsHome],Table2[GameDate], "&lt;=" &amp; $A71, Table2[HomeTeam], V$1)</f>
        <v>19</v>
      </c>
      <c r="W71" s="145">
        <f>SUMIFS(Table2[NewPointsAway],Table2[GameDate], "&lt;=" &amp; $A71, Table2[AwayTeam], W$1)+SUMIFS(Table2[NewPointsHome],Table2[GameDate], "&lt;=" &amp; $A71, Table2[HomeTeam], W$1)</f>
        <v>21</v>
      </c>
      <c r="X71" s="145">
        <f>SUMIFS(Table2[NewPointsAway],Table2[GameDate], "&lt;=" &amp; $A71, Table2[AwayTeam], X$1)+SUMIFS(Table2[NewPointsHome],Table2[GameDate], "&lt;=" &amp; $A71, Table2[HomeTeam], X$1)</f>
        <v>19</v>
      </c>
      <c r="Y71" s="145">
        <f>SUMIFS(Table2[NewPointsAway],Table2[GameDate], "&lt;=" &amp; $A71, Table2[AwayTeam], Y$1)+SUMIFS(Table2[NewPointsHome],Table2[GameDate], "&lt;=" &amp; $A71, Table2[HomeTeam], Y$1)</f>
        <v>19</v>
      </c>
      <c r="Z71" s="145">
        <f>SUMIFS(Table2[NewPointsAway],Table2[GameDate], "&lt;=" &amp; $A71, Table2[AwayTeam], Z$1)+SUMIFS(Table2[NewPointsHome],Table2[GameDate], "&lt;=" &amp; $A71, Table2[HomeTeam], Z$1)</f>
        <v>15</v>
      </c>
      <c r="AA71" s="145">
        <f>SUMIFS(Table2[NewPointsAway],Table2[GameDate], "&lt;=" &amp; $A71, Table2[AwayTeam], AA$1)+SUMIFS(Table2[NewPointsHome],Table2[GameDate], "&lt;=" &amp; $A71, Table2[HomeTeam], AA$1)</f>
        <v>18</v>
      </c>
      <c r="AB71" s="145">
        <f>SUMIFS(Table2[NewPointsAway],Table2[GameDate], "&lt;=" &amp; $A71, Table2[AwayTeam], AB$1)+SUMIFS(Table2[NewPointsHome],Table2[GameDate], "&lt;=" &amp; $A71, Table2[HomeTeam], AB$1)</f>
        <v>17</v>
      </c>
      <c r="AC71" s="145">
        <f>SUMIFS(Table2[NewPointsAway],Table2[GameDate], "&lt;=" &amp; $A71, Table2[AwayTeam], AC$1)+SUMIFS(Table2[NewPointsHome],Table2[GameDate], "&lt;=" &amp; $A71, Table2[HomeTeam], AC$1)</f>
        <v>18</v>
      </c>
      <c r="AD71" s="145">
        <f>SUMIFS(Table2[NewPointsAway],Table2[GameDate], "&lt;=" &amp; $A71, Table2[AwayTeam], AD$1)+SUMIFS(Table2[NewPointsHome],Table2[GameDate], "&lt;=" &amp; $A71, Table2[HomeTeam], AD$1)</f>
        <v>17</v>
      </c>
      <c r="AE71" s="145">
        <f>SUMIFS(Table2[NewPointsAway],Table2[GameDate], "&lt;=" &amp; $A71, Table2[AwayTeam], AE$1)+SUMIFS(Table2[NewPointsHome],Table2[GameDate], "&lt;=" &amp; $A71, Table2[HomeTeam], AE$1)</f>
        <v>18</v>
      </c>
      <c r="AF71" s="145">
        <f>SUMIFS(Table2[NewPointsAway],Table2[GameDate], "&lt;=" &amp; $A71, Table2[AwayTeam], AF$1)+SUMIFS(Table2[NewPointsHome],Table2[GameDate], "&lt;=" &amp; $A71, Table2[HomeTeam], AF$1)</f>
        <v>20</v>
      </c>
      <c r="AG71" s="145">
        <f>SUMIFS(Table2[NewPointsAway],Table2[GameDate], "&lt;=" &amp; $A71, Table2[AwayTeam], AG$1)+SUMIFS(Table2[NewPointsHome],Table2[GameDate], "&lt;=" &amp; $A71, Table2[HomeTeam], AG$1)</f>
        <v>17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23</v>
      </c>
      <c r="C72" s="145">
        <f>SUMIFS(Table2[NewPointsAway],Table2[GameDate], "&lt;=" &amp; $A72, Table2[AwayTeam], C$1)+SUMIFS(Table2[NewPointsHome],Table2[GameDate], "&lt;=" &amp; $A72, Table2[HomeTeam], C$1)</f>
        <v>22</v>
      </c>
      <c r="D72" s="145">
        <f>SUMIFS(Table2[NewPointsAway],Table2[GameDate], "&lt;=" &amp; $A72, Table2[AwayTeam], D$1)+SUMIFS(Table2[NewPointsHome],Table2[GameDate], "&lt;=" &amp; $A72, Table2[HomeTeam], D$1)</f>
        <v>14</v>
      </c>
      <c r="E72" s="145">
        <f>SUMIFS(Table2[NewPointsAway],Table2[GameDate], "&lt;=" &amp; $A72, Table2[AwayTeam], E$1)+SUMIFS(Table2[NewPointsHome],Table2[GameDate], "&lt;=" &amp; $A72, Table2[HomeTeam], E$1)</f>
        <v>22</v>
      </c>
      <c r="F72" s="145">
        <f>SUMIFS(Table2[NewPointsAway],Table2[GameDate], "&lt;=" &amp; $A72, Table2[AwayTeam], F$1)+SUMIFS(Table2[NewPointsHome],Table2[GameDate], "&lt;=" &amp; $A72, Table2[HomeTeam], F$1)</f>
        <v>17</v>
      </c>
      <c r="G72" s="145">
        <f>SUMIFS(Table2[NewPointsAway],Table2[GameDate], "&lt;=" &amp; $A72, Table2[AwayTeam], G$1)+SUMIFS(Table2[NewPointsHome],Table2[GameDate], "&lt;=" &amp; $A72, Table2[HomeTeam], G$1)</f>
        <v>10</v>
      </c>
      <c r="H72" s="145">
        <f>SUMIFS(Table2[NewPointsAway],Table2[GameDate], "&lt;=" &amp; $A72, Table2[AwayTeam], H$1)+SUMIFS(Table2[NewPointsHome],Table2[GameDate], "&lt;=" &amp; $A72, Table2[HomeTeam], H$1)</f>
        <v>19</v>
      </c>
      <c r="I72" s="145">
        <f>SUMIFS(Table2[NewPointsAway],Table2[GameDate], "&lt;=" &amp; $A72, Table2[AwayTeam], I$1)+SUMIFS(Table2[NewPointsHome],Table2[GameDate], "&lt;=" &amp; $A72, Table2[HomeTeam], I$1)</f>
        <v>27</v>
      </c>
      <c r="J72" s="145">
        <f>SUMIFS(Table2[NewPointsAway],Table2[GameDate], "&lt;=" &amp; $A72, Table2[AwayTeam], J$1)+SUMIFS(Table2[NewPointsHome],Table2[GameDate], "&lt;=" &amp; $A72, Table2[HomeTeam], J$1)</f>
        <v>23</v>
      </c>
      <c r="K72" s="145">
        <f>SUMIFS(Table2[NewPointsAway],Table2[GameDate], "&lt;=" &amp; $A72, Table2[AwayTeam], K$1)+SUMIFS(Table2[NewPointsHome],Table2[GameDate], "&lt;=" &amp; $A72, Table2[HomeTeam], K$1)</f>
        <v>18</v>
      </c>
      <c r="L72" s="145">
        <f>SUMIFS(Table2[NewPointsAway],Table2[GameDate], "&lt;=" &amp; $A72, Table2[AwayTeam], L$1)+SUMIFS(Table2[NewPointsHome],Table2[GameDate], "&lt;=" &amp; $A72, Table2[HomeTeam], L$1)</f>
        <v>20</v>
      </c>
      <c r="M72" s="145">
        <f>SUMIFS(Table2[NewPointsAway],Table2[GameDate], "&lt;=" &amp; $A72, Table2[AwayTeam], M$1)+SUMIFS(Table2[NewPointsHome],Table2[GameDate], "&lt;=" &amp; $A72, Table2[HomeTeam], M$1)</f>
        <v>17</v>
      </c>
      <c r="N72" s="145">
        <f>SUMIFS(Table2[NewPointsAway],Table2[GameDate], "&lt;=" &amp; $A72, Table2[AwayTeam], N$1)+SUMIFS(Table2[NewPointsHome],Table2[GameDate], "&lt;=" &amp; $A72, Table2[HomeTeam], N$1)</f>
        <v>20</v>
      </c>
      <c r="O72" s="145">
        <f>SUMIFS(Table2[NewPointsAway],Table2[GameDate], "&lt;=" &amp; $A72, Table2[AwayTeam], O$1)+SUMIFS(Table2[NewPointsHome],Table2[GameDate], "&lt;=" &amp; $A72, Table2[HomeTeam], O$1)</f>
        <v>18</v>
      </c>
      <c r="P72" s="145">
        <f>SUMIFS(Table2[NewPointsAway],Table2[GameDate], "&lt;=" &amp; $A72, Table2[AwayTeam], P$1)+SUMIFS(Table2[NewPointsHome],Table2[GameDate], "&lt;=" &amp; $A72, Table2[HomeTeam], P$1)</f>
        <v>22</v>
      </c>
      <c r="Q72" s="145">
        <f>SUMIFS(Table2[NewPointsAway],Table2[GameDate], "&lt;=" &amp; $A72, Table2[AwayTeam], Q$1)+SUMIFS(Table2[NewPointsHome],Table2[GameDate], "&lt;=" &amp; $A72, Table2[HomeTeam], Q$1)</f>
        <v>23</v>
      </c>
      <c r="R72" s="145">
        <f>SUMIFS(Table2[NewPointsAway],Table2[GameDate], "&lt;=" &amp; $A72, Table2[AwayTeam], R$1)+SUMIFS(Table2[NewPointsHome],Table2[GameDate], "&lt;=" &amp; $A72, Table2[HomeTeam], R$1)</f>
        <v>14</v>
      </c>
      <c r="S72" s="145">
        <f>SUMIFS(Table2[NewPointsAway],Table2[GameDate], "&lt;=" &amp; $A72, Table2[AwayTeam], S$1)+SUMIFS(Table2[NewPointsHome],Table2[GameDate], "&lt;=" &amp; $A72, Table2[HomeTeam], S$1)</f>
        <v>18</v>
      </c>
      <c r="T72" s="145">
        <f>SUMIFS(Table2[NewPointsAway],Table2[GameDate], "&lt;=" &amp; $A72, Table2[AwayTeam], T$1)+SUMIFS(Table2[NewPointsHome],Table2[GameDate], "&lt;=" &amp; $A72, Table2[HomeTeam], T$1)</f>
        <v>20</v>
      </c>
      <c r="U72" s="145">
        <f>SUMIFS(Table2[NewPointsAway],Table2[GameDate], "&lt;=" &amp; $A72, Table2[AwayTeam], U$1)+SUMIFS(Table2[NewPointsHome],Table2[GameDate], "&lt;=" &amp; $A72, Table2[HomeTeam], U$1)</f>
        <v>20</v>
      </c>
      <c r="V72" s="145">
        <f>SUMIFS(Table2[NewPointsAway],Table2[GameDate], "&lt;=" &amp; $A72, Table2[AwayTeam], V$1)+SUMIFS(Table2[NewPointsHome],Table2[GameDate], "&lt;=" &amp; $A72, Table2[HomeTeam], V$1)</f>
        <v>19</v>
      </c>
      <c r="W72" s="145">
        <f>SUMIFS(Table2[NewPointsAway],Table2[GameDate], "&lt;=" &amp; $A72, Table2[AwayTeam], W$1)+SUMIFS(Table2[NewPointsHome],Table2[GameDate], "&lt;=" &amp; $A72, Table2[HomeTeam], W$1)</f>
        <v>21</v>
      </c>
      <c r="X72" s="145">
        <f>SUMIFS(Table2[NewPointsAway],Table2[GameDate], "&lt;=" &amp; $A72, Table2[AwayTeam], X$1)+SUMIFS(Table2[NewPointsHome],Table2[GameDate], "&lt;=" &amp; $A72, Table2[HomeTeam], X$1)</f>
        <v>19</v>
      </c>
      <c r="Y72" s="145">
        <f>SUMIFS(Table2[NewPointsAway],Table2[GameDate], "&lt;=" &amp; $A72, Table2[AwayTeam], Y$1)+SUMIFS(Table2[NewPointsHome],Table2[GameDate], "&lt;=" &amp; $A72, Table2[HomeTeam], Y$1)</f>
        <v>19</v>
      </c>
      <c r="Z72" s="145">
        <f>SUMIFS(Table2[NewPointsAway],Table2[GameDate], "&lt;=" &amp; $A72, Table2[AwayTeam], Z$1)+SUMIFS(Table2[NewPointsHome],Table2[GameDate], "&lt;=" &amp; $A72, Table2[HomeTeam], Z$1)</f>
        <v>15</v>
      </c>
      <c r="AA72" s="145">
        <f>SUMIFS(Table2[NewPointsAway],Table2[GameDate], "&lt;=" &amp; $A72, Table2[AwayTeam], AA$1)+SUMIFS(Table2[NewPointsHome],Table2[GameDate], "&lt;=" &amp; $A72, Table2[HomeTeam], AA$1)</f>
        <v>18</v>
      </c>
      <c r="AB72" s="145">
        <f>SUMIFS(Table2[NewPointsAway],Table2[GameDate], "&lt;=" &amp; $A72, Table2[AwayTeam], AB$1)+SUMIFS(Table2[NewPointsHome],Table2[GameDate], "&lt;=" &amp; $A72, Table2[HomeTeam], AB$1)</f>
        <v>17</v>
      </c>
      <c r="AC72" s="145">
        <f>SUMIFS(Table2[NewPointsAway],Table2[GameDate], "&lt;=" &amp; $A72, Table2[AwayTeam], AC$1)+SUMIFS(Table2[NewPointsHome],Table2[GameDate], "&lt;=" &amp; $A72, Table2[HomeTeam], AC$1)</f>
        <v>18</v>
      </c>
      <c r="AD72" s="145">
        <f>SUMIFS(Table2[NewPointsAway],Table2[GameDate], "&lt;=" &amp; $A72, Table2[AwayTeam], AD$1)+SUMIFS(Table2[NewPointsHome],Table2[GameDate], "&lt;=" &amp; $A72, Table2[HomeTeam], AD$1)</f>
        <v>17</v>
      </c>
      <c r="AE72" s="145">
        <f>SUMIFS(Table2[NewPointsAway],Table2[GameDate], "&lt;=" &amp; $A72, Table2[AwayTeam], AE$1)+SUMIFS(Table2[NewPointsHome],Table2[GameDate], "&lt;=" &amp; $A72, Table2[HomeTeam], AE$1)</f>
        <v>18</v>
      </c>
      <c r="AF72" s="145">
        <f>SUMIFS(Table2[NewPointsAway],Table2[GameDate], "&lt;=" &amp; $A72, Table2[AwayTeam], AF$1)+SUMIFS(Table2[NewPointsHome],Table2[GameDate], "&lt;=" &amp; $A72, Table2[HomeTeam], AF$1)</f>
        <v>20</v>
      </c>
      <c r="AG72" s="145">
        <f>SUMIFS(Table2[NewPointsAway],Table2[GameDate], "&lt;=" &amp; $A72, Table2[AwayTeam], AG$1)+SUMIFS(Table2[NewPointsHome],Table2[GameDate], "&lt;=" &amp; $A72, Table2[HomeTeam], AG$1)</f>
        <v>17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23</v>
      </c>
      <c r="C73" s="145">
        <f>SUMIFS(Table2[NewPointsAway],Table2[GameDate], "&lt;=" &amp; $A73, Table2[AwayTeam], C$1)+SUMIFS(Table2[NewPointsHome],Table2[GameDate], "&lt;=" &amp; $A73, Table2[HomeTeam], C$1)</f>
        <v>22</v>
      </c>
      <c r="D73" s="145">
        <f>SUMIFS(Table2[NewPointsAway],Table2[GameDate], "&lt;=" &amp; $A73, Table2[AwayTeam], D$1)+SUMIFS(Table2[NewPointsHome],Table2[GameDate], "&lt;=" &amp; $A73, Table2[HomeTeam], D$1)</f>
        <v>14</v>
      </c>
      <c r="E73" s="145">
        <f>SUMIFS(Table2[NewPointsAway],Table2[GameDate], "&lt;=" &amp; $A73, Table2[AwayTeam], E$1)+SUMIFS(Table2[NewPointsHome],Table2[GameDate], "&lt;=" &amp; $A73, Table2[HomeTeam], E$1)</f>
        <v>22</v>
      </c>
      <c r="F73" s="145">
        <f>SUMIFS(Table2[NewPointsAway],Table2[GameDate], "&lt;=" &amp; $A73, Table2[AwayTeam], F$1)+SUMIFS(Table2[NewPointsHome],Table2[GameDate], "&lt;=" &amp; $A73, Table2[HomeTeam], F$1)</f>
        <v>17</v>
      </c>
      <c r="G73" s="145">
        <f>SUMIFS(Table2[NewPointsAway],Table2[GameDate], "&lt;=" &amp; $A73, Table2[AwayTeam], G$1)+SUMIFS(Table2[NewPointsHome],Table2[GameDate], "&lt;=" &amp; $A73, Table2[HomeTeam], G$1)</f>
        <v>10</v>
      </c>
      <c r="H73" s="145">
        <f>SUMIFS(Table2[NewPointsAway],Table2[GameDate], "&lt;=" &amp; $A73, Table2[AwayTeam], H$1)+SUMIFS(Table2[NewPointsHome],Table2[GameDate], "&lt;=" &amp; $A73, Table2[HomeTeam], H$1)</f>
        <v>19</v>
      </c>
      <c r="I73" s="145">
        <f>SUMIFS(Table2[NewPointsAway],Table2[GameDate], "&lt;=" &amp; $A73, Table2[AwayTeam], I$1)+SUMIFS(Table2[NewPointsHome],Table2[GameDate], "&lt;=" &amp; $A73, Table2[HomeTeam], I$1)</f>
        <v>27</v>
      </c>
      <c r="J73" s="145">
        <f>SUMIFS(Table2[NewPointsAway],Table2[GameDate], "&lt;=" &amp; $A73, Table2[AwayTeam], J$1)+SUMIFS(Table2[NewPointsHome],Table2[GameDate], "&lt;=" &amp; $A73, Table2[HomeTeam], J$1)</f>
        <v>23</v>
      </c>
      <c r="K73" s="145">
        <f>SUMIFS(Table2[NewPointsAway],Table2[GameDate], "&lt;=" &amp; $A73, Table2[AwayTeam], K$1)+SUMIFS(Table2[NewPointsHome],Table2[GameDate], "&lt;=" &amp; $A73, Table2[HomeTeam], K$1)</f>
        <v>18</v>
      </c>
      <c r="L73" s="145">
        <f>SUMIFS(Table2[NewPointsAway],Table2[GameDate], "&lt;=" &amp; $A73, Table2[AwayTeam], L$1)+SUMIFS(Table2[NewPointsHome],Table2[GameDate], "&lt;=" &amp; $A73, Table2[HomeTeam], L$1)</f>
        <v>20</v>
      </c>
      <c r="M73" s="145">
        <f>SUMIFS(Table2[NewPointsAway],Table2[GameDate], "&lt;=" &amp; $A73, Table2[AwayTeam], M$1)+SUMIFS(Table2[NewPointsHome],Table2[GameDate], "&lt;=" &amp; $A73, Table2[HomeTeam], M$1)</f>
        <v>17</v>
      </c>
      <c r="N73" s="145">
        <f>SUMIFS(Table2[NewPointsAway],Table2[GameDate], "&lt;=" &amp; $A73, Table2[AwayTeam], N$1)+SUMIFS(Table2[NewPointsHome],Table2[GameDate], "&lt;=" &amp; $A73, Table2[HomeTeam], N$1)</f>
        <v>20</v>
      </c>
      <c r="O73" s="145">
        <f>SUMIFS(Table2[NewPointsAway],Table2[GameDate], "&lt;=" &amp; $A73, Table2[AwayTeam], O$1)+SUMIFS(Table2[NewPointsHome],Table2[GameDate], "&lt;=" &amp; $A73, Table2[HomeTeam], O$1)</f>
        <v>18</v>
      </c>
      <c r="P73" s="145">
        <f>SUMIFS(Table2[NewPointsAway],Table2[GameDate], "&lt;=" &amp; $A73, Table2[AwayTeam], P$1)+SUMIFS(Table2[NewPointsHome],Table2[GameDate], "&lt;=" &amp; $A73, Table2[HomeTeam], P$1)</f>
        <v>22</v>
      </c>
      <c r="Q73" s="145">
        <f>SUMIFS(Table2[NewPointsAway],Table2[GameDate], "&lt;=" &amp; $A73, Table2[AwayTeam], Q$1)+SUMIFS(Table2[NewPointsHome],Table2[GameDate], "&lt;=" &amp; $A73, Table2[HomeTeam], Q$1)</f>
        <v>23</v>
      </c>
      <c r="R73" s="145">
        <f>SUMIFS(Table2[NewPointsAway],Table2[GameDate], "&lt;=" &amp; $A73, Table2[AwayTeam], R$1)+SUMIFS(Table2[NewPointsHome],Table2[GameDate], "&lt;=" &amp; $A73, Table2[HomeTeam], R$1)</f>
        <v>14</v>
      </c>
      <c r="S73" s="145">
        <f>SUMIFS(Table2[NewPointsAway],Table2[GameDate], "&lt;=" &amp; $A73, Table2[AwayTeam], S$1)+SUMIFS(Table2[NewPointsHome],Table2[GameDate], "&lt;=" &amp; $A73, Table2[HomeTeam], S$1)</f>
        <v>18</v>
      </c>
      <c r="T73" s="145">
        <f>SUMIFS(Table2[NewPointsAway],Table2[GameDate], "&lt;=" &amp; $A73, Table2[AwayTeam], T$1)+SUMIFS(Table2[NewPointsHome],Table2[GameDate], "&lt;=" &amp; $A73, Table2[HomeTeam], T$1)</f>
        <v>20</v>
      </c>
      <c r="U73" s="145">
        <f>SUMIFS(Table2[NewPointsAway],Table2[GameDate], "&lt;=" &amp; $A73, Table2[AwayTeam], U$1)+SUMIFS(Table2[NewPointsHome],Table2[GameDate], "&lt;=" &amp; $A73, Table2[HomeTeam], U$1)</f>
        <v>20</v>
      </c>
      <c r="V73" s="145">
        <f>SUMIFS(Table2[NewPointsAway],Table2[GameDate], "&lt;=" &amp; $A73, Table2[AwayTeam], V$1)+SUMIFS(Table2[NewPointsHome],Table2[GameDate], "&lt;=" &amp; $A73, Table2[HomeTeam], V$1)</f>
        <v>19</v>
      </c>
      <c r="W73" s="145">
        <f>SUMIFS(Table2[NewPointsAway],Table2[GameDate], "&lt;=" &amp; $A73, Table2[AwayTeam], W$1)+SUMIFS(Table2[NewPointsHome],Table2[GameDate], "&lt;=" &amp; $A73, Table2[HomeTeam], W$1)</f>
        <v>21</v>
      </c>
      <c r="X73" s="145">
        <f>SUMIFS(Table2[NewPointsAway],Table2[GameDate], "&lt;=" &amp; $A73, Table2[AwayTeam], X$1)+SUMIFS(Table2[NewPointsHome],Table2[GameDate], "&lt;=" &amp; $A73, Table2[HomeTeam], X$1)</f>
        <v>19</v>
      </c>
      <c r="Y73" s="145">
        <f>SUMIFS(Table2[NewPointsAway],Table2[GameDate], "&lt;=" &amp; $A73, Table2[AwayTeam], Y$1)+SUMIFS(Table2[NewPointsHome],Table2[GameDate], "&lt;=" &amp; $A73, Table2[HomeTeam], Y$1)</f>
        <v>19</v>
      </c>
      <c r="Z73" s="145">
        <f>SUMIFS(Table2[NewPointsAway],Table2[GameDate], "&lt;=" &amp; $A73, Table2[AwayTeam], Z$1)+SUMIFS(Table2[NewPointsHome],Table2[GameDate], "&lt;=" &amp; $A73, Table2[HomeTeam], Z$1)</f>
        <v>15</v>
      </c>
      <c r="AA73" s="145">
        <f>SUMIFS(Table2[NewPointsAway],Table2[GameDate], "&lt;=" &amp; $A73, Table2[AwayTeam], AA$1)+SUMIFS(Table2[NewPointsHome],Table2[GameDate], "&lt;=" &amp; $A73, Table2[HomeTeam], AA$1)</f>
        <v>18</v>
      </c>
      <c r="AB73" s="145">
        <f>SUMIFS(Table2[NewPointsAway],Table2[GameDate], "&lt;=" &amp; $A73, Table2[AwayTeam], AB$1)+SUMIFS(Table2[NewPointsHome],Table2[GameDate], "&lt;=" &amp; $A73, Table2[HomeTeam], AB$1)</f>
        <v>17</v>
      </c>
      <c r="AC73" s="145">
        <f>SUMIFS(Table2[NewPointsAway],Table2[GameDate], "&lt;=" &amp; $A73, Table2[AwayTeam], AC$1)+SUMIFS(Table2[NewPointsHome],Table2[GameDate], "&lt;=" &amp; $A73, Table2[HomeTeam], AC$1)</f>
        <v>18</v>
      </c>
      <c r="AD73" s="145">
        <f>SUMIFS(Table2[NewPointsAway],Table2[GameDate], "&lt;=" &amp; $A73, Table2[AwayTeam], AD$1)+SUMIFS(Table2[NewPointsHome],Table2[GameDate], "&lt;=" &amp; $A73, Table2[HomeTeam], AD$1)</f>
        <v>17</v>
      </c>
      <c r="AE73" s="145">
        <f>SUMIFS(Table2[NewPointsAway],Table2[GameDate], "&lt;=" &amp; $A73, Table2[AwayTeam], AE$1)+SUMIFS(Table2[NewPointsHome],Table2[GameDate], "&lt;=" &amp; $A73, Table2[HomeTeam], AE$1)</f>
        <v>18</v>
      </c>
      <c r="AF73" s="145">
        <f>SUMIFS(Table2[NewPointsAway],Table2[GameDate], "&lt;=" &amp; $A73, Table2[AwayTeam], AF$1)+SUMIFS(Table2[NewPointsHome],Table2[GameDate], "&lt;=" &amp; $A73, Table2[HomeTeam], AF$1)</f>
        <v>20</v>
      </c>
      <c r="AG73" s="145">
        <f>SUMIFS(Table2[NewPointsAway],Table2[GameDate], "&lt;=" &amp; $A73, Table2[AwayTeam], AG$1)+SUMIFS(Table2[NewPointsHome],Table2[GameDate], "&lt;=" &amp; $A73, Table2[HomeTeam], AG$1)</f>
        <v>17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23</v>
      </c>
      <c r="C74" s="145">
        <f>SUMIFS(Table2[NewPointsAway],Table2[GameDate], "&lt;=" &amp; $A74, Table2[AwayTeam], C$1)+SUMIFS(Table2[NewPointsHome],Table2[GameDate], "&lt;=" &amp; $A74, Table2[HomeTeam], C$1)</f>
        <v>22</v>
      </c>
      <c r="D74" s="145">
        <f>SUMIFS(Table2[NewPointsAway],Table2[GameDate], "&lt;=" &amp; $A74, Table2[AwayTeam], D$1)+SUMIFS(Table2[NewPointsHome],Table2[GameDate], "&lt;=" &amp; $A74, Table2[HomeTeam], D$1)</f>
        <v>14</v>
      </c>
      <c r="E74" s="145">
        <f>SUMIFS(Table2[NewPointsAway],Table2[GameDate], "&lt;=" &amp; $A74, Table2[AwayTeam], E$1)+SUMIFS(Table2[NewPointsHome],Table2[GameDate], "&lt;=" &amp; $A74, Table2[HomeTeam], E$1)</f>
        <v>22</v>
      </c>
      <c r="F74" s="145">
        <f>SUMIFS(Table2[NewPointsAway],Table2[GameDate], "&lt;=" &amp; $A74, Table2[AwayTeam], F$1)+SUMIFS(Table2[NewPointsHome],Table2[GameDate], "&lt;=" &amp; $A74, Table2[HomeTeam], F$1)</f>
        <v>17</v>
      </c>
      <c r="G74" s="145">
        <f>SUMIFS(Table2[NewPointsAway],Table2[GameDate], "&lt;=" &amp; $A74, Table2[AwayTeam], G$1)+SUMIFS(Table2[NewPointsHome],Table2[GameDate], "&lt;=" &amp; $A74, Table2[HomeTeam], G$1)</f>
        <v>10</v>
      </c>
      <c r="H74" s="145">
        <f>SUMIFS(Table2[NewPointsAway],Table2[GameDate], "&lt;=" &amp; $A74, Table2[AwayTeam], H$1)+SUMIFS(Table2[NewPointsHome],Table2[GameDate], "&lt;=" &amp; $A74, Table2[HomeTeam], H$1)</f>
        <v>19</v>
      </c>
      <c r="I74" s="145">
        <f>SUMIFS(Table2[NewPointsAway],Table2[GameDate], "&lt;=" &amp; $A74, Table2[AwayTeam], I$1)+SUMIFS(Table2[NewPointsHome],Table2[GameDate], "&lt;=" &amp; $A74, Table2[HomeTeam], I$1)</f>
        <v>27</v>
      </c>
      <c r="J74" s="145">
        <f>SUMIFS(Table2[NewPointsAway],Table2[GameDate], "&lt;=" &amp; $A74, Table2[AwayTeam], J$1)+SUMIFS(Table2[NewPointsHome],Table2[GameDate], "&lt;=" &amp; $A74, Table2[HomeTeam], J$1)</f>
        <v>23</v>
      </c>
      <c r="K74" s="145">
        <f>SUMIFS(Table2[NewPointsAway],Table2[GameDate], "&lt;=" &amp; $A74, Table2[AwayTeam], K$1)+SUMIFS(Table2[NewPointsHome],Table2[GameDate], "&lt;=" &amp; $A74, Table2[HomeTeam], K$1)</f>
        <v>18</v>
      </c>
      <c r="L74" s="145">
        <f>SUMIFS(Table2[NewPointsAway],Table2[GameDate], "&lt;=" &amp; $A74, Table2[AwayTeam], L$1)+SUMIFS(Table2[NewPointsHome],Table2[GameDate], "&lt;=" &amp; $A74, Table2[HomeTeam], L$1)</f>
        <v>20</v>
      </c>
      <c r="M74" s="145">
        <f>SUMIFS(Table2[NewPointsAway],Table2[GameDate], "&lt;=" &amp; $A74, Table2[AwayTeam], M$1)+SUMIFS(Table2[NewPointsHome],Table2[GameDate], "&lt;=" &amp; $A74, Table2[HomeTeam], M$1)</f>
        <v>17</v>
      </c>
      <c r="N74" s="145">
        <f>SUMIFS(Table2[NewPointsAway],Table2[GameDate], "&lt;=" &amp; $A74, Table2[AwayTeam], N$1)+SUMIFS(Table2[NewPointsHome],Table2[GameDate], "&lt;=" &amp; $A74, Table2[HomeTeam], N$1)</f>
        <v>20</v>
      </c>
      <c r="O74" s="145">
        <f>SUMIFS(Table2[NewPointsAway],Table2[GameDate], "&lt;=" &amp; $A74, Table2[AwayTeam], O$1)+SUMIFS(Table2[NewPointsHome],Table2[GameDate], "&lt;=" &amp; $A74, Table2[HomeTeam], O$1)</f>
        <v>18</v>
      </c>
      <c r="P74" s="145">
        <f>SUMIFS(Table2[NewPointsAway],Table2[GameDate], "&lt;=" &amp; $A74, Table2[AwayTeam], P$1)+SUMIFS(Table2[NewPointsHome],Table2[GameDate], "&lt;=" &amp; $A74, Table2[HomeTeam], P$1)</f>
        <v>22</v>
      </c>
      <c r="Q74" s="145">
        <f>SUMIFS(Table2[NewPointsAway],Table2[GameDate], "&lt;=" &amp; $A74, Table2[AwayTeam], Q$1)+SUMIFS(Table2[NewPointsHome],Table2[GameDate], "&lt;=" &amp; $A74, Table2[HomeTeam], Q$1)</f>
        <v>23</v>
      </c>
      <c r="R74" s="145">
        <f>SUMIFS(Table2[NewPointsAway],Table2[GameDate], "&lt;=" &amp; $A74, Table2[AwayTeam], R$1)+SUMIFS(Table2[NewPointsHome],Table2[GameDate], "&lt;=" &amp; $A74, Table2[HomeTeam], R$1)</f>
        <v>14</v>
      </c>
      <c r="S74" s="145">
        <f>SUMIFS(Table2[NewPointsAway],Table2[GameDate], "&lt;=" &amp; $A74, Table2[AwayTeam], S$1)+SUMIFS(Table2[NewPointsHome],Table2[GameDate], "&lt;=" &amp; $A74, Table2[HomeTeam], S$1)</f>
        <v>18</v>
      </c>
      <c r="T74" s="145">
        <f>SUMIFS(Table2[NewPointsAway],Table2[GameDate], "&lt;=" &amp; $A74, Table2[AwayTeam], T$1)+SUMIFS(Table2[NewPointsHome],Table2[GameDate], "&lt;=" &amp; $A74, Table2[HomeTeam], T$1)</f>
        <v>20</v>
      </c>
      <c r="U74" s="145">
        <f>SUMIFS(Table2[NewPointsAway],Table2[GameDate], "&lt;=" &amp; $A74, Table2[AwayTeam], U$1)+SUMIFS(Table2[NewPointsHome],Table2[GameDate], "&lt;=" &amp; $A74, Table2[HomeTeam], U$1)</f>
        <v>20</v>
      </c>
      <c r="V74" s="145">
        <f>SUMIFS(Table2[NewPointsAway],Table2[GameDate], "&lt;=" &amp; $A74, Table2[AwayTeam], V$1)+SUMIFS(Table2[NewPointsHome],Table2[GameDate], "&lt;=" &amp; $A74, Table2[HomeTeam], V$1)</f>
        <v>19</v>
      </c>
      <c r="W74" s="145">
        <f>SUMIFS(Table2[NewPointsAway],Table2[GameDate], "&lt;=" &amp; $A74, Table2[AwayTeam], W$1)+SUMIFS(Table2[NewPointsHome],Table2[GameDate], "&lt;=" &amp; $A74, Table2[HomeTeam], W$1)</f>
        <v>21</v>
      </c>
      <c r="X74" s="145">
        <f>SUMIFS(Table2[NewPointsAway],Table2[GameDate], "&lt;=" &amp; $A74, Table2[AwayTeam], X$1)+SUMIFS(Table2[NewPointsHome],Table2[GameDate], "&lt;=" &amp; $A74, Table2[HomeTeam], X$1)</f>
        <v>19</v>
      </c>
      <c r="Y74" s="145">
        <f>SUMIFS(Table2[NewPointsAway],Table2[GameDate], "&lt;=" &amp; $A74, Table2[AwayTeam], Y$1)+SUMIFS(Table2[NewPointsHome],Table2[GameDate], "&lt;=" &amp; $A74, Table2[HomeTeam], Y$1)</f>
        <v>19</v>
      </c>
      <c r="Z74" s="145">
        <f>SUMIFS(Table2[NewPointsAway],Table2[GameDate], "&lt;=" &amp; $A74, Table2[AwayTeam], Z$1)+SUMIFS(Table2[NewPointsHome],Table2[GameDate], "&lt;=" &amp; $A74, Table2[HomeTeam], Z$1)</f>
        <v>15</v>
      </c>
      <c r="AA74" s="145">
        <f>SUMIFS(Table2[NewPointsAway],Table2[GameDate], "&lt;=" &amp; $A74, Table2[AwayTeam], AA$1)+SUMIFS(Table2[NewPointsHome],Table2[GameDate], "&lt;=" &amp; $A74, Table2[HomeTeam], AA$1)</f>
        <v>18</v>
      </c>
      <c r="AB74" s="145">
        <f>SUMIFS(Table2[NewPointsAway],Table2[GameDate], "&lt;=" &amp; $A74, Table2[AwayTeam], AB$1)+SUMIFS(Table2[NewPointsHome],Table2[GameDate], "&lt;=" &amp; $A74, Table2[HomeTeam], AB$1)</f>
        <v>17</v>
      </c>
      <c r="AC74" s="145">
        <f>SUMIFS(Table2[NewPointsAway],Table2[GameDate], "&lt;=" &amp; $A74, Table2[AwayTeam], AC$1)+SUMIFS(Table2[NewPointsHome],Table2[GameDate], "&lt;=" &amp; $A74, Table2[HomeTeam], AC$1)</f>
        <v>18</v>
      </c>
      <c r="AD74" s="145">
        <f>SUMIFS(Table2[NewPointsAway],Table2[GameDate], "&lt;=" &amp; $A74, Table2[AwayTeam], AD$1)+SUMIFS(Table2[NewPointsHome],Table2[GameDate], "&lt;=" &amp; $A74, Table2[HomeTeam], AD$1)</f>
        <v>17</v>
      </c>
      <c r="AE74" s="145">
        <f>SUMIFS(Table2[NewPointsAway],Table2[GameDate], "&lt;=" &amp; $A74, Table2[AwayTeam], AE$1)+SUMIFS(Table2[NewPointsHome],Table2[GameDate], "&lt;=" &amp; $A74, Table2[HomeTeam], AE$1)</f>
        <v>18</v>
      </c>
      <c r="AF74" s="145">
        <f>SUMIFS(Table2[NewPointsAway],Table2[GameDate], "&lt;=" &amp; $A74, Table2[AwayTeam], AF$1)+SUMIFS(Table2[NewPointsHome],Table2[GameDate], "&lt;=" &amp; $A74, Table2[HomeTeam], AF$1)</f>
        <v>20</v>
      </c>
      <c r="AG74" s="145">
        <f>SUMIFS(Table2[NewPointsAway],Table2[GameDate], "&lt;=" &amp; $A74, Table2[AwayTeam], AG$1)+SUMIFS(Table2[NewPointsHome],Table2[GameDate], "&lt;=" &amp; $A74, Table2[HomeTeam], AG$1)</f>
        <v>17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23</v>
      </c>
      <c r="C75" s="145">
        <f>SUMIFS(Table2[NewPointsAway],Table2[GameDate], "&lt;=" &amp; $A75, Table2[AwayTeam], C$1)+SUMIFS(Table2[NewPointsHome],Table2[GameDate], "&lt;=" &amp; $A75, Table2[HomeTeam], C$1)</f>
        <v>22</v>
      </c>
      <c r="D75" s="145">
        <f>SUMIFS(Table2[NewPointsAway],Table2[GameDate], "&lt;=" &amp; $A75, Table2[AwayTeam], D$1)+SUMIFS(Table2[NewPointsHome],Table2[GameDate], "&lt;=" &amp; $A75, Table2[HomeTeam], D$1)</f>
        <v>14</v>
      </c>
      <c r="E75" s="145">
        <f>SUMIFS(Table2[NewPointsAway],Table2[GameDate], "&lt;=" &amp; $A75, Table2[AwayTeam], E$1)+SUMIFS(Table2[NewPointsHome],Table2[GameDate], "&lt;=" &amp; $A75, Table2[HomeTeam], E$1)</f>
        <v>22</v>
      </c>
      <c r="F75" s="145">
        <f>SUMIFS(Table2[NewPointsAway],Table2[GameDate], "&lt;=" &amp; $A75, Table2[AwayTeam], F$1)+SUMIFS(Table2[NewPointsHome],Table2[GameDate], "&lt;=" &amp; $A75, Table2[HomeTeam], F$1)</f>
        <v>17</v>
      </c>
      <c r="G75" s="145">
        <f>SUMIFS(Table2[NewPointsAway],Table2[GameDate], "&lt;=" &amp; $A75, Table2[AwayTeam], G$1)+SUMIFS(Table2[NewPointsHome],Table2[GameDate], "&lt;=" &amp; $A75, Table2[HomeTeam], G$1)</f>
        <v>10</v>
      </c>
      <c r="H75" s="145">
        <f>SUMIFS(Table2[NewPointsAway],Table2[GameDate], "&lt;=" &amp; $A75, Table2[AwayTeam], H$1)+SUMIFS(Table2[NewPointsHome],Table2[GameDate], "&lt;=" &amp; $A75, Table2[HomeTeam], H$1)</f>
        <v>19</v>
      </c>
      <c r="I75" s="145">
        <f>SUMIFS(Table2[NewPointsAway],Table2[GameDate], "&lt;=" &amp; $A75, Table2[AwayTeam], I$1)+SUMIFS(Table2[NewPointsHome],Table2[GameDate], "&lt;=" &amp; $A75, Table2[HomeTeam], I$1)</f>
        <v>27</v>
      </c>
      <c r="J75" s="145">
        <f>SUMIFS(Table2[NewPointsAway],Table2[GameDate], "&lt;=" &amp; $A75, Table2[AwayTeam], J$1)+SUMIFS(Table2[NewPointsHome],Table2[GameDate], "&lt;=" &amp; $A75, Table2[HomeTeam], J$1)</f>
        <v>23</v>
      </c>
      <c r="K75" s="145">
        <f>SUMIFS(Table2[NewPointsAway],Table2[GameDate], "&lt;=" &amp; $A75, Table2[AwayTeam], K$1)+SUMIFS(Table2[NewPointsHome],Table2[GameDate], "&lt;=" &amp; $A75, Table2[HomeTeam], K$1)</f>
        <v>18</v>
      </c>
      <c r="L75" s="145">
        <f>SUMIFS(Table2[NewPointsAway],Table2[GameDate], "&lt;=" &amp; $A75, Table2[AwayTeam], L$1)+SUMIFS(Table2[NewPointsHome],Table2[GameDate], "&lt;=" &amp; $A75, Table2[HomeTeam], L$1)</f>
        <v>20</v>
      </c>
      <c r="M75" s="145">
        <f>SUMIFS(Table2[NewPointsAway],Table2[GameDate], "&lt;=" &amp; $A75, Table2[AwayTeam], M$1)+SUMIFS(Table2[NewPointsHome],Table2[GameDate], "&lt;=" &amp; $A75, Table2[HomeTeam], M$1)</f>
        <v>17</v>
      </c>
      <c r="N75" s="145">
        <f>SUMIFS(Table2[NewPointsAway],Table2[GameDate], "&lt;=" &amp; $A75, Table2[AwayTeam], N$1)+SUMIFS(Table2[NewPointsHome],Table2[GameDate], "&lt;=" &amp; $A75, Table2[HomeTeam], N$1)</f>
        <v>20</v>
      </c>
      <c r="O75" s="145">
        <f>SUMIFS(Table2[NewPointsAway],Table2[GameDate], "&lt;=" &amp; $A75, Table2[AwayTeam], O$1)+SUMIFS(Table2[NewPointsHome],Table2[GameDate], "&lt;=" &amp; $A75, Table2[HomeTeam], O$1)</f>
        <v>18</v>
      </c>
      <c r="P75" s="145">
        <f>SUMIFS(Table2[NewPointsAway],Table2[GameDate], "&lt;=" &amp; $A75, Table2[AwayTeam], P$1)+SUMIFS(Table2[NewPointsHome],Table2[GameDate], "&lt;=" &amp; $A75, Table2[HomeTeam], P$1)</f>
        <v>22</v>
      </c>
      <c r="Q75" s="145">
        <f>SUMIFS(Table2[NewPointsAway],Table2[GameDate], "&lt;=" &amp; $A75, Table2[AwayTeam], Q$1)+SUMIFS(Table2[NewPointsHome],Table2[GameDate], "&lt;=" &amp; $A75, Table2[HomeTeam], Q$1)</f>
        <v>23</v>
      </c>
      <c r="R75" s="145">
        <f>SUMIFS(Table2[NewPointsAway],Table2[GameDate], "&lt;=" &amp; $A75, Table2[AwayTeam], R$1)+SUMIFS(Table2[NewPointsHome],Table2[GameDate], "&lt;=" &amp; $A75, Table2[HomeTeam], R$1)</f>
        <v>14</v>
      </c>
      <c r="S75" s="145">
        <f>SUMIFS(Table2[NewPointsAway],Table2[GameDate], "&lt;=" &amp; $A75, Table2[AwayTeam], S$1)+SUMIFS(Table2[NewPointsHome],Table2[GameDate], "&lt;=" &amp; $A75, Table2[HomeTeam], S$1)</f>
        <v>18</v>
      </c>
      <c r="T75" s="145">
        <f>SUMIFS(Table2[NewPointsAway],Table2[GameDate], "&lt;=" &amp; $A75, Table2[AwayTeam], T$1)+SUMIFS(Table2[NewPointsHome],Table2[GameDate], "&lt;=" &amp; $A75, Table2[HomeTeam], T$1)</f>
        <v>20</v>
      </c>
      <c r="U75" s="145">
        <f>SUMIFS(Table2[NewPointsAway],Table2[GameDate], "&lt;=" &amp; $A75, Table2[AwayTeam], U$1)+SUMIFS(Table2[NewPointsHome],Table2[GameDate], "&lt;=" &amp; $A75, Table2[HomeTeam], U$1)</f>
        <v>20</v>
      </c>
      <c r="V75" s="145">
        <f>SUMIFS(Table2[NewPointsAway],Table2[GameDate], "&lt;=" &amp; $A75, Table2[AwayTeam], V$1)+SUMIFS(Table2[NewPointsHome],Table2[GameDate], "&lt;=" &amp; $A75, Table2[HomeTeam], V$1)</f>
        <v>19</v>
      </c>
      <c r="W75" s="145">
        <f>SUMIFS(Table2[NewPointsAway],Table2[GameDate], "&lt;=" &amp; $A75, Table2[AwayTeam], W$1)+SUMIFS(Table2[NewPointsHome],Table2[GameDate], "&lt;=" &amp; $A75, Table2[HomeTeam], W$1)</f>
        <v>21</v>
      </c>
      <c r="X75" s="145">
        <f>SUMIFS(Table2[NewPointsAway],Table2[GameDate], "&lt;=" &amp; $A75, Table2[AwayTeam], X$1)+SUMIFS(Table2[NewPointsHome],Table2[GameDate], "&lt;=" &amp; $A75, Table2[HomeTeam], X$1)</f>
        <v>19</v>
      </c>
      <c r="Y75" s="145">
        <f>SUMIFS(Table2[NewPointsAway],Table2[GameDate], "&lt;=" &amp; $A75, Table2[AwayTeam], Y$1)+SUMIFS(Table2[NewPointsHome],Table2[GameDate], "&lt;=" &amp; $A75, Table2[HomeTeam], Y$1)</f>
        <v>19</v>
      </c>
      <c r="Z75" s="145">
        <f>SUMIFS(Table2[NewPointsAway],Table2[GameDate], "&lt;=" &amp; $A75, Table2[AwayTeam], Z$1)+SUMIFS(Table2[NewPointsHome],Table2[GameDate], "&lt;=" &amp; $A75, Table2[HomeTeam], Z$1)</f>
        <v>15</v>
      </c>
      <c r="AA75" s="145">
        <f>SUMIFS(Table2[NewPointsAway],Table2[GameDate], "&lt;=" &amp; $A75, Table2[AwayTeam], AA$1)+SUMIFS(Table2[NewPointsHome],Table2[GameDate], "&lt;=" &amp; $A75, Table2[HomeTeam], AA$1)</f>
        <v>18</v>
      </c>
      <c r="AB75" s="145">
        <f>SUMIFS(Table2[NewPointsAway],Table2[GameDate], "&lt;=" &amp; $A75, Table2[AwayTeam], AB$1)+SUMIFS(Table2[NewPointsHome],Table2[GameDate], "&lt;=" &amp; $A75, Table2[HomeTeam], AB$1)</f>
        <v>17</v>
      </c>
      <c r="AC75" s="145">
        <f>SUMIFS(Table2[NewPointsAway],Table2[GameDate], "&lt;=" &amp; $A75, Table2[AwayTeam], AC$1)+SUMIFS(Table2[NewPointsHome],Table2[GameDate], "&lt;=" &amp; $A75, Table2[HomeTeam], AC$1)</f>
        <v>18</v>
      </c>
      <c r="AD75" s="145">
        <f>SUMIFS(Table2[NewPointsAway],Table2[GameDate], "&lt;=" &amp; $A75, Table2[AwayTeam], AD$1)+SUMIFS(Table2[NewPointsHome],Table2[GameDate], "&lt;=" &amp; $A75, Table2[HomeTeam], AD$1)</f>
        <v>17</v>
      </c>
      <c r="AE75" s="145">
        <f>SUMIFS(Table2[NewPointsAway],Table2[GameDate], "&lt;=" &amp; $A75, Table2[AwayTeam], AE$1)+SUMIFS(Table2[NewPointsHome],Table2[GameDate], "&lt;=" &amp; $A75, Table2[HomeTeam], AE$1)</f>
        <v>18</v>
      </c>
      <c r="AF75" s="145">
        <f>SUMIFS(Table2[NewPointsAway],Table2[GameDate], "&lt;=" &amp; $A75, Table2[AwayTeam], AF$1)+SUMIFS(Table2[NewPointsHome],Table2[GameDate], "&lt;=" &amp; $A75, Table2[HomeTeam], AF$1)</f>
        <v>20</v>
      </c>
      <c r="AG75" s="145">
        <f>SUMIFS(Table2[NewPointsAway],Table2[GameDate], "&lt;=" &amp; $A75, Table2[AwayTeam], AG$1)+SUMIFS(Table2[NewPointsHome],Table2[GameDate], "&lt;=" &amp; $A75, Table2[HomeTeam], AG$1)</f>
        <v>17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23</v>
      </c>
      <c r="C76" s="145">
        <f>SUMIFS(Table2[NewPointsAway],Table2[GameDate], "&lt;=" &amp; $A76, Table2[AwayTeam], C$1)+SUMIFS(Table2[NewPointsHome],Table2[GameDate], "&lt;=" &amp; $A76, Table2[HomeTeam], C$1)</f>
        <v>22</v>
      </c>
      <c r="D76" s="145">
        <f>SUMIFS(Table2[NewPointsAway],Table2[GameDate], "&lt;=" &amp; $A76, Table2[AwayTeam], D$1)+SUMIFS(Table2[NewPointsHome],Table2[GameDate], "&lt;=" &amp; $A76, Table2[HomeTeam], D$1)</f>
        <v>14</v>
      </c>
      <c r="E76" s="145">
        <f>SUMIFS(Table2[NewPointsAway],Table2[GameDate], "&lt;=" &amp; $A76, Table2[AwayTeam], E$1)+SUMIFS(Table2[NewPointsHome],Table2[GameDate], "&lt;=" &amp; $A76, Table2[HomeTeam], E$1)</f>
        <v>22</v>
      </c>
      <c r="F76" s="145">
        <f>SUMIFS(Table2[NewPointsAway],Table2[GameDate], "&lt;=" &amp; $A76, Table2[AwayTeam], F$1)+SUMIFS(Table2[NewPointsHome],Table2[GameDate], "&lt;=" &amp; $A76, Table2[HomeTeam], F$1)</f>
        <v>17</v>
      </c>
      <c r="G76" s="145">
        <f>SUMIFS(Table2[NewPointsAway],Table2[GameDate], "&lt;=" &amp; $A76, Table2[AwayTeam], G$1)+SUMIFS(Table2[NewPointsHome],Table2[GameDate], "&lt;=" &amp; $A76, Table2[HomeTeam], G$1)</f>
        <v>10</v>
      </c>
      <c r="H76" s="145">
        <f>SUMIFS(Table2[NewPointsAway],Table2[GameDate], "&lt;=" &amp; $A76, Table2[AwayTeam], H$1)+SUMIFS(Table2[NewPointsHome],Table2[GameDate], "&lt;=" &amp; $A76, Table2[HomeTeam], H$1)</f>
        <v>19</v>
      </c>
      <c r="I76" s="145">
        <f>SUMIFS(Table2[NewPointsAway],Table2[GameDate], "&lt;=" &amp; $A76, Table2[AwayTeam], I$1)+SUMIFS(Table2[NewPointsHome],Table2[GameDate], "&lt;=" &amp; $A76, Table2[HomeTeam], I$1)</f>
        <v>27</v>
      </c>
      <c r="J76" s="145">
        <f>SUMIFS(Table2[NewPointsAway],Table2[GameDate], "&lt;=" &amp; $A76, Table2[AwayTeam], J$1)+SUMIFS(Table2[NewPointsHome],Table2[GameDate], "&lt;=" &amp; $A76, Table2[HomeTeam], J$1)</f>
        <v>23</v>
      </c>
      <c r="K76" s="145">
        <f>SUMIFS(Table2[NewPointsAway],Table2[GameDate], "&lt;=" &amp; $A76, Table2[AwayTeam], K$1)+SUMIFS(Table2[NewPointsHome],Table2[GameDate], "&lt;=" &amp; $A76, Table2[HomeTeam], K$1)</f>
        <v>18</v>
      </c>
      <c r="L76" s="145">
        <f>SUMIFS(Table2[NewPointsAway],Table2[GameDate], "&lt;=" &amp; $A76, Table2[AwayTeam], L$1)+SUMIFS(Table2[NewPointsHome],Table2[GameDate], "&lt;=" &amp; $A76, Table2[HomeTeam], L$1)</f>
        <v>20</v>
      </c>
      <c r="M76" s="145">
        <f>SUMIFS(Table2[NewPointsAway],Table2[GameDate], "&lt;=" &amp; $A76, Table2[AwayTeam], M$1)+SUMIFS(Table2[NewPointsHome],Table2[GameDate], "&lt;=" &amp; $A76, Table2[HomeTeam], M$1)</f>
        <v>17</v>
      </c>
      <c r="N76" s="145">
        <f>SUMIFS(Table2[NewPointsAway],Table2[GameDate], "&lt;=" &amp; $A76, Table2[AwayTeam], N$1)+SUMIFS(Table2[NewPointsHome],Table2[GameDate], "&lt;=" &amp; $A76, Table2[HomeTeam], N$1)</f>
        <v>20</v>
      </c>
      <c r="O76" s="145">
        <f>SUMIFS(Table2[NewPointsAway],Table2[GameDate], "&lt;=" &amp; $A76, Table2[AwayTeam], O$1)+SUMIFS(Table2[NewPointsHome],Table2[GameDate], "&lt;=" &amp; $A76, Table2[HomeTeam], O$1)</f>
        <v>18</v>
      </c>
      <c r="P76" s="145">
        <f>SUMIFS(Table2[NewPointsAway],Table2[GameDate], "&lt;=" &amp; $A76, Table2[AwayTeam], P$1)+SUMIFS(Table2[NewPointsHome],Table2[GameDate], "&lt;=" &amp; $A76, Table2[HomeTeam], P$1)</f>
        <v>22</v>
      </c>
      <c r="Q76" s="145">
        <f>SUMIFS(Table2[NewPointsAway],Table2[GameDate], "&lt;=" &amp; $A76, Table2[AwayTeam], Q$1)+SUMIFS(Table2[NewPointsHome],Table2[GameDate], "&lt;=" &amp; $A76, Table2[HomeTeam], Q$1)</f>
        <v>23</v>
      </c>
      <c r="R76" s="145">
        <f>SUMIFS(Table2[NewPointsAway],Table2[GameDate], "&lt;=" &amp; $A76, Table2[AwayTeam], R$1)+SUMIFS(Table2[NewPointsHome],Table2[GameDate], "&lt;=" &amp; $A76, Table2[HomeTeam], R$1)</f>
        <v>14</v>
      </c>
      <c r="S76" s="145">
        <f>SUMIFS(Table2[NewPointsAway],Table2[GameDate], "&lt;=" &amp; $A76, Table2[AwayTeam], S$1)+SUMIFS(Table2[NewPointsHome],Table2[GameDate], "&lt;=" &amp; $A76, Table2[HomeTeam], S$1)</f>
        <v>18</v>
      </c>
      <c r="T76" s="145">
        <f>SUMIFS(Table2[NewPointsAway],Table2[GameDate], "&lt;=" &amp; $A76, Table2[AwayTeam], T$1)+SUMIFS(Table2[NewPointsHome],Table2[GameDate], "&lt;=" &amp; $A76, Table2[HomeTeam], T$1)</f>
        <v>20</v>
      </c>
      <c r="U76" s="145">
        <f>SUMIFS(Table2[NewPointsAway],Table2[GameDate], "&lt;=" &amp; $A76, Table2[AwayTeam], U$1)+SUMIFS(Table2[NewPointsHome],Table2[GameDate], "&lt;=" &amp; $A76, Table2[HomeTeam], U$1)</f>
        <v>20</v>
      </c>
      <c r="V76" s="145">
        <f>SUMIFS(Table2[NewPointsAway],Table2[GameDate], "&lt;=" &amp; $A76, Table2[AwayTeam], V$1)+SUMIFS(Table2[NewPointsHome],Table2[GameDate], "&lt;=" &amp; $A76, Table2[HomeTeam], V$1)</f>
        <v>19</v>
      </c>
      <c r="W76" s="145">
        <f>SUMIFS(Table2[NewPointsAway],Table2[GameDate], "&lt;=" &amp; $A76, Table2[AwayTeam], W$1)+SUMIFS(Table2[NewPointsHome],Table2[GameDate], "&lt;=" &amp; $A76, Table2[HomeTeam], W$1)</f>
        <v>21</v>
      </c>
      <c r="X76" s="145">
        <f>SUMIFS(Table2[NewPointsAway],Table2[GameDate], "&lt;=" &amp; $A76, Table2[AwayTeam], X$1)+SUMIFS(Table2[NewPointsHome],Table2[GameDate], "&lt;=" &amp; $A76, Table2[HomeTeam], X$1)</f>
        <v>19</v>
      </c>
      <c r="Y76" s="145">
        <f>SUMIFS(Table2[NewPointsAway],Table2[GameDate], "&lt;=" &amp; $A76, Table2[AwayTeam], Y$1)+SUMIFS(Table2[NewPointsHome],Table2[GameDate], "&lt;=" &amp; $A76, Table2[HomeTeam], Y$1)</f>
        <v>19</v>
      </c>
      <c r="Z76" s="145">
        <f>SUMIFS(Table2[NewPointsAway],Table2[GameDate], "&lt;=" &amp; $A76, Table2[AwayTeam], Z$1)+SUMIFS(Table2[NewPointsHome],Table2[GameDate], "&lt;=" &amp; $A76, Table2[HomeTeam], Z$1)</f>
        <v>15</v>
      </c>
      <c r="AA76" s="145">
        <f>SUMIFS(Table2[NewPointsAway],Table2[GameDate], "&lt;=" &amp; $A76, Table2[AwayTeam], AA$1)+SUMIFS(Table2[NewPointsHome],Table2[GameDate], "&lt;=" &amp; $A76, Table2[HomeTeam], AA$1)</f>
        <v>18</v>
      </c>
      <c r="AB76" s="145">
        <f>SUMIFS(Table2[NewPointsAway],Table2[GameDate], "&lt;=" &amp; $A76, Table2[AwayTeam], AB$1)+SUMIFS(Table2[NewPointsHome],Table2[GameDate], "&lt;=" &amp; $A76, Table2[HomeTeam], AB$1)</f>
        <v>17</v>
      </c>
      <c r="AC76" s="145">
        <f>SUMIFS(Table2[NewPointsAway],Table2[GameDate], "&lt;=" &amp; $A76, Table2[AwayTeam], AC$1)+SUMIFS(Table2[NewPointsHome],Table2[GameDate], "&lt;=" &amp; $A76, Table2[HomeTeam], AC$1)</f>
        <v>18</v>
      </c>
      <c r="AD76" s="145">
        <f>SUMIFS(Table2[NewPointsAway],Table2[GameDate], "&lt;=" &amp; $A76, Table2[AwayTeam], AD$1)+SUMIFS(Table2[NewPointsHome],Table2[GameDate], "&lt;=" &amp; $A76, Table2[HomeTeam], AD$1)</f>
        <v>17</v>
      </c>
      <c r="AE76" s="145">
        <f>SUMIFS(Table2[NewPointsAway],Table2[GameDate], "&lt;=" &amp; $A76, Table2[AwayTeam], AE$1)+SUMIFS(Table2[NewPointsHome],Table2[GameDate], "&lt;=" &amp; $A76, Table2[HomeTeam], AE$1)</f>
        <v>18</v>
      </c>
      <c r="AF76" s="145">
        <f>SUMIFS(Table2[NewPointsAway],Table2[GameDate], "&lt;=" &amp; $A76, Table2[AwayTeam], AF$1)+SUMIFS(Table2[NewPointsHome],Table2[GameDate], "&lt;=" &amp; $A76, Table2[HomeTeam], AF$1)</f>
        <v>20</v>
      </c>
      <c r="AG76" s="145">
        <f>SUMIFS(Table2[NewPointsAway],Table2[GameDate], "&lt;=" &amp; $A76, Table2[AwayTeam], AG$1)+SUMIFS(Table2[NewPointsHome],Table2[GameDate], "&lt;=" &amp; $A76, Table2[HomeTeam], AG$1)</f>
        <v>17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23</v>
      </c>
      <c r="C77" s="145">
        <f>SUMIFS(Table2[NewPointsAway],Table2[GameDate], "&lt;=" &amp; $A77, Table2[AwayTeam], C$1)+SUMIFS(Table2[NewPointsHome],Table2[GameDate], "&lt;=" &amp; $A77, Table2[HomeTeam], C$1)</f>
        <v>22</v>
      </c>
      <c r="D77" s="145">
        <f>SUMIFS(Table2[NewPointsAway],Table2[GameDate], "&lt;=" &amp; $A77, Table2[AwayTeam], D$1)+SUMIFS(Table2[NewPointsHome],Table2[GameDate], "&lt;=" &amp; $A77, Table2[HomeTeam], D$1)</f>
        <v>14</v>
      </c>
      <c r="E77" s="145">
        <f>SUMIFS(Table2[NewPointsAway],Table2[GameDate], "&lt;=" &amp; $A77, Table2[AwayTeam], E$1)+SUMIFS(Table2[NewPointsHome],Table2[GameDate], "&lt;=" &amp; $A77, Table2[HomeTeam], E$1)</f>
        <v>22</v>
      </c>
      <c r="F77" s="145">
        <f>SUMIFS(Table2[NewPointsAway],Table2[GameDate], "&lt;=" &amp; $A77, Table2[AwayTeam], F$1)+SUMIFS(Table2[NewPointsHome],Table2[GameDate], "&lt;=" &amp; $A77, Table2[HomeTeam], F$1)</f>
        <v>17</v>
      </c>
      <c r="G77" s="145">
        <f>SUMIFS(Table2[NewPointsAway],Table2[GameDate], "&lt;=" &amp; $A77, Table2[AwayTeam], G$1)+SUMIFS(Table2[NewPointsHome],Table2[GameDate], "&lt;=" &amp; $A77, Table2[HomeTeam], G$1)</f>
        <v>10</v>
      </c>
      <c r="H77" s="145">
        <f>SUMIFS(Table2[NewPointsAway],Table2[GameDate], "&lt;=" &amp; $A77, Table2[AwayTeam], H$1)+SUMIFS(Table2[NewPointsHome],Table2[GameDate], "&lt;=" &amp; $A77, Table2[HomeTeam], H$1)</f>
        <v>19</v>
      </c>
      <c r="I77" s="145">
        <f>SUMIFS(Table2[NewPointsAway],Table2[GameDate], "&lt;=" &amp; $A77, Table2[AwayTeam], I$1)+SUMIFS(Table2[NewPointsHome],Table2[GameDate], "&lt;=" &amp; $A77, Table2[HomeTeam], I$1)</f>
        <v>27</v>
      </c>
      <c r="J77" s="145">
        <f>SUMIFS(Table2[NewPointsAway],Table2[GameDate], "&lt;=" &amp; $A77, Table2[AwayTeam], J$1)+SUMIFS(Table2[NewPointsHome],Table2[GameDate], "&lt;=" &amp; $A77, Table2[HomeTeam], J$1)</f>
        <v>23</v>
      </c>
      <c r="K77" s="145">
        <f>SUMIFS(Table2[NewPointsAway],Table2[GameDate], "&lt;=" &amp; $A77, Table2[AwayTeam], K$1)+SUMIFS(Table2[NewPointsHome],Table2[GameDate], "&lt;=" &amp; $A77, Table2[HomeTeam], K$1)</f>
        <v>18</v>
      </c>
      <c r="L77" s="145">
        <f>SUMIFS(Table2[NewPointsAway],Table2[GameDate], "&lt;=" &amp; $A77, Table2[AwayTeam], L$1)+SUMIFS(Table2[NewPointsHome],Table2[GameDate], "&lt;=" &amp; $A77, Table2[HomeTeam], L$1)</f>
        <v>20</v>
      </c>
      <c r="M77" s="145">
        <f>SUMIFS(Table2[NewPointsAway],Table2[GameDate], "&lt;=" &amp; $A77, Table2[AwayTeam], M$1)+SUMIFS(Table2[NewPointsHome],Table2[GameDate], "&lt;=" &amp; $A77, Table2[HomeTeam], M$1)</f>
        <v>17</v>
      </c>
      <c r="N77" s="145">
        <f>SUMIFS(Table2[NewPointsAway],Table2[GameDate], "&lt;=" &amp; $A77, Table2[AwayTeam], N$1)+SUMIFS(Table2[NewPointsHome],Table2[GameDate], "&lt;=" &amp; $A77, Table2[HomeTeam], N$1)</f>
        <v>20</v>
      </c>
      <c r="O77" s="145">
        <f>SUMIFS(Table2[NewPointsAway],Table2[GameDate], "&lt;=" &amp; $A77, Table2[AwayTeam], O$1)+SUMIFS(Table2[NewPointsHome],Table2[GameDate], "&lt;=" &amp; $A77, Table2[HomeTeam], O$1)</f>
        <v>18</v>
      </c>
      <c r="P77" s="145">
        <f>SUMIFS(Table2[NewPointsAway],Table2[GameDate], "&lt;=" &amp; $A77, Table2[AwayTeam], P$1)+SUMIFS(Table2[NewPointsHome],Table2[GameDate], "&lt;=" &amp; $A77, Table2[HomeTeam], P$1)</f>
        <v>22</v>
      </c>
      <c r="Q77" s="145">
        <f>SUMIFS(Table2[NewPointsAway],Table2[GameDate], "&lt;=" &amp; $A77, Table2[AwayTeam], Q$1)+SUMIFS(Table2[NewPointsHome],Table2[GameDate], "&lt;=" &amp; $A77, Table2[HomeTeam], Q$1)</f>
        <v>23</v>
      </c>
      <c r="R77" s="145">
        <f>SUMIFS(Table2[NewPointsAway],Table2[GameDate], "&lt;=" &amp; $A77, Table2[AwayTeam], R$1)+SUMIFS(Table2[NewPointsHome],Table2[GameDate], "&lt;=" &amp; $A77, Table2[HomeTeam], R$1)</f>
        <v>14</v>
      </c>
      <c r="S77" s="145">
        <f>SUMIFS(Table2[NewPointsAway],Table2[GameDate], "&lt;=" &amp; $A77, Table2[AwayTeam], S$1)+SUMIFS(Table2[NewPointsHome],Table2[GameDate], "&lt;=" &amp; $A77, Table2[HomeTeam], S$1)</f>
        <v>18</v>
      </c>
      <c r="T77" s="145">
        <f>SUMIFS(Table2[NewPointsAway],Table2[GameDate], "&lt;=" &amp; $A77, Table2[AwayTeam], T$1)+SUMIFS(Table2[NewPointsHome],Table2[GameDate], "&lt;=" &amp; $A77, Table2[HomeTeam], T$1)</f>
        <v>20</v>
      </c>
      <c r="U77" s="145">
        <f>SUMIFS(Table2[NewPointsAway],Table2[GameDate], "&lt;=" &amp; $A77, Table2[AwayTeam], U$1)+SUMIFS(Table2[NewPointsHome],Table2[GameDate], "&lt;=" &amp; $A77, Table2[HomeTeam], U$1)</f>
        <v>20</v>
      </c>
      <c r="V77" s="145">
        <f>SUMIFS(Table2[NewPointsAway],Table2[GameDate], "&lt;=" &amp; $A77, Table2[AwayTeam], V$1)+SUMIFS(Table2[NewPointsHome],Table2[GameDate], "&lt;=" &amp; $A77, Table2[HomeTeam], V$1)</f>
        <v>19</v>
      </c>
      <c r="W77" s="145">
        <f>SUMIFS(Table2[NewPointsAway],Table2[GameDate], "&lt;=" &amp; $A77, Table2[AwayTeam], W$1)+SUMIFS(Table2[NewPointsHome],Table2[GameDate], "&lt;=" &amp; $A77, Table2[HomeTeam], W$1)</f>
        <v>21</v>
      </c>
      <c r="X77" s="145">
        <f>SUMIFS(Table2[NewPointsAway],Table2[GameDate], "&lt;=" &amp; $A77, Table2[AwayTeam], X$1)+SUMIFS(Table2[NewPointsHome],Table2[GameDate], "&lt;=" &amp; $A77, Table2[HomeTeam], X$1)</f>
        <v>19</v>
      </c>
      <c r="Y77" s="145">
        <f>SUMIFS(Table2[NewPointsAway],Table2[GameDate], "&lt;=" &amp; $A77, Table2[AwayTeam], Y$1)+SUMIFS(Table2[NewPointsHome],Table2[GameDate], "&lt;=" &amp; $A77, Table2[HomeTeam], Y$1)</f>
        <v>19</v>
      </c>
      <c r="Z77" s="145">
        <f>SUMIFS(Table2[NewPointsAway],Table2[GameDate], "&lt;=" &amp; $A77, Table2[AwayTeam], Z$1)+SUMIFS(Table2[NewPointsHome],Table2[GameDate], "&lt;=" &amp; $A77, Table2[HomeTeam], Z$1)</f>
        <v>15</v>
      </c>
      <c r="AA77" s="145">
        <f>SUMIFS(Table2[NewPointsAway],Table2[GameDate], "&lt;=" &amp; $A77, Table2[AwayTeam], AA$1)+SUMIFS(Table2[NewPointsHome],Table2[GameDate], "&lt;=" &amp; $A77, Table2[HomeTeam], AA$1)</f>
        <v>18</v>
      </c>
      <c r="AB77" s="145">
        <f>SUMIFS(Table2[NewPointsAway],Table2[GameDate], "&lt;=" &amp; $A77, Table2[AwayTeam], AB$1)+SUMIFS(Table2[NewPointsHome],Table2[GameDate], "&lt;=" &amp; $A77, Table2[HomeTeam], AB$1)</f>
        <v>17</v>
      </c>
      <c r="AC77" s="145">
        <f>SUMIFS(Table2[NewPointsAway],Table2[GameDate], "&lt;=" &amp; $A77, Table2[AwayTeam], AC$1)+SUMIFS(Table2[NewPointsHome],Table2[GameDate], "&lt;=" &amp; $A77, Table2[HomeTeam], AC$1)</f>
        <v>18</v>
      </c>
      <c r="AD77" s="145">
        <f>SUMIFS(Table2[NewPointsAway],Table2[GameDate], "&lt;=" &amp; $A77, Table2[AwayTeam], AD$1)+SUMIFS(Table2[NewPointsHome],Table2[GameDate], "&lt;=" &amp; $A77, Table2[HomeTeam], AD$1)</f>
        <v>17</v>
      </c>
      <c r="AE77" s="145">
        <f>SUMIFS(Table2[NewPointsAway],Table2[GameDate], "&lt;=" &amp; $A77, Table2[AwayTeam], AE$1)+SUMIFS(Table2[NewPointsHome],Table2[GameDate], "&lt;=" &amp; $A77, Table2[HomeTeam], AE$1)</f>
        <v>18</v>
      </c>
      <c r="AF77" s="145">
        <f>SUMIFS(Table2[NewPointsAway],Table2[GameDate], "&lt;=" &amp; $A77, Table2[AwayTeam], AF$1)+SUMIFS(Table2[NewPointsHome],Table2[GameDate], "&lt;=" &amp; $A77, Table2[HomeTeam], AF$1)</f>
        <v>20</v>
      </c>
      <c r="AG77" s="145">
        <f>SUMIFS(Table2[NewPointsAway],Table2[GameDate], "&lt;=" &amp; $A77, Table2[AwayTeam], AG$1)+SUMIFS(Table2[NewPointsHome],Table2[GameDate], "&lt;=" &amp; $A77, Table2[HomeTeam], AG$1)</f>
        <v>17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23</v>
      </c>
      <c r="C78" s="145">
        <f>SUMIFS(Table2[NewPointsAway],Table2[GameDate], "&lt;=" &amp; $A78, Table2[AwayTeam], C$1)+SUMIFS(Table2[NewPointsHome],Table2[GameDate], "&lt;=" &amp; $A78, Table2[HomeTeam], C$1)</f>
        <v>22</v>
      </c>
      <c r="D78" s="145">
        <f>SUMIFS(Table2[NewPointsAway],Table2[GameDate], "&lt;=" &amp; $A78, Table2[AwayTeam], D$1)+SUMIFS(Table2[NewPointsHome],Table2[GameDate], "&lt;=" &amp; $A78, Table2[HomeTeam], D$1)</f>
        <v>14</v>
      </c>
      <c r="E78" s="145">
        <f>SUMIFS(Table2[NewPointsAway],Table2[GameDate], "&lt;=" &amp; $A78, Table2[AwayTeam], E$1)+SUMIFS(Table2[NewPointsHome],Table2[GameDate], "&lt;=" &amp; $A78, Table2[HomeTeam], E$1)</f>
        <v>22</v>
      </c>
      <c r="F78" s="145">
        <f>SUMIFS(Table2[NewPointsAway],Table2[GameDate], "&lt;=" &amp; $A78, Table2[AwayTeam], F$1)+SUMIFS(Table2[NewPointsHome],Table2[GameDate], "&lt;=" &amp; $A78, Table2[HomeTeam], F$1)</f>
        <v>17</v>
      </c>
      <c r="G78" s="145">
        <f>SUMIFS(Table2[NewPointsAway],Table2[GameDate], "&lt;=" &amp; $A78, Table2[AwayTeam], G$1)+SUMIFS(Table2[NewPointsHome],Table2[GameDate], "&lt;=" &amp; $A78, Table2[HomeTeam], G$1)</f>
        <v>10</v>
      </c>
      <c r="H78" s="145">
        <f>SUMIFS(Table2[NewPointsAway],Table2[GameDate], "&lt;=" &amp; $A78, Table2[AwayTeam], H$1)+SUMIFS(Table2[NewPointsHome],Table2[GameDate], "&lt;=" &amp; $A78, Table2[HomeTeam], H$1)</f>
        <v>19</v>
      </c>
      <c r="I78" s="145">
        <f>SUMIFS(Table2[NewPointsAway],Table2[GameDate], "&lt;=" &amp; $A78, Table2[AwayTeam], I$1)+SUMIFS(Table2[NewPointsHome],Table2[GameDate], "&lt;=" &amp; $A78, Table2[HomeTeam], I$1)</f>
        <v>27</v>
      </c>
      <c r="J78" s="145">
        <f>SUMIFS(Table2[NewPointsAway],Table2[GameDate], "&lt;=" &amp; $A78, Table2[AwayTeam], J$1)+SUMIFS(Table2[NewPointsHome],Table2[GameDate], "&lt;=" &amp; $A78, Table2[HomeTeam], J$1)</f>
        <v>23</v>
      </c>
      <c r="K78" s="145">
        <f>SUMIFS(Table2[NewPointsAway],Table2[GameDate], "&lt;=" &amp; $A78, Table2[AwayTeam], K$1)+SUMIFS(Table2[NewPointsHome],Table2[GameDate], "&lt;=" &amp; $A78, Table2[HomeTeam], K$1)</f>
        <v>18</v>
      </c>
      <c r="L78" s="145">
        <f>SUMIFS(Table2[NewPointsAway],Table2[GameDate], "&lt;=" &amp; $A78, Table2[AwayTeam], L$1)+SUMIFS(Table2[NewPointsHome],Table2[GameDate], "&lt;=" &amp; $A78, Table2[HomeTeam], L$1)</f>
        <v>20</v>
      </c>
      <c r="M78" s="145">
        <f>SUMIFS(Table2[NewPointsAway],Table2[GameDate], "&lt;=" &amp; $A78, Table2[AwayTeam], M$1)+SUMIFS(Table2[NewPointsHome],Table2[GameDate], "&lt;=" &amp; $A78, Table2[HomeTeam], M$1)</f>
        <v>17</v>
      </c>
      <c r="N78" s="145">
        <f>SUMIFS(Table2[NewPointsAway],Table2[GameDate], "&lt;=" &amp; $A78, Table2[AwayTeam], N$1)+SUMIFS(Table2[NewPointsHome],Table2[GameDate], "&lt;=" &amp; $A78, Table2[HomeTeam], N$1)</f>
        <v>20</v>
      </c>
      <c r="O78" s="145">
        <f>SUMIFS(Table2[NewPointsAway],Table2[GameDate], "&lt;=" &amp; $A78, Table2[AwayTeam], O$1)+SUMIFS(Table2[NewPointsHome],Table2[GameDate], "&lt;=" &amp; $A78, Table2[HomeTeam], O$1)</f>
        <v>18</v>
      </c>
      <c r="P78" s="145">
        <f>SUMIFS(Table2[NewPointsAway],Table2[GameDate], "&lt;=" &amp; $A78, Table2[AwayTeam], P$1)+SUMIFS(Table2[NewPointsHome],Table2[GameDate], "&lt;=" &amp; $A78, Table2[HomeTeam], P$1)</f>
        <v>22</v>
      </c>
      <c r="Q78" s="145">
        <f>SUMIFS(Table2[NewPointsAway],Table2[GameDate], "&lt;=" &amp; $A78, Table2[AwayTeam], Q$1)+SUMIFS(Table2[NewPointsHome],Table2[GameDate], "&lt;=" &amp; $A78, Table2[HomeTeam], Q$1)</f>
        <v>23</v>
      </c>
      <c r="R78" s="145">
        <f>SUMIFS(Table2[NewPointsAway],Table2[GameDate], "&lt;=" &amp; $A78, Table2[AwayTeam], R$1)+SUMIFS(Table2[NewPointsHome],Table2[GameDate], "&lt;=" &amp; $A78, Table2[HomeTeam], R$1)</f>
        <v>14</v>
      </c>
      <c r="S78" s="145">
        <f>SUMIFS(Table2[NewPointsAway],Table2[GameDate], "&lt;=" &amp; $A78, Table2[AwayTeam], S$1)+SUMIFS(Table2[NewPointsHome],Table2[GameDate], "&lt;=" &amp; $A78, Table2[HomeTeam], S$1)</f>
        <v>18</v>
      </c>
      <c r="T78" s="145">
        <f>SUMIFS(Table2[NewPointsAway],Table2[GameDate], "&lt;=" &amp; $A78, Table2[AwayTeam], T$1)+SUMIFS(Table2[NewPointsHome],Table2[GameDate], "&lt;=" &amp; $A78, Table2[HomeTeam], T$1)</f>
        <v>20</v>
      </c>
      <c r="U78" s="145">
        <f>SUMIFS(Table2[NewPointsAway],Table2[GameDate], "&lt;=" &amp; $A78, Table2[AwayTeam], U$1)+SUMIFS(Table2[NewPointsHome],Table2[GameDate], "&lt;=" &amp; $A78, Table2[HomeTeam], U$1)</f>
        <v>20</v>
      </c>
      <c r="V78" s="145">
        <f>SUMIFS(Table2[NewPointsAway],Table2[GameDate], "&lt;=" &amp; $A78, Table2[AwayTeam], V$1)+SUMIFS(Table2[NewPointsHome],Table2[GameDate], "&lt;=" &amp; $A78, Table2[HomeTeam], V$1)</f>
        <v>19</v>
      </c>
      <c r="W78" s="145">
        <f>SUMIFS(Table2[NewPointsAway],Table2[GameDate], "&lt;=" &amp; $A78, Table2[AwayTeam], W$1)+SUMIFS(Table2[NewPointsHome],Table2[GameDate], "&lt;=" &amp; $A78, Table2[HomeTeam], W$1)</f>
        <v>21</v>
      </c>
      <c r="X78" s="145">
        <f>SUMIFS(Table2[NewPointsAway],Table2[GameDate], "&lt;=" &amp; $A78, Table2[AwayTeam], X$1)+SUMIFS(Table2[NewPointsHome],Table2[GameDate], "&lt;=" &amp; $A78, Table2[HomeTeam], X$1)</f>
        <v>19</v>
      </c>
      <c r="Y78" s="145">
        <f>SUMIFS(Table2[NewPointsAway],Table2[GameDate], "&lt;=" &amp; $A78, Table2[AwayTeam], Y$1)+SUMIFS(Table2[NewPointsHome],Table2[GameDate], "&lt;=" &amp; $A78, Table2[HomeTeam], Y$1)</f>
        <v>19</v>
      </c>
      <c r="Z78" s="145">
        <f>SUMIFS(Table2[NewPointsAway],Table2[GameDate], "&lt;=" &amp; $A78, Table2[AwayTeam], Z$1)+SUMIFS(Table2[NewPointsHome],Table2[GameDate], "&lt;=" &amp; $A78, Table2[HomeTeam], Z$1)</f>
        <v>15</v>
      </c>
      <c r="AA78" s="145">
        <f>SUMIFS(Table2[NewPointsAway],Table2[GameDate], "&lt;=" &amp; $A78, Table2[AwayTeam], AA$1)+SUMIFS(Table2[NewPointsHome],Table2[GameDate], "&lt;=" &amp; $A78, Table2[HomeTeam], AA$1)</f>
        <v>18</v>
      </c>
      <c r="AB78" s="145">
        <f>SUMIFS(Table2[NewPointsAway],Table2[GameDate], "&lt;=" &amp; $A78, Table2[AwayTeam], AB$1)+SUMIFS(Table2[NewPointsHome],Table2[GameDate], "&lt;=" &amp; $A78, Table2[HomeTeam], AB$1)</f>
        <v>17</v>
      </c>
      <c r="AC78" s="145">
        <f>SUMIFS(Table2[NewPointsAway],Table2[GameDate], "&lt;=" &amp; $A78, Table2[AwayTeam], AC$1)+SUMIFS(Table2[NewPointsHome],Table2[GameDate], "&lt;=" &amp; $A78, Table2[HomeTeam], AC$1)</f>
        <v>18</v>
      </c>
      <c r="AD78" s="145">
        <f>SUMIFS(Table2[NewPointsAway],Table2[GameDate], "&lt;=" &amp; $A78, Table2[AwayTeam], AD$1)+SUMIFS(Table2[NewPointsHome],Table2[GameDate], "&lt;=" &amp; $A78, Table2[HomeTeam], AD$1)</f>
        <v>17</v>
      </c>
      <c r="AE78" s="145">
        <f>SUMIFS(Table2[NewPointsAway],Table2[GameDate], "&lt;=" &amp; $A78, Table2[AwayTeam], AE$1)+SUMIFS(Table2[NewPointsHome],Table2[GameDate], "&lt;=" &amp; $A78, Table2[HomeTeam], AE$1)</f>
        <v>18</v>
      </c>
      <c r="AF78" s="145">
        <f>SUMIFS(Table2[NewPointsAway],Table2[GameDate], "&lt;=" &amp; $A78, Table2[AwayTeam], AF$1)+SUMIFS(Table2[NewPointsHome],Table2[GameDate], "&lt;=" &amp; $A78, Table2[HomeTeam], AF$1)</f>
        <v>20</v>
      </c>
      <c r="AG78" s="145">
        <f>SUMIFS(Table2[NewPointsAway],Table2[GameDate], "&lt;=" &amp; $A78, Table2[AwayTeam], AG$1)+SUMIFS(Table2[NewPointsHome],Table2[GameDate], "&lt;=" &amp; $A78, Table2[HomeTeam], AG$1)</f>
        <v>17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23</v>
      </c>
      <c r="C79" s="145">
        <f>SUMIFS(Table2[NewPointsAway],Table2[GameDate], "&lt;=" &amp; $A79, Table2[AwayTeam], C$1)+SUMIFS(Table2[NewPointsHome],Table2[GameDate], "&lt;=" &amp; $A79, Table2[HomeTeam], C$1)</f>
        <v>22</v>
      </c>
      <c r="D79" s="145">
        <f>SUMIFS(Table2[NewPointsAway],Table2[GameDate], "&lt;=" &amp; $A79, Table2[AwayTeam], D$1)+SUMIFS(Table2[NewPointsHome],Table2[GameDate], "&lt;=" &amp; $A79, Table2[HomeTeam], D$1)</f>
        <v>14</v>
      </c>
      <c r="E79" s="145">
        <f>SUMIFS(Table2[NewPointsAway],Table2[GameDate], "&lt;=" &amp; $A79, Table2[AwayTeam], E$1)+SUMIFS(Table2[NewPointsHome],Table2[GameDate], "&lt;=" &amp; $A79, Table2[HomeTeam], E$1)</f>
        <v>22</v>
      </c>
      <c r="F79" s="145">
        <f>SUMIFS(Table2[NewPointsAway],Table2[GameDate], "&lt;=" &amp; $A79, Table2[AwayTeam], F$1)+SUMIFS(Table2[NewPointsHome],Table2[GameDate], "&lt;=" &amp; $A79, Table2[HomeTeam], F$1)</f>
        <v>17</v>
      </c>
      <c r="G79" s="145">
        <f>SUMIFS(Table2[NewPointsAway],Table2[GameDate], "&lt;=" &amp; $A79, Table2[AwayTeam], G$1)+SUMIFS(Table2[NewPointsHome],Table2[GameDate], "&lt;=" &amp; $A79, Table2[HomeTeam], G$1)</f>
        <v>10</v>
      </c>
      <c r="H79" s="145">
        <f>SUMIFS(Table2[NewPointsAway],Table2[GameDate], "&lt;=" &amp; $A79, Table2[AwayTeam], H$1)+SUMIFS(Table2[NewPointsHome],Table2[GameDate], "&lt;=" &amp; $A79, Table2[HomeTeam], H$1)</f>
        <v>19</v>
      </c>
      <c r="I79" s="145">
        <f>SUMIFS(Table2[NewPointsAway],Table2[GameDate], "&lt;=" &amp; $A79, Table2[AwayTeam], I$1)+SUMIFS(Table2[NewPointsHome],Table2[GameDate], "&lt;=" &amp; $A79, Table2[HomeTeam], I$1)</f>
        <v>27</v>
      </c>
      <c r="J79" s="145">
        <f>SUMIFS(Table2[NewPointsAway],Table2[GameDate], "&lt;=" &amp; $A79, Table2[AwayTeam], J$1)+SUMIFS(Table2[NewPointsHome],Table2[GameDate], "&lt;=" &amp; $A79, Table2[HomeTeam], J$1)</f>
        <v>23</v>
      </c>
      <c r="K79" s="145">
        <f>SUMIFS(Table2[NewPointsAway],Table2[GameDate], "&lt;=" &amp; $A79, Table2[AwayTeam], K$1)+SUMIFS(Table2[NewPointsHome],Table2[GameDate], "&lt;=" &amp; $A79, Table2[HomeTeam], K$1)</f>
        <v>18</v>
      </c>
      <c r="L79" s="145">
        <f>SUMIFS(Table2[NewPointsAway],Table2[GameDate], "&lt;=" &amp; $A79, Table2[AwayTeam], L$1)+SUMIFS(Table2[NewPointsHome],Table2[GameDate], "&lt;=" &amp; $A79, Table2[HomeTeam], L$1)</f>
        <v>20</v>
      </c>
      <c r="M79" s="145">
        <f>SUMIFS(Table2[NewPointsAway],Table2[GameDate], "&lt;=" &amp; $A79, Table2[AwayTeam], M$1)+SUMIFS(Table2[NewPointsHome],Table2[GameDate], "&lt;=" &amp; $A79, Table2[HomeTeam], M$1)</f>
        <v>17</v>
      </c>
      <c r="N79" s="145">
        <f>SUMIFS(Table2[NewPointsAway],Table2[GameDate], "&lt;=" &amp; $A79, Table2[AwayTeam], N$1)+SUMIFS(Table2[NewPointsHome],Table2[GameDate], "&lt;=" &amp; $A79, Table2[HomeTeam], N$1)</f>
        <v>20</v>
      </c>
      <c r="O79" s="145">
        <f>SUMIFS(Table2[NewPointsAway],Table2[GameDate], "&lt;=" &amp; $A79, Table2[AwayTeam], O$1)+SUMIFS(Table2[NewPointsHome],Table2[GameDate], "&lt;=" &amp; $A79, Table2[HomeTeam], O$1)</f>
        <v>18</v>
      </c>
      <c r="P79" s="145">
        <f>SUMIFS(Table2[NewPointsAway],Table2[GameDate], "&lt;=" &amp; $A79, Table2[AwayTeam], P$1)+SUMIFS(Table2[NewPointsHome],Table2[GameDate], "&lt;=" &amp; $A79, Table2[HomeTeam], P$1)</f>
        <v>22</v>
      </c>
      <c r="Q79" s="145">
        <f>SUMIFS(Table2[NewPointsAway],Table2[GameDate], "&lt;=" &amp; $A79, Table2[AwayTeam], Q$1)+SUMIFS(Table2[NewPointsHome],Table2[GameDate], "&lt;=" &amp; $A79, Table2[HomeTeam], Q$1)</f>
        <v>23</v>
      </c>
      <c r="R79" s="145">
        <f>SUMIFS(Table2[NewPointsAway],Table2[GameDate], "&lt;=" &amp; $A79, Table2[AwayTeam], R$1)+SUMIFS(Table2[NewPointsHome],Table2[GameDate], "&lt;=" &amp; $A79, Table2[HomeTeam], R$1)</f>
        <v>14</v>
      </c>
      <c r="S79" s="145">
        <f>SUMIFS(Table2[NewPointsAway],Table2[GameDate], "&lt;=" &amp; $A79, Table2[AwayTeam], S$1)+SUMIFS(Table2[NewPointsHome],Table2[GameDate], "&lt;=" &amp; $A79, Table2[HomeTeam], S$1)</f>
        <v>18</v>
      </c>
      <c r="T79" s="145">
        <f>SUMIFS(Table2[NewPointsAway],Table2[GameDate], "&lt;=" &amp; $A79, Table2[AwayTeam], T$1)+SUMIFS(Table2[NewPointsHome],Table2[GameDate], "&lt;=" &amp; $A79, Table2[HomeTeam], T$1)</f>
        <v>20</v>
      </c>
      <c r="U79" s="145">
        <f>SUMIFS(Table2[NewPointsAway],Table2[GameDate], "&lt;=" &amp; $A79, Table2[AwayTeam], U$1)+SUMIFS(Table2[NewPointsHome],Table2[GameDate], "&lt;=" &amp; $A79, Table2[HomeTeam], U$1)</f>
        <v>20</v>
      </c>
      <c r="V79" s="145">
        <f>SUMIFS(Table2[NewPointsAway],Table2[GameDate], "&lt;=" &amp; $A79, Table2[AwayTeam], V$1)+SUMIFS(Table2[NewPointsHome],Table2[GameDate], "&lt;=" &amp; $A79, Table2[HomeTeam], V$1)</f>
        <v>19</v>
      </c>
      <c r="W79" s="145">
        <f>SUMIFS(Table2[NewPointsAway],Table2[GameDate], "&lt;=" &amp; $A79, Table2[AwayTeam], W$1)+SUMIFS(Table2[NewPointsHome],Table2[GameDate], "&lt;=" &amp; $A79, Table2[HomeTeam], W$1)</f>
        <v>21</v>
      </c>
      <c r="X79" s="145">
        <f>SUMIFS(Table2[NewPointsAway],Table2[GameDate], "&lt;=" &amp; $A79, Table2[AwayTeam], X$1)+SUMIFS(Table2[NewPointsHome],Table2[GameDate], "&lt;=" &amp; $A79, Table2[HomeTeam], X$1)</f>
        <v>19</v>
      </c>
      <c r="Y79" s="145">
        <f>SUMIFS(Table2[NewPointsAway],Table2[GameDate], "&lt;=" &amp; $A79, Table2[AwayTeam], Y$1)+SUMIFS(Table2[NewPointsHome],Table2[GameDate], "&lt;=" &amp; $A79, Table2[HomeTeam], Y$1)</f>
        <v>19</v>
      </c>
      <c r="Z79" s="145">
        <f>SUMIFS(Table2[NewPointsAway],Table2[GameDate], "&lt;=" &amp; $A79, Table2[AwayTeam], Z$1)+SUMIFS(Table2[NewPointsHome],Table2[GameDate], "&lt;=" &amp; $A79, Table2[HomeTeam], Z$1)</f>
        <v>15</v>
      </c>
      <c r="AA79" s="145">
        <f>SUMIFS(Table2[NewPointsAway],Table2[GameDate], "&lt;=" &amp; $A79, Table2[AwayTeam], AA$1)+SUMIFS(Table2[NewPointsHome],Table2[GameDate], "&lt;=" &amp; $A79, Table2[HomeTeam], AA$1)</f>
        <v>18</v>
      </c>
      <c r="AB79" s="145">
        <f>SUMIFS(Table2[NewPointsAway],Table2[GameDate], "&lt;=" &amp; $A79, Table2[AwayTeam], AB$1)+SUMIFS(Table2[NewPointsHome],Table2[GameDate], "&lt;=" &amp; $A79, Table2[HomeTeam], AB$1)</f>
        <v>17</v>
      </c>
      <c r="AC79" s="145">
        <f>SUMIFS(Table2[NewPointsAway],Table2[GameDate], "&lt;=" &amp; $A79, Table2[AwayTeam], AC$1)+SUMIFS(Table2[NewPointsHome],Table2[GameDate], "&lt;=" &amp; $A79, Table2[HomeTeam], AC$1)</f>
        <v>18</v>
      </c>
      <c r="AD79" s="145">
        <f>SUMIFS(Table2[NewPointsAway],Table2[GameDate], "&lt;=" &amp; $A79, Table2[AwayTeam], AD$1)+SUMIFS(Table2[NewPointsHome],Table2[GameDate], "&lt;=" &amp; $A79, Table2[HomeTeam], AD$1)</f>
        <v>17</v>
      </c>
      <c r="AE79" s="145">
        <f>SUMIFS(Table2[NewPointsAway],Table2[GameDate], "&lt;=" &amp; $A79, Table2[AwayTeam], AE$1)+SUMIFS(Table2[NewPointsHome],Table2[GameDate], "&lt;=" &amp; $A79, Table2[HomeTeam], AE$1)</f>
        <v>18</v>
      </c>
      <c r="AF79" s="145">
        <f>SUMIFS(Table2[NewPointsAway],Table2[GameDate], "&lt;=" &amp; $A79, Table2[AwayTeam], AF$1)+SUMIFS(Table2[NewPointsHome],Table2[GameDate], "&lt;=" &amp; $A79, Table2[HomeTeam], AF$1)</f>
        <v>20</v>
      </c>
      <c r="AG79" s="145">
        <f>SUMIFS(Table2[NewPointsAway],Table2[GameDate], "&lt;=" &amp; $A79, Table2[AwayTeam], AG$1)+SUMIFS(Table2[NewPointsHome],Table2[GameDate], "&lt;=" &amp; $A79, Table2[HomeTeam], AG$1)</f>
        <v>17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23</v>
      </c>
      <c r="C80" s="145">
        <f>SUMIFS(Table2[NewPointsAway],Table2[GameDate], "&lt;=" &amp; $A80, Table2[AwayTeam], C$1)+SUMIFS(Table2[NewPointsHome],Table2[GameDate], "&lt;=" &amp; $A80, Table2[HomeTeam], C$1)</f>
        <v>22</v>
      </c>
      <c r="D80" s="145">
        <f>SUMIFS(Table2[NewPointsAway],Table2[GameDate], "&lt;=" &amp; $A80, Table2[AwayTeam], D$1)+SUMIFS(Table2[NewPointsHome],Table2[GameDate], "&lt;=" &amp; $A80, Table2[HomeTeam], D$1)</f>
        <v>14</v>
      </c>
      <c r="E80" s="145">
        <f>SUMIFS(Table2[NewPointsAway],Table2[GameDate], "&lt;=" &amp; $A80, Table2[AwayTeam], E$1)+SUMIFS(Table2[NewPointsHome],Table2[GameDate], "&lt;=" &amp; $A80, Table2[HomeTeam], E$1)</f>
        <v>22</v>
      </c>
      <c r="F80" s="145">
        <f>SUMIFS(Table2[NewPointsAway],Table2[GameDate], "&lt;=" &amp; $A80, Table2[AwayTeam], F$1)+SUMIFS(Table2[NewPointsHome],Table2[GameDate], "&lt;=" &amp; $A80, Table2[HomeTeam], F$1)</f>
        <v>17</v>
      </c>
      <c r="G80" s="145">
        <f>SUMIFS(Table2[NewPointsAway],Table2[GameDate], "&lt;=" &amp; $A80, Table2[AwayTeam], G$1)+SUMIFS(Table2[NewPointsHome],Table2[GameDate], "&lt;=" &amp; $A80, Table2[HomeTeam], G$1)</f>
        <v>10</v>
      </c>
      <c r="H80" s="145">
        <f>SUMIFS(Table2[NewPointsAway],Table2[GameDate], "&lt;=" &amp; $A80, Table2[AwayTeam], H$1)+SUMIFS(Table2[NewPointsHome],Table2[GameDate], "&lt;=" &amp; $A80, Table2[HomeTeam], H$1)</f>
        <v>19</v>
      </c>
      <c r="I80" s="145">
        <f>SUMIFS(Table2[NewPointsAway],Table2[GameDate], "&lt;=" &amp; $A80, Table2[AwayTeam], I$1)+SUMIFS(Table2[NewPointsHome],Table2[GameDate], "&lt;=" &amp; $A80, Table2[HomeTeam], I$1)</f>
        <v>27</v>
      </c>
      <c r="J80" s="145">
        <f>SUMIFS(Table2[NewPointsAway],Table2[GameDate], "&lt;=" &amp; $A80, Table2[AwayTeam], J$1)+SUMIFS(Table2[NewPointsHome],Table2[GameDate], "&lt;=" &amp; $A80, Table2[HomeTeam], J$1)</f>
        <v>23</v>
      </c>
      <c r="K80" s="145">
        <f>SUMIFS(Table2[NewPointsAway],Table2[GameDate], "&lt;=" &amp; $A80, Table2[AwayTeam], K$1)+SUMIFS(Table2[NewPointsHome],Table2[GameDate], "&lt;=" &amp; $A80, Table2[HomeTeam], K$1)</f>
        <v>18</v>
      </c>
      <c r="L80" s="145">
        <f>SUMIFS(Table2[NewPointsAway],Table2[GameDate], "&lt;=" &amp; $A80, Table2[AwayTeam], L$1)+SUMIFS(Table2[NewPointsHome],Table2[GameDate], "&lt;=" &amp; $A80, Table2[HomeTeam], L$1)</f>
        <v>20</v>
      </c>
      <c r="M80" s="145">
        <f>SUMIFS(Table2[NewPointsAway],Table2[GameDate], "&lt;=" &amp; $A80, Table2[AwayTeam], M$1)+SUMIFS(Table2[NewPointsHome],Table2[GameDate], "&lt;=" &amp; $A80, Table2[HomeTeam], M$1)</f>
        <v>17</v>
      </c>
      <c r="N80" s="145">
        <f>SUMIFS(Table2[NewPointsAway],Table2[GameDate], "&lt;=" &amp; $A80, Table2[AwayTeam], N$1)+SUMIFS(Table2[NewPointsHome],Table2[GameDate], "&lt;=" &amp; $A80, Table2[HomeTeam], N$1)</f>
        <v>20</v>
      </c>
      <c r="O80" s="145">
        <f>SUMIFS(Table2[NewPointsAway],Table2[GameDate], "&lt;=" &amp; $A80, Table2[AwayTeam], O$1)+SUMIFS(Table2[NewPointsHome],Table2[GameDate], "&lt;=" &amp; $A80, Table2[HomeTeam], O$1)</f>
        <v>18</v>
      </c>
      <c r="P80" s="145">
        <f>SUMIFS(Table2[NewPointsAway],Table2[GameDate], "&lt;=" &amp; $A80, Table2[AwayTeam], P$1)+SUMIFS(Table2[NewPointsHome],Table2[GameDate], "&lt;=" &amp; $A80, Table2[HomeTeam], P$1)</f>
        <v>22</v>
      </c>
      <c r="Q80" s="145">
        <f>SUMIFS(Table2[NewPointsAway],Table2[GameDate], "&lt;=" &amp; $A80, Table2[AwayTeam], Q$1)+SUMIFS(Table2[NewPointsHome],Table2[GameDate], "&lt;=" &amp; $A80, Table2[HomeTeam], Q$1)</f>
        <v>23</v>
      </c>
      <c r="R80" s="145">
        <f>SUMIFS(Table2[NewPointsAway],Table2[GameDate], "&lt;=" &amp; $A80, Table2[AwayTeam], R$1)+SUMIFS(Table2[NewPointsHome],Table2[GameDate], "&lt;=" &amp; $A80, Table2[HomeTeam], R$1)</f>
        <v>14</v>
      </c>
      <c r="S80" s="145">
        <f>SUMIFS(Table2[NewPointsAway],Table2[GameDate], "&lt;=" &amp; $A80, Table2[AwayTeam], S$1)+SUMIFS(Table2[NewPointsHome],Table2[GameDate], "&lt;=" &amp; $A80, Table2[HomeTeam], S$1)</f>
        <v>18</v>
      </c>
      <c r="T80" s="145">
        <f>SUMIFS(Table2[NewPointsAway],Table2[GameDate], "&lt;=" &amp; $A80, Table2[AwayTeam], T$1)+SUMIFS(Table2[NewPointsHome],Table2[GameDate], "&lt;=" &amp; $A80, Table2[HomeTeam], T$1)</f>
        <v>20</v>
      </c>
      <c r="U80" s="145">
        <f>SUMIFS(Table2[NewPointsAway],Table2[GameDate], "&lt;=" &amp; $A80, Table2[AwayTeam], U$1)+SUMIFS(Table2[NewPointsHome],Table2[GameDate], "&lt;=" &amp; $A80, Table2[HomeTeam], U$1)</f>
        <v>20</v>
      </c>
      <c r="V80" s="145">
        <f>SUMIFS(Table2[NewPointsAway],Table2[GameDate], "&lt;=" &amp; $A80, Table2[AwayTeam], V$1)+SUMIFS(Table2[NewPointsHome],Table2[GameDate], "&lt;=" &amp; $A80, Table2[HomeTeam], V$1)</f>
        <v>19</v>
      </c>
      <c r="W80" s="145">
        <f>SUMIFS(Table2[NewPointsAway],Table2[GameDate], "&lt;=" &amp; $A80, Table2[AwayTeam], W$1)+SUMIFS(Table2[NewPointsHome],Table2[GameDate], "&lt;=" &amp; $A80, Table2[HomeTeam], W$1)</f>
        <v>21</v>
      </c>
      <c r="X80" s="145">
        <f>SUMIFS(Table2[NewPointsAway],Table2[GameDate], "&lt;=" &amp; $A80, Table2[AwayTeam], X$1)+SUMIFS(Table2[NewPointsHome],Table2[GameDate], "&lt;=" &amp; $A80, Table2[HomeTeam], X$1)</f>
        <v>19</v>
      </c>
      <c r="Y80" s="145">
        <f>SUMIFS(Table2[NewPointsAway],Table2[GameDate], "&lt;=" &amp; $A80, Table2[AwayTeam], Y$1)+SUMIFS(Table2[NewPointsHome],Table2[GameDate], "&lt;=" &amp; $A80, Table2[HomeTeam], Y$1)</f>
        <v>19</v>
      </c>
      <c r="Z80" s="145">
        <f>SUMIFS(Table2[NewPointsAway],Table2[GameDate], "&lt;=" &amp; $A80, Table2[AwayTeam], Z$1)+SUMIFS(Table2[NewPointsHome],Table2[GameDate], "&lt;=" &amp; $A80, Table2[HomeTeam], Z$1)</f>
        <v>15</v>
      </c>
      <c r="AA80" s="145">
        <f>SUMIFS(Table2[NewPointsAway],Table2[GameDate], "&lt;=" &amp; $A80, Table2[AwayTeam], AA$1)+SUMIFS(Table2[NewPointsHome],Table2[GameDate], "&lt;=" &amp; $A80, Table2[HomeTeam], AA$1)</f>
        <v>18</v>
      </c>
      <c r="AB80" s="145">
        <f>SUMIFS(Table2[NewPointsAway],Table2[GameDate], "&lt;=" &amp; $A80, Table2[AwayTeam], AB$1)+SUMIFS(Table2[NewPointsHome],Table2[GameDate], "&lt;=" &amp; $A80, Table2[HomeTeam], AB$1)</f>
        <v>17</v>
      </c>
      <c r="AC80" s="145">
        <f>SUMIFS(Table2[NewPointsAway],Table2[GameDate], "&lt;=" &amp; $A80, Table2[AwayTeam], AC$1)+SUMIFS(Table2[NewPointsHome],Table2[GameDate], "&lt;=" &amp; $A80, Table2[HomeTeam], AC$1)</f>
        <v>18</v>
      </c>
      <c r="AD80" s="145">
        <f>SUMIFS(Table2[NewPointsAway],Table2[GameDate], "&lt;=" &amp; $A80, Table2[AwayTeam], AD$1)+SUMIFS(Table2[NewPointsHome],Table2[GameDate], "&lt;=" &amp; $A80, Table2[HomeTeam], AD$1)</f>
        <v>17</v>
      </c>
      <c r="AE80" s="145">
        <f>SUMIFS(Table2[NewPointsAway],Table2[GameDate], "&lt;=" &amp; $A80, Table2[AwayTeam], AE$1)+SUMIFS(Table2[NewPointsHome],Table2[GameDate], "&lt;=" &amp; $A80, Table2[HomeTeam], AE$1)</f>
        <v>18</v>
      </c>
      <c r="AF80" s="145">
        <f>SUMIFS(Table2[NewPointsAway],Table2[GameDate], "&lt;=" &amp; $A80, Table2[AwayTeam], AF$1)+SUMIFS(Table2[NewPointsHome],Table2[GameDate], "&lt;=" &amp; $A80, Table2[HomeTeam], AF$1)</f>
        <v>20</v>
      </c>
      <c r="AG80" s="145">
        <f>SUMIFS(Table2[NewPointsAway],Table2[GameDate], "&lt;=" &amp; $A80, Table2[AwayTeam], AG$1)+SUMIFS(Table2[NewPointsHome],Table2[GameDate], "&lt;=" &amp; $A80, Table2[HomeTeam], AG$1)</f>
        <v>17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23</v>
      </c>
      <c r="C81" s="145">
        <f>SUMIFS(Table2[NewPointsAway],Table2[GameDate], "&lt;=" &amp; $A81, Table2[AwayTeam], C$1)+SUMIFS(Table2[NewPointsHome],Table2[GameDate], "&lt;=" &amp; $A81, Table2[HomeTeam], C$1)</f>
        <v>22</v>
      </c>
      <c r="D81" s="145">
        <f>SUMIFS(Table2[NewPointsAway],Table2[GameDate], "&lt;=" &amp; $A81, Table2[AwayTeam], D$1)+SUMIFS(Table2[NewPointsHome],Table2[GameDate], "&lt;=" &amp; $A81, Table2[HomeTeam], D$1)</f>
        <v>14</v>
      </c>
      <c r="E81" s="145">
        <f>SUMIFS(Table2[NewPointsAway],Table2[GameDate], "&lt;=" &amp; $A81, Table2[AwayTeam], E$1)+SUMIFS(Table2[NewPointsHome],Table2[GameDate], "&lt;=" &amp; $A81, Table2[HomeTeam], E$1)</f>
        <v>22</v>
      </c>
      <c r="F81" s="145">
        <f>SUMIFS(Table2[NewPointsAway],Table2[GameDate], "&lt;=" &amp; $A81, Table2[AwayTeam], F$1)+SUMIFS(Table2[NewPointsHome],Table2[GameDate], "&lt;=" &amp; $A81, Table2[HomeTeam], F$1)</f>
        <v>17</v>
      </c>
      <c r="G81" s="145">
        <f>SUMIFS(Table2[NewPointsAway],Table2[GameDate], "&lt;=" &amp; $A81, Table2[AwayTeam], G$1)+SUMIFS(Table2[NewPointsHome],Table2[GameDate], "&lt;=" &amp; $A81, Table2[HomeTeam], G$1)</f>
        <v>10</v>
      </c>
      <c r="H81" s="145">
        <f>SUMIFS(Table2[NewPointsAway],Table2[GameDate], "&lt;=" &amp; $A81, Table2[AwayTeam], H$1)+SUMIFS(Table2[NewPointsHome],Table2[GameDate], "&lt;=" &amp; $A81, Table2[HomeTeam], H$1)</f>
        <v>19</v>
      </c>
      <c r="I81" s="145">
        <f>SUMIFS(Table2[NewPointsAway],Table2[GameDate], "&lt;=" &amp; $A81, Table2[AwayTeam], I$1)+SUMIFS(Table2[NewPointsHome],Table2[GameDate], "&lt;=" &amp; $A81, Table2[HomeTeam], I$1)</f>
        <v>27</v>
      </c>
      <c r="J81" s="145">
        <f>SUMIFS(Table2[NewPointsAway],Table2[GameDate], "&lt;=" &amp; $A81, Table2[AwayTeam], J$1)+SUMIFS(Table2[NewPointsHome],Table2[GameDate], "&lt;=" &amp; $A81, Table2[HomeTeam], J$1)</f>
        <v>23</v>
      </c>
      <c r="K81" s="145">
        <f>SUMIFS(Table2[NewPointsAway],Table2[GameDate], "&lt;=" &amp; $A81, Table2[AwayTeam], K$1)+SUMIFS(Table2[NewPointsHome],Table2[GameDate], "&lt;=" &amp; $A81, Table2[HomeTeam], K$1)</f>
        <v>18</v>
      </c>
      <c r="L81" s="145">
        <f>SUMIFS(Table2[NewPointsAway],Table2[GameDate], "&lt;=" &amp; $A81, Table2[AwayTeam], L$1)+SUMIFS(Table2[NewPointsHome],Table2[GameDate], "&lt;=" &amp; $A81, Table2[HomeTeam], L$1)</f>
        <v>20</v>
      </c>
      <c r="M81" s="145">
        <f>SUMIFS(Table2[NewPointsAway],Table2[GameDate], "&lt;=" &amp; $A81, Table2[AwayTeam], M$1)+SUMIFS(Table2[NewPointsHome],Table2[GameDate], "&lt;=" &amp; $A81, Table2[HomeTeam], M$1)</f>
        <v>17</v>
      </c>
      <c r="N81" s="145">
        <f>SUMIFS(Table2[NewPointsAway],Table2[GameDate], "&lt;=" &amp; $A81, Table2[AwayTeam], N$1)+SUMIFS(Table2[NewPointsHome],Table2[GameDate], "&lt;=" &amp; $A81, Table2[HomeTeam], N$1)</f>
        <v>20</v>
      </c>
      <c r="O81" s="145">
        <f>SUMIFS(Table2[NewPointsAway],Table2[GameDate], "&lt;=" &amp; $A81, Table2[AwayTeam], O$1)+SUMIFS(Table2[NewPointsHome],Table2[GameDate], "&lt;=" &amp; $A81, Table2[HomeTeam], O$1)</f>
        <v>18</v>
      </c>
      <c r="P81" s="145">
        <f>SUMIFS(Table2[NewPointsAway],Table2[GameDate], "&lt;=" &amp; $A81, Table2[AwayTeam], P$1)+SUMIFS(Table2[NewPointsHome],Table2[GameDate], "&lt;=" &amp; $A81, Table2[HomeTeam], P$1)</f>
        <v>22</v>
      </c>
      <c r="Q81" s="145">
        <f>SUMIFS(Table2[NewPointsAway],Table2[GameDate], "&lt;=" &amp; $A81, Table2[AwayTeam], Q$1)+SUMIFS(Table2[NewPointsHome],Table2[GameDate], "&lt;=" &amp; $A81, Table2[HomeTeam], Q$1)</f>
        <v>23</v>
      </c>
      <c r="R81" s="145">
        <f>SUMIFS(Table2[NewPointsAway],Table2[GameDate], "&lt;=" &amp; $A81, Table2[AwayTeam], R$1)+SUMIFS(Table2[NewPointsHome],Table2[GameDate], "&lt;=" &amp; $A81, Table2[HomeTeam], R$1)</f>
        <v>14</v>
      </c>
      <c r="S81" s="145">
        <f>SUMIFS(Table2[NewPointsAway],Table2[GameDate], "&lt;=" &amp; $A81, Table2[AwayTeam], S$1)+SUMIFS(Table2[NewPointsHome],Table2[GameDate], "&lt;=" &amp; $A81, Table2[HomeTeam], S$1)</f>
        <v>18</v>
      </c>
      <c r="T81" s="145">
        <f>SUMIFS(Table2[NewPointsAway],Table2[GameDate], "&lt;=" &amp; $A81, Table2[AwayTeam], T$1)+SUMIFS(Table2[NewPointsHome],Table2[GameDate], "&lt;=" &amp; $A81, Table2[HomeTeam], T$1)</f>
        <v>20</v>
      </c>
      <c r="U81" s="145">
        <f>SUMIFS(Table2[NewPointsAway],Table2[GameDate], "&lt;=" &amp; $A81, Table2[AwayTeam], U$1)+SUMIFS(Table2[NewPointsHome],Table2[GameDate], "&lt;=" &amp; $A81, Table2[HomeTeam], U$1)</f>
        <v>20</v>
      </c>
      <c r="V81" s="145">
        <f>SUMIFS(Table2[NewPointsAway],Table2[GameDate], "&lt;=" &amp; $A81, Table2[AwayTeam], V$1)+SUMIFS(Table2[NewPointsHome],Table2[GameDate], "&lt;=" &amp; $A81, Table2[HomeTeam], V$1)</f>
        <v>19</v>
      </c>
      <c r="W81" s="145">
        <f>SUMIFS(Table2[NewPointsAway],Table2[GameDate], "&lt;=" &amp; $A81, Table2[AwayTeam], W$1)+SUMIFS(Table2[NewPointsHome],Table2[GameDate], "&lt;=" &amp; $A81, Table2[HomeTeam], W$1)</f>
        <v>21</v>
      </c>
      <c r="X81" s="145">
        <f>SUMIFS(Table2[NewPointsAway],Table2[GameDate], "&lt;=" &amp; $A81, Table2[AwayTeam], X$1)+SUMIFS(Table2[NewPointsHome],Table2[GameDate], "&lt;=" &amp; $A81, Table2[HomeTeam], X$1)</f>
        <v>19</v>
      </c>
      <c r="Y81" s="145">
        <f>SUMIFS(Table2[NewPointsAway],Table2[GameDate], "&lt;=" &amp; $A81, Table2[AwayTeam], Y$1)+SUMIFS(Table2[NewPointsHome],Table2[GameDate], "&lt;=" &amp; $A81, Table2[HomeTeam], Y$1)</f>
        <v>19</v>
      </c>
      <c r="Z81" s="145">
        <f>SUMIFS(Table2[NewPointsAway],Table2[GameDate], "&lt;=" &amp; $A81, Table2[AwayTeam], Z$1)+SUMIFS(Table2[NewPointsHome],Table2[GameDate], "&lt;=" &amp; $A81, Table2[HomeTeam], Z$1)</f>
        <v>15</v>
      </c>
      <c r="AA81" s="145">
        <f>SUMIFS(Table2[NewPointsAway],Table2[GameDate], "&lt;=" &amp; $A81, Table2[AwayTeam], AA$1)+SUMIFS(Table2[NewPointsHome],Table2[GameDate], "&lt;=" &amp; $A81, Table2[HomeTeam], AA$1)</f>
        <v>18</v>
      </c>
      <c r="AB81" s="145">
        <f>SUMIFS(Table2[NewPointsAway],Table2[GameDate], "&lt;=" &amp; $A81, Table2[AwayTeam], AB$1)+SUMIFS(Table2[NewPointsHome],Table2[GameDate], "&lt;=" &amp; $A81, Table2[HomeTeam], AB$1)</f>
        <v>17</v>
      </c>
      <c r="AC81" s="145">
        <f>SUMIFS(Table2[NewPointsAway],Table2[GameDate], "&lt;=" &amp; $A81, Table2[AwayTeam], AC$1)+SUMIFS(Table2[NewPointsHome],Table2[GameDate], "&lt;=" &amp; $A81, Table2[HomeTeam], AC$1)</f>
        <v>18</v>
      </c>
      <c r="AD81" s="145">
        <f>SUMIFS(Table2[NewPointsAway],Table2[GameDate], "&lt;=" &amp; $A81, Table2[AwayTeam], AD$1)+SUMIFS(Table2[NewPointsHome],Table2[GameDate], "&lt;=" &amp; $A81, Table2[HomeTeam], AD$1)</f>
        <v>17</v>
      </c>
      <c r="AE81" s="145">
        <f>SUMIFS(Table2[NewPointsAway],Table2[GameDate], "&lt;=" &amp; $A81, Table2[AwayTeam], AE$1)+SUMIFS(Table2[NewPointsHome],Table2[GameDate], "&lt;=" &amp; $A81, Table2[HomeTeam], AE$1)</f>
        <v>18</v>
      </c>
      <c r="AF81" s="145">
        <f>SUMIFS(Table2[NewPointsAway],Table2[GameDate], "&lt;=" &amp; $A81, Table2[AwayTeam], AF$1)+SUMIFS(Table2[NewPointsHome],Table2[GameDate], "&lt;=" &amp; $A81, Table2[HomeTeam], AF$1)</f>
        <v>20</v>
      </c>
      <c r="AG81" s="145">
        <f>SUMIFS(Table2[NewPointsAway],Table2[GameDate], "&lt;=" &amp; $A81, Table2[AwayTeam], AG$1)+SUMIFS(Table2[NewPointsHome],Table2[GameDate], "&lt;=" &amp; $A81, Table2[HomeTeam], AG$1)</f>
        <v>17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23</v>
      </c>
      <c r="C82" s="145">
        <f>SUMIFS(Table2[NewPointsAway],Table2[GameDate], "&lt;=" &amp; $A82, Table2[AwayTeam], C$1)+SUMIFS(Table2[NewPointsHome],Table2[GameDate], "&lt;=" &amp; $A82, Table2[HomeTeam], C$1)</f>
        <v>22</v>
      </c>
      <c r="D82" s="145">
        <f>SUMIFS(Table2[NewPointsAway],Table2[GameDate], "&lt;=" &amp; $A82, Table2[AwayTeam], D$1)+SUMIFS(Table2[NewPointsHome],Table2[GameDate], "&lt;=" &amp; $A82, Table2[HomeTeam], D$1)</f>
        <v>14</v>
      </c>
      <c r="E82" s="145">
        <f>SUMIFS(Table2[NewPointsAway],Table2[GameDate], "&lt;=" &amp; $A82, Table2[AwayTeam], E$1)+SUMIFS(Table2[NewPointsHome],Table2[GameDate], "&lt;=" &amp; $A82, Table2[HomeTeam], E$1)</f>
        <v>22</v>
      </c>
      <c r="F82" s="145">
        <f>SUMIFS(Table2[NewPointsAway],Table2[GameDate], "&lt;=" &amp; $A82, Table2[AwayTeam], F$1)+SUMIFS(Table2[NewPointsHome],Table2[GameDate], "&lt;=" &amp; $A82, Table2[HomeTeam], F$1)</f>
        <v>17</v>
      </c>
      <c r="G82" s="145">
        <f>SUMIFS(Table2[NewPointsAway],Table2[GameDate], "&lt;=" &amp; $A82, Table2[AwayTeam], G$1)+SUMIFS(Table2[NewPointsHome],Table2[GameDate], "&lt;=" &amp; $A82, Table2[HomeTeam], G$1)</f>
        <v>10</v>
      </c>
      <c r="H82" s="145">
        <f>SUMIFS(Table2[NewPointsAway],Table2[GameDate], "&lt;=" &amp; $A82, Table2[AwayTeam], H$1)+SUMIFS(Table2[NewPointsHome],Table2[GameDate], "&lt;=" &amp; $A82, Table2[HomeTeam], H$1)</f>
        <v>19</v>
      </c>
      <c r="I82" s="145">
        <f>SUMIFS(Table2[NewPointsAway],Table2[GameDate], "&lt;=" &amp; $A82, Table2[AwayTeam], I$1)+SUMIFS(Table2[NewPointsHome],Table2[GameDate], "&lt;=" &amp; $A82, Table2[HomeTeam], I$1)</f>
        <v>27</v>
      </c>
      <c r="J82" s="145">
        <f>SUMIFS(Table2[NewPointsAway],Table2[GameDate], "&lt;=" &amp; $A82, Table2[AwayTeam], J$1)+SUMIFS(Table2[NewPointsHome],Table2[GameDate], "&lt;=" &amp; $A82, Table2[HomeTeam], J$1)</f>
        <v>23</v>
      </c>
      <c r="K82" s="145">
        <f>SUMIFS(Table2[NewPointsAway],Table2[GameDate], "&lt;=" &amp; $A82, Table2[AwayTeam], K$1)+SUMIFS(Table2[NewPointsHome],Table2[GameDate], "&lt;=" &amp; $A82, Table2[HomeTeam], K$1)</f>
        <v>18</v>
      </c>
      <c r="L82" s="145">
        <f>SUMIFS(Table2[NewPointsAway],Table2[GameDate], "&lt;=" &amp; $A82, Table2[AwayTeam], L$1)+SUMIFS(Table2[NewPointsHome],Table2[GameDate], "&lt;=" &amp; $A82, Table2[HomeTeam], L$1)</f>
        <v>20</v>
      </c>
      <c r="M82" s="145">
        <f>SUMIFS(Table2[NewPointsAway],Table2[GameDate], "&lt;=" &amp; $A82, Table2[AwayTeam], M$1)+SUMIFS(Table2[NewPointsHome],Table2[GameDate], "&lt;=" &amp; $A82, Table2[HomeTeam], M$1)</f>
        <v>17</v>
      </c>
      <c r="N82" s="145">
        <f>SUMIFS(Table2[NewPointsAway],Table2[GameDate], "&lt;=" &amp; $A82, Table2[AwayTeam], N$1)+SUMIFS(Table2[NewPointsHome],Table2[GameDate], "&lt;=" &amp; $A82, Table2[HomeTeam], N$1)</f>
        <v>20</v>
      </c>
      <c r="O82" s="145">
        <f>SUMIFS(Table2[NewPointsAway],Table2[GameDate], "&lt;=" &amp; $A82, Table2[AwayTeam], O$1)+SUMIFS(Table2[NewPointsHome],Table2[GameDate], "&lt;=" &amp; $A82, Table2[HomeTeam], O$1)</f>
        <v>18</v>
      </c>
      <c r="P82" s="145">
        <f>SUMIFS(Table2[NewPointsAway],Table2[GameDate], "&lt;=" &amp; $A82, Table2[AwayTeam], P$1)+SUMIFS(Table2[NewPointsHome],Table2[GameDate], "&lt;=" &amp; $A82, Table2[HomeTeam], P$1)</f>
        <v>22</v>
      </c>
      <c r="Q82" s="145">
        <f>SUMIFS(Table2[NewPointsAway],Table2[GameDate], "&lt;=" &amp; $A82, Table2[AwayTeam], Q$1)+SUMIFS(Table2[NewPointsHome],Table2[GameDate], "&lt;=" &amp; $A82, Table2[HomeTeam], Q$1)</f>
        <v>23</v>
      </c>
      <c r="R82" s="145">
        <f>SUMIFS(Table2[NewPointsAway],Table2[GameDate], "&lt;=" &amp; $A82, Table2[AwayTeam], R$1)+SUMIFS(Table2[NewPointsHome],Table2[GameDate], "&lt;=" &amp; $A82, Table2[HomeTeam], R$1)</f>
        <v>14</v>
      </c>
      <c r="S82" s="145">
        <f>SUMIFS(Table2[NewPointsAway],Table2[GameDate], "&lt;=" &amp; $A82, Table2[AwayTeam], S$1)+SUMIFS(Table2[NewPointsHome],Table2[GameDate], "&lt;=" &amp; $A82, Table2[HomeTeam], S$1)</f>
        <v>18</v>
      </c>
      <c r="T82" s="145">
        <f>SUMIFS(Table2[NewPointsAway],Table2[GameDate], "&lt;=" &amp; $A82, Table2[AwayTeam], T$1)+SUMIFS(Table2[NewPointsHome],Table2[GameDate], "&lt;=" &amp; $A82, Table2[HomeTeam], T$1)</f>
        <v>20</v>
      </c>
      <c r="U82" s="145">
        <f>SUMIFS(Table2[NewPointsAway],Table2[GameDate], "&lt;=" &amp; $A82, Table2[AwayTeam], U$1)+SUMIFS(Table2[NewPointsHome],Table2[GameDate], "&lt;=" &amp; $A82, Table2[HomeTeam], U$1)</f>
        <v>20</v>
      </c>
      <c r="V82" s="145">
        <f>SUMIFS(Table2[NewPointsAway],Table2[GameDate], "&lt;=" &amp; $A82, Table2[AwayTeam], V$1)+SUMIFS(Table2[NewPointsHome],Table2[GameDate], "&lt;=" &amp; $A82, Table2[HomeTeam], V$1)</f>
        <v>19</v>
      </c>
      <c r="W82" s="145">
        <f>SUMIFS(Table2[NewPointsAway],Table2[GameDate], "&lt;=" &amp; $A82, Table2[AwayTeam], W$1)+SUMIFS(Table2[NewPointsHome],Table2[GameDate], "&lt;=" &amp; $A82, Table2[HomeTeam], W$1)</f>
        <v>21</v>
      </c>
      <c r="X82" s="145">
        <f>SUMIFS(Table2[NewPointsAway],Table2[GameDate], "&lt;=" &amp; $A82, Table2[AwayTeam], X$1)+SUMIFS(Table2[NewPointsHome],Table2[GameDate], "&lt;=" &amp; $A82, Table2[HomeTeam], X$1)</f>
        <v>19</v>
      </c>
      <c r="Y82" s="145">
        <f>SUMIFS(Table2[NewPointsAway],Table2[GameDate], "&lt;=" &amp; $A82, Table2[AwayTeam], Y$1)+SUMIFS(Table2[NewPointsHome],Table2[GameDate], "&lt;=" &amp; $A82, Table2[HomeTeam], Y$1)</f>
        <v>19</v>
      </c>
      <c r="Z82" s="145">
        <f>SUMIFS(Table2[NewPointsAway],Table2[GameDate], "&lt;=" &amp; $A82, Table2[AwayTeam], Z$1)+SUMIFS(Table2[NewPointsHome],Table2[GameDate], "&lt;=" &amp; $A82, Table2[HomeTeam], Z$1)</f>
        <v>15</v>
      </c>
      <c r="AA82" s="145">
        <f>SUMIFS(Table2[NewPointsAway],Table2[GameDate], "&lt;=" &amp; $A82, Table2[AwayTeam], AA$1)+SUMIFS(Table2[NewPointsHome],Table2[GameDate], "&lt;=" &amp; $A82, Table2[HomeTeam], AA$1)</f>
        <v>18</v>
      </c>
      <c r="AB82" s="145">
        <f>SUMIFS(Table2[NewPointsAway],Table2[GameDate], "&lt;=" &amp; $A82, Table2[AwayTeam], AB$1)+SUMIFS(Table2[NewPointsHome],Table2[GameDate], "&lt;=" &amp; $A82, Table2[HomeTeam], AB$1)</f>
        <v>17</v>
      </c>
      <c r="AC82" s="145">
        <f>SUMIFS(Table2[NewPointsAway],Table2[GameDate], "&lt;=" &amp; $A82, Table2[AwayTeam], AC$1)+SUMIFS(Table2[NewPointsHome],Table2[GameDate], "&lt;=" &amp; $A82, Table2[HomeTeam], AC$1)</f>
        <v>18</v>
      </c>
      <c r="AD82" s="145">
        <f>SUMIFS(Table2[NewPointsAway],Table2[GameDate], "&lt;=" &amp; $A82, Table2[AwayTeam], AD$1)+SUMIFS(Table2[NewPointsHome],Table2[GameDate], "&lt;=" &amp; $A82, Table2[HomeTeam], AD$1)</f>
        <v>17</v>
      </c>
      <c r="AE82" s="145">
        <f>SUMIFS(Table2[NewPointsAway],Table2[GameDate], "&lt;=" &amp; $A82, Table2[AwayTeam], AE$1)+SUMIFS(Table2[NewPointsHome],Table2[GameDate], "&lt;=" &amp; $A82, Table2[HomeTeam], AE$1)</f>
        <v>18</v>
      </c>
      <c r="AF82" s="145">
        <f>SUMIFS(Table2[NewPointsAway],Table2[GameDate], "&lt;=" &amp; $A82, Table2[AwayTeam], AF$1)+SUMIFS(Table2[NewPointsHome],Table2[GameDate], "&lt;=" &amp; $A82, Table2[HomeTeam], AF$1)</f>
        <v>20</v>
      </c>
      <c r="AG82" s="145">
        <f>SUMIFS(Table2[NewPointsAway],Table2[GameDate], "&lt;=" &amp; $A82, Table2[AwayTeam], AG$1)+SUMIFS(Table2[NewPointsHome],Table2[GameDate], "&lt;=" &amp; $A82, Table2[HomeTeam], AG$1)</f>
        <v>17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23</v>
      </c>
      <c r="C83" s="145">
        <f>SUMIFS(Table2[NewPointsAway],Table2[GameDate], "&lt;=" &amp; $A83, Table2[AwayTeam], C$1)+SUMIFS(Table2[NewPointsHome],Table2[GameDate], "&lt;=" &amp; $A83, Table2[HomeTeam], C$1)</f>
        <v>22</v>
      </c>
      <c r="D83" s="145">
        <f>SUMIFS(Table2[NewPointsAway],Table2[GameDate], "&lt;=" &amp; $A83, Table2[AwayTeam], D$1)+SUMIFS(Table2[NewPointsHome],Table2[GameDate], "&lt;=" &amp; $A83, Table2[HomeTeam], D$1)</f>
        <v>14</v>
      </c>
      <c r="E83" s="145">
        <f>SUMIFS(Table2[NewPointsAway],Table2[GameDate], "&lt;=" &amp; $A83, Table2[AwayTeam], E$1)+SUMIFS(Table2[NewPointsHome],Table2[GameDate], "&lt;=" &amp; $A83, Table2[HomeTeam], E$1)</f>
        <v>22</v>
      </c>
      <c r="F83" s="145">
        <f>SUMIFS(Table2[NewPointsAway],Table2[GameDate], "&lt;=" &amp; $A83, Table2[AwayTeam], F$1)+SUMIFS(Table2[NewPointsHome],Table2[GameDate], "&lt;=" &amp; $A83, Table2[HomeTeam], F$1)</f>
        <v>17</v>
      </c>
      <c r="G83" s="145">
        <f>SUMIFS(Table2[NewPointsAway],Table2[GameDate], "&lt;=" &amp; $A83, Table2[AwayTeam], G$1)+SUMIFS(Table2[NewPointsHome],Table2[GameDate], "&lt;=" &amp; $A83, Table2[HomeTeam], G$1)</f>
        <v>10</v>
      </c>
      <c r="H83" s="145">
        <f>SUMIFS(Table2[NewPointsAway],Table2[GameDate], "&lt;=" &amp; $A83, Table2[AwayTeam], H$1)+SUMIFS(Table2[NewPointsHome],Table2[GameDate], "&lt;=" &amp; $A83, Table2[HomeTeam], H$1)</f>
        <v>19</v>
      </c>
      <c r="I83" s="145">
        <f>SUMIFS(Table2[NewPointsAway],Table2[GameDate], "&lt;=" &amp; $A83, Table2[AwayTeam], I$1)+SUMIFS(Table2[NewPointsHome],Table2[GameDate], "&lt;=" &amp; $A83, Table2[HomeTeam], I$1)</f>
        <v>27</v>
      </c>
      <c r="J83" s="145">
        <f>SUMIFS(Table2[NewPointsAway],Table2[GameDate], "&lt;=" &amp; $A83, Table2[AwayTeam], J$1)+SUMIFS(Table2[NewPointsHome],Table2[GameDate], "&lt;=" &amp; $A83, Table2[HomeTeam], J$1)</f>
        <v>23</v>
      </c>
      <c r="K83" s="145">
        <f>SUMIFS(Table2[NewPointsAway],Table2[GameDate], "&lt;=" &amp; $A83, Table2[AwayTeam], K$1)+SUMIFS(Table2[NewPointsHome],Table2[GameDate], "&lt;=" &amp; $A83, Table2[HomeTeam], K$1)</f>
        <v>18</v>
      </c>
      <c r="L83" s="145">
        <f>SUMIFS(Table2[NewPointsAway],Table2[GameDate], "&lt;=" &amp; $A83, Table2[AwayTeam], L$1)+SUMIFS(Table2[NewPointsHome],Table2[GameDate], "&lt;=" &amp; $A83, Table2[HomeTeam], L$1)</f>
        <v>20</v>
      </c>
      <c r="M83" s="145">
        <f>SUMIFS(Table2[NewPointsAway],Table2[GameDate], "&lt;=" &amp; $A83, Table2[AwayTeam], M$1)+SUMIFS(Table2[NewPointsHome],Table2[GameDate], "&lt;=" &amp; $A83, Table2[HomeTeam], M$1)</f>
        <v>17</v>
      </c>
      <c r="N83" s="145">
        <f>SUMIFS(Table2[NewPointsAway],Table2[GameDate], "&lt;=" &amp; $A83, Table2[AwayTeam], N$1)+SUMIFS(Table2[NewPointsHome],Table2[GameDate], "&lt;=" &amp; $A83, Table2[HomeTeam], N$1)</f>
        <v>20</v>
      </c>
      <c r="O83" s="145">
        <f>SUMIFS(Table2[NewPointsAway],Table2[GameDate], "&lt;=" &amp; $A83, Table2[AwayTeam], O$1)+SUMIFS(Table2[NewPointsHome],Table2[GameDate], "&lt;=" &amp; $A83, Table2[HomeTeam], O$1)</f>
        <v>18</v>
      </c>
      <c r="P83" s="145">
        <f>SUMIFS(Table2[NewPointsAway],Table2[GameDate], "&lt;=" &amp; $A83, Table2[AwayTeam], P$1)+SUMIFS(Table2[NewPointsHome],Table2[GameDate], "&lt;=" &amp; $A83, Table2[HomeTeam], P$1)</f>
        <v>22</v>
      </c>
      <c r="Q83" s="145">
        <f>SUMIFS(Table2[NewPointsAway],Table2[GameDate], "&lt;=" &amp; $A83, Table2[AwayTeam], Q$1)+SUMIFS(Table2[NewPointsHome],Table2[GameDate], "&lt;=" &amp; $A83, Table2[HomeTeam], Q$1)</f>
        <v>23</v>
      </c>
      <c r="R83" s="145">
        <f>SUMIFS(Table2[NewPointsAway],Table2[GameDate], "&lt;=" &amp; $A83, Table2[AwayTeam], R$1)+SUMIFS(Table2[NewPointsHome],Table2[GameDate], "&lt;=" &amp; $A83, Table2[HomeTeam], R$1)</f>
        <v>14</v>
      </c>
      <c r="S83" s="145">
        <f>SUMIFS(Table2[NewPointsAway],Table2[GameDate], "&lt;=" &amp; $A83, Table2[AwayTeam], S$1)+SUMIFS(Table2[NewPointsHome],Table2[GameDate], "&lt;=" &amp; $A83, Table2[HomeTeam], S$1)</f>
        <v>18</v>
      </c>
      <c r="T83" s="145">
        <f>SUMIFS(Table2[NewPointsAway],Table2[GameDate], "&lt;=" &amp; $A83, Table2[AwayTeam], T$1)+SUMIFS(Table2[NewPointsHome],Table2[GameDate], "&lt;=" &amp; $A83, Table2[HomeTeam], T$1)</f>
        <v>20</v>
      </c>
      <c r="U83" s="145">
        <f>SUMIFS(Table2[NewPointsAway],Table2[GameDate], "&lt;=" &amp; $A83, Table2[AwayTeam], U$1)+SUMIFS(Table2[NewPointsHome],Table2[GameDate], "&lt;=" &amp; $A83, Table2[HomeTeam], U$1)</f>
        <v>20</v>
      </c>
      <c r="V83" s="145">
        <f>SUMIFS(Table2[NewPointsAway],Table2[GameDate], "&lt;=" &amp; $A83, Table2[AwayTeam], V$1)+SUMIFS(Table2[NewPointsHome],Table2[GameDate], "&lt;=" &amp; $A83, Table2[HomeTeam], V$1)</f>
        <v>19</v>
      </c>
      <c r="W83" s="145">
        <f>SUMIFS(Table2[NewPointsAway],Table2[GameDate], "&lt;=" &amp; $A83, Table2[AwayTeam], W$1)+SUMIFS(Table2[NewPointsHome],Table2[GameDate], "&lt;=" &amp; $A83, Table2[HomeTeam], W$1)</f>
        <v>21</v>
      </c>
      <c r="X83" s="145">
        <f>SUMIFS(Table2[NewPointsAway],Table2[GameDate], "&lt;=" &amp; $A83, Table2[AwayTeam], X$1)+SUMIFS(Table2[NewPointsHome],Table2[GameDate], "&lt;=" &amp; $A83, Table2[HomeTeam], X$1)</f>
        <v>19</v>
      </c>
      <c r="Y83" s="145">
        <f>SUMIFS(Table2[NewPointsAway],Table2[GameDate], "&lt;=" &amp; $A83, Table2[AwayTeam], Y$1)+SUMIFS(Table2[NewPointsHome],Table2[GameDate], "&lt;=" &amp; $A83, Table2[HomeTeam], Y$1)</f>
        <v>19</v>
      </c>
      <c r="Z83" s="145">
        <f>SUMIFS(Table2[NewPointsAway],Table2[GameDate], "&lt;=" &amp; $A83, Table2[AwayTeam], Z$1)+SUMIFS(Table2[NewPointsHome],Table2[GameDate], "&lt;=" &amp; $A83, Table2[HomeTeam], Z$1)</f>
        <v>15</v>
      </c>
      <c r="AA83" s="145">
        <f>SUMIFS(Table2[NewPointsAway],Table2[GameDate], "&lt;=" &amp; $A83, Table2[AwayTeam], AA$1)+SUMIFS(Table2[NewPointsHome],Table2[GameDate], "&lt;=" &amp; $A83, Table2[HomeTeam], AA$1)</f>
        <v>18</v>
      </c>
      <c r="AB83" s="145">
        <f>SUMIFS(Table2[NewPointsAway],Table2[GameDate], "&lt;=" &amp; $A83, Table2[AwayTeam], AB$1)+SUMIFS(Table2[NewPointsHome],Table2[GameDate], "&lt;=" &amp; $A83, Table2[HomeTeam], AB$1)</f>
        <v>17</v>
      </c>
      <c r="AC83" s="145">
        <f>SUMIFS(Table2[NewPointsAway],Table2[GameDate], "&lt;=" &amp; $A83, Table2[AwayTeam], AC$1)+SUMIFS(Table2[NewPointsHome],Table2[GameDate], "&lt;=" &amp; $A83, Table2[HomeTeam], AC$1)</f>
        <v>18</v>
      </c>
      <c r="AD83" s="145">
        <f>SUMIFS(Table2[NewPointsAway],Table2[GameDate], "&lt;=" &amp; $A83, Table2[AwayTeam], AD$1)+SUMIFS(Table2[NewPointsHome],Table2[GameDate], "&lt;=" &amp; $A83, Table2[HomeTeam], AD$1)</f>
        <v>17</v>
      </c>
      <c r="AE83" s="145">
        <f>SUMIFS(Table2[NewPointsAway],Table2[GameDate], "&lt;=" &amp; $A83, Table2[AwayTeam], AE$1)+SUMIFS(Table2[NewPointsHome],Table2[GameDate], "&lt;=" &amp; $A83, Table2[HomeTeam], AE$1)</f>
        <v>18</v>
      </c>
      <c r="AF83" s="145">
        <f>SUMIFS(Table2[NewPointsAway],Table2[GameDate], "&lt;=" &amp; $A83, Table2[AwayTeam], AF$1)+SUMIFS(Table2[NewPointsHome],Table2[GameDate], "&lt;=" &amp; $A83, Table2[HomeTeam], AF$1)</f>
        <v>20</v>
      </c>
      <c r="AG83" s="145">
        <f>SUMIFS(Table2[NewPointsAway],Table2[GameDate], "&lt;=" &amp; $A83, Table2[AwayTeam], AG$1)+SUMIFS(Table2[NewPointsHome],Table2[GameDate], "&lt;=" &amp; $A83, Table2[HomeTeam], AG$1)</f>
        <v>17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23</v>
      </c>
      <c r="C84" s="145">
        <f>SUMIFS(Table2[NewPointsAway],Table2[GameDate], "&lt;=" &amp; $A84, Table2[AwayTeam], C$1)+SUMIFS(Table2[NewPointsHome],Table2[GameDate], "&lt;=" &amp; $A84, Table2[HomeTeam], C$1)</f>
        <v>22</v>
      </c>
      <c r="D84" s="145">
        <f>SUMIFS(Table2[NewPointsAway],Table2[GameDate], "&lt;=" &amp; $A84, Table2[AwayTeam], D$1)+SUMIFS(Table2[NewPointsHome],Table2[GameDate], "&lt;=" &amp; $A84, Table2[HomeTeam], D$1)</f>
        <v>14</v>
      </c>
      <c r="E84" s="145">
        <f>SUMIFS(Table2[NewPointsAway],Table2[GameDate], "&lt;=" &amp; $A84, Table2[AwayTeam], E$1)+SUMIFS(Table2[NewPointsHome],Table2[GameDate], "&lt;=" &amp; $A84, Table2[HomeTeam], E$1)</f>
        <v>22</v>
      </c>
      <c r="F84" s="145">
        <f>SUMIFS(Table2[NewPointsAway],Table2[GameDate], "&lt;=" &amp; $A84, Table2[AwayTeam], F$1)+SUMIFS(Table2[NewPointsHome],Table2[GameDate], "&lt;=" &amp; $A84, Table2[HomeTeam], F$1)</f>
        <v>17</v>
      </c>
      <c r="G84" s="145">
        <f>SUMIFS(Table2[NewPointsAway],Table2[GameDate], "&lt;=" &amp; $A84, Table2[AwayTeam], G$1)+SUMIFS(Table2[NewPointsHome],Table2[GameDate], "&lt;=" &amp; $A84, Table2[HomeTeam], G$1)</f>
        <v>10</v>
      </c>
      <c r="H84" s="145">
        <f>SUMIFS(Table2[NewPointsAway],Table2[GameDate], "&lt;=" &amp; $A84, Table2[AwayTeam], H$1)+SUMIFS(Table2[NewPointsHome],Table2[GameDate], "&lt;=" &amp; $A84, Table2[HomeTeam], H$1)</f>
        <v>19</v>
      </c>
      <c r="I84" s="145">
        <f>SUMIFS(Table2[NewPointsAway],Table2[GameDate], "&lt;=" &amp; $A84, Table2[AwayTeam], I$1)+SUMIFS(Table2[NewPointsHome],Table2[GameDate], "&lt;=" &amp; $A84, Table2[HomeTeam], I$1)</f>
        <v>27</v>
      </c>
      <c r="J84" s="145">
        <f>SUMIFS(Table2[NewPointsAway],Table2[GameDate], "&lt;=" &amp; $A84, Table2[AwayTeam], J$1)+SUMIFS(Table2[NewPointsHome],Table2[GameDate], "&lt;=" &amp; $A84, Table2[HomeTeam], J$1)</f>
        <v>23</v>
      </c>
      <c r="K84" s="145">
        <f>SUMIFS(Table2[NewPointsAway],Table2[GameDate], "&lt;=" &amp; $A84, Table2[AwayTeam], K$1)+SUMIFS(Table2[NewPointsHome],Table2[GameDate], "&lt;=" &amp; $A84, Table2[HomeTeam], K$1)</f>
        <v>18</v>
      </c>
      <c r="L84" s="145">
        <f>SUMIFS(Table2[NewPointsAway],Table2[GameDate], "&lt;=" &amp; $A84, Table2[AwayTeam], L$1)+SUMIFS(Table2[NewPointsHome],Table2[GameDate], "&lt;=" &amp; $A84, Table2[HomeTeam], L$1)</f>
        <v>20</v>
      </c>
      <c r="M84" s="145">
        <f>SUMIFS(Table2[NewPointsAway],Table2[GameDate], "&lt;=" &amp; $A84, Table2[AwayTeam], M$1)+SUMIFS(Table2[NewPointsHome],Table2[GameDate], "&lt;=" &amp; $A84, Table2[HomeTeam], M$1)</f>
        <v>17</v>
      </c>
      <c r="N84" s="145">
        <f>SUMIFS(Table2[NewPointsAway],Table2[GameDate], "&lt;=" &amp; $A84, Table2[AwayTeam], N$1)+SUMIFS(Table2[NewPointsHome],Table2[GameDate], "&lt;=" &amp; $A84, Table2[HomeTeam], N$1)</f>
        <v>20</v>
      </c>
      <c r="O84" s="145">
        <f>SUMIFS(Table2[NewPointsAway],Table2[GameDate], "&lt;=" &amp; $A84, Table2[AwayTeam], O$1)+SUMIFS(Table2[NewPointsHome],Table2[GameDate], "&lt;=" &amp; $A84, Table2[HomeTeam], O$1)</f>
        <v>18</v>
      </c>
      <c r="P84" s="145">
        <f>SUMIFS(Table2[NewPointsAway],Table2[GameDate], "&lt;=" &amp; $A84, Table2[AwayTeam], P$1)+SUMIFS(Table2[NewPointsHome],Table2[GameDate], "&lt;=" &amp; $A84, Table2[HomeTeam], P$1)</f>
        <v>22</v>
      </c>
      <c r="Q84" s="145">
        <f>SUMIFS(Table2[NewPointsAway],Table2[GameDate], "&lt;=" &amp; $A84, Table2[AwayTeam], Q$1)+SUMIFS(Table2[NewPointsHome],Table2[GameDate], "&lt;=" &amp; $A84, Table2[HomeTeam], Q$1)</f>
        <v>23</v>
      </c>
      <c r="R84" s="145">
        <f>SUMIFS(Table2[NewPointsAway],Table2[GameDate], "&lt;=" &amp; $A84, Table2[AwayTeam], R$1)+SUMIFS(Table2[NewPointsHome],Table2[GameDate], "&lt;=" &amp; $A84, Table2[HomeTeam], R$1)</f>
        <v>14</v>
      </c>
      <c r="S84" s="145">
        <f>SUMIFS(Table2[NewPointsAway],Table2[GameDate], "&lt;=" &amp; $A84, Table2[AwayTeam], S$1)+SUMIFS(Table2[NewPointsHome],Table2[GameDate], "&lt;=" &amp; $A84, Table2[HomeTeam], S$1)</f>
        <v>18</v>
      </c>
      <c r="T84" s="145">
        <f>SUMIFS(Table2[NewPointsAway],Table2[GameDate], "&lt;=" &amp; $A84, Table2[AwayTeam], T$1)+SUMIFS(Table2[NewPointsHome],Table2[GameDate], "&lt;=" &amp; $A84, Table2[HomeTeam], T$1)</f>
        <v>20</v>
      </c>
      <c r="U84" s="145">
        <f>SUMIFS(Table2[NewPointsAway],Table2[GameDate], "&lt;=" &amp; $A84, Table2[AwayTeam], U$1)+SUMIFS(Table2[NewPointsHome],Table2[GameDate], "&lt;=" &amp; $A84, Table2[HomeTeam], U$1)</f>
        <v>20</v>
      </c>
      <c r="V84" s="145">
        <f>SUMIFS(Table2[NewPointsAway],Table2[GameDate], "&lt;=" &amp; $A84, Table2[AwayTeam], V$1)+SUMIFS(Table2[NewPointsHome],Table2[GameDate], "&lt;=" &amp; $A84, Table2[HomeTeam], V$1)</f>
        <v>19</v>
      </c>
      <c r="W84" s="145">
        <f>SUMIFS(Table2[NewPointsAway],Table2[GameDate], "&lt;=" &amp; $A84, Table2[AwayTeam], W$1)+SUMIFS(Table2[NewPointsHome],Table2[GameDate], "&lt;=" &amp; $A84, Table2[HomeTeam], W$1)</f>
        <v>21</v>
      </c>
      <c r="X84" s="145">
        <f>SUMIFS(Table2[NewPointsAway],Table2[GameDate], "&lt;=" &amp; $A84, Table2[AwayTeam], X$1)+SUMIFS(Table2[NewPointsHome],Table2[GameDate], "&lt;=" &amp; $A84, Table2[HomeTeam], X$1)</f>
        <v>19</v>
      </c>
      <c r="Y84" s="145">
        <f>SUMIFS(Table2[NewPointsAway],Table2[GameDate], "&lt;=" &amp; $A84, Table2[AwayTeam], Y$1)+SUMIFS(Table2[NewPointsHome],Table2[GameDate], "&lt;=" &amp; $A84, Table2[HomeTeam], Y$1)</f>
        <v>19</v>
      </c>
      <c r="Z84" s="145">
        <f>SUMIFS(Table2[NewPointsAway],Table2[GameDate], "&lt;=" &amp; $A84, Table2[AwayTeam], Z$1)+SUMIFS(Table2[NewPointsHome],Table2[GameDate], "&lt;=" &amp; $A84, Table2[HomeTeam], Z$1)</f>
        <v>15</v>
      </c>
      <c r="AA84" s="145">
        <f>SUMIFS(Table2[NewPointsAway],Table2[GameDate], "&lt;=" &amp; $A84, Table2[AwayTeam], AA$1)+SUMIFS(Table2[NewPointsHome],Table2[GameDate], "&lt;=" &amp; $A84, Table2[HomeTeam], AA$1)</f>
        <v>18</v>
      </c>
      <c r="AB84" s="145">
        <f>SUMIFS(Table2[NewPointsAway],Table2[GameDate], "&lt;=" &amp; $A84, Table2[AwayTeam], AB$1)+SUMIFS(Table2[NewPointsHome],Table2[GameDate], "&lt;=" &amp; $A84, Table2[HomeTeam], AB$1)</f>
        <v>17</v>
      </c>
      <c r="AC84" s="145">
        <f>SUMIFS(Table2[NewPointsAway],Table2[GameDate], "&lt;=" &amp; $A84, Table2[AwayTeam], AC$1)+SUMIFS(Table2[NewPointsHome],Table2[GameDate], "&lt;=" &amp; $A84, Table2[HomeTeam], AC$1)</f>
        <v>18</v>
      </c>
      <c r="AD84" s="145">
        <f>SUMIFS(Table2[NewPointsAway],Table2[GameDate], "&lt;=" &amp; $A84, Table2[AwayTeam], AD$1)+SUMIFS(Table2[NewPointsHome],Table2[GameDate], "&lt;=" &amp; $A84, Table2[HomeTeam], AD$1)</f>
        <v>17</v>
      </c>
      <c r="AE84" s="145">
        <f>SUMIFS(Table2[NewPointsAway],Table2[GameDate], "&lt;=" &amp; $A84, Table2[AwayTeam], AE$1)+SUMIFS(Table2[NewPointsHome],Table2[GameDate], "&lt;=" &amp; $A84, Table2[HomeTeam], AE$1)</f>
        <v>18</v>
      </c>
      <c r="AF84" s="145">
        <f>SUMIFS(Table2[NewPointsAway],Table2[GameDate], "&lt;=" &amp; $A84, Table2[AwayTeam], AF$1)+SUMIFS(Table2[NewPointsHome],Table2[GameDate], "&lt;=" &amp; $A84, Table2[HomeTeam], AF$1)</f>
        <v>20</v>
      </c>
      <c r="AG84" s="145">
        <f>SUMIFS(Table2[NewPointsAway],Table2[GameDate], "&lt;=" &amp; $A84, Table2[AwayTeam], AG$1)+SUMIFS(Table2[NewPointsHome],Table2[GameDate], "&lt;=" &amp; $A84, Table2[HomeTeam], AG$1)</f>
        <v>17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23</v>
      </c>
      <c r="C85" s="145">
        <f>SUMIFS(Table2[NewPointsAway],Table2[GameDate], "&lt;=" &amp; $A85, Table2[AwayTeam], C$1)+SUMIFS(Table2[NewPointsHome],Table2[GameDate], "&lt;=" &amp; $A85, Table2[HomeTeam], C$1)</f>
        <v>22</v>
      </c>
      <c r="D85" s="145">
        <f>SUMIFS(Table2[NewPointsAway],Table2[GameDate], "&lt;=" &amp; $A85, Table2[AwayTeam], D$1)+SUMIFS(Table2[NewPointsHome],Table2[GameDate], "&lt;=" &amp; $A85, Table2[HomeTeam], D$1)</f>
        <v>14</v>
      </c>
      <c r="E85" s="145">
        <f>SUMIFS(Table2[NewPointsAway],Table2[GameDate], "&lt;=" &amp; $A85, Table2[AwayTeam], E$1)+SUMIFS(Table2[NewPointsHome],Table2[GameDate], "&lt;=" &amp; $A85, Table2[HomeTeam], E$1)</f>
        <v>22</v>
      </c>
      <c r="F85" s="145">
        <f>SUMIFS(Table2[NewPointsAway],Table2[GameDate], "&lt;=" &amp; $A85, Table2[AwayTeam], F$1)+SUMIFS(Table2[NewPointsHome],Table2[GameDate], "&lt;=" &amp; $A85, Table2[HomeTeam], F$1)</f>
        <v>17</v>
      </c>
      <c r="G85" s="145">
        <f>SUMIFS(Table2[NewPointsAway],Table2[GameDate], "&lt;=" &amp; $A85, Table2[AwayTeam], G$1)+SUMIFS(Table2[NewPointsHome],Table2[GameDate], "&lt;=" &amp; $A85, Table2[HomeTeam], G$1)</f>
        <v>10</v>
      </c>
      <c r="H85" s="145">
        <f>SUMIFS(Table2[NewPointsAway],Table2[GameDate], "&lt;=" &amp; $A85, Table2[AwayTeam], H$1)+SUMIFS(Table2[NewPointsHome],Table2[GameDate], "&lt;=" &amp; $A85, Table2[HomeTeam], H$1)</f>
        <v>19</v>
      </c>
      <c r="I85" s="145">
        <f>SUMIFS(Table2[NewPointsAway],Table2[GameDate], "&lt;=" &amp; $A85, Table2[AwayTeam], I$1)+SUMIFS(Table2[NewPointsHome],Table2[GameDate], "&lt;=" &amp; $A85, Table2[HomeTeam], I$1)</f>
        <v>27</v>
      </c>
      <c r="J85" s="145">
        <f>SUMIFS(Table2[NewPointsAway],Table2[GameDate], "&lt;=" &amp; $A85, Table2[AwayTeam], J$1)+SUMIFS(Table2[NewPointsHome],Table2[GameDate], "&lt;=" &amp; $A85, Table2[HomeTeam], J$1)</f>
        <v>23</v>
      </c>
      <c r="K85" s="145">
        <f>SUMIFS(Table2[NewPointsAway],Table2[GameDate], "&lt;=" &amp; $A85, Table2[AwayTeam], K$1)+SUMIFS(Table2[NewPointsHome],Table2[GameDate], "&lt;=" &amp; $A85, Table2[HomeTeam], K$1)</f>
        <v>18</v>
      </c>
      <c r="L85" s="145">
        <f>SUMIFS(Table2[NewPointsAway],Table2[GameDate], "&lt;=" &amp; $A85, Table2[AwayTeam], L$1)+SUMIFS(Table2[NewPointsHome],Table2[GameDate], "&lt;=" &amp; $A85, Table2[HomeTeam], L$1)</f>
        <v>20</v>
      </c>
      <c r="M85" s="145">
        <f>SUMIFS(Table2[NewPointsAway],Table2[GameDate], "&lt;=" &amp; $A85, Table2[AwayTeam], M$1)+SUMIFS(Table2[NewPointsHome],Table2[GameDate], "&lt;=" &amp; $A85, Table2[HomeTeam], M$1)</f>
        <v>17</v>
      </c>
      <c r="N85" s="145">
        <f>SUMIFS(Table2[NewPointsAway],Table2[GameDate], "&lt;=" &amp; $A85, Table2[AwayTeam], N$1)+SUMIFS(Table2[NewPointsHome],Table2[GameDate], "&lt;=" &amp; $A85, Table2[HomeTeam], N$1)</f>
        <v>20</v>
      </c>
      <c r="O85" s="145">
        <f>SUMIFS(Table2[NewPointsAway],Table2[GameDate], "&lt;=" &amp; $A85, Table2[AwayTeam], O$1)+SUMIFS(Table2[NewPointsHome],Table2[GameDate], "&lt;=" &amp; $A85, Table2[HomeTeam], O$1)</f>
        <v>18</v>
      </c>
      <c r="P85" s="145">
        <f>SUMIFS(Table2[NewPointsAway],Table2[GameDate], "&lt;=" &amp; $A85, Table2[AwayTeam], P$1)+SUMIFS(Table2[NewPointsHome],Table2[GameDate], "&lt;=" &amp; $A85, Table2[HomeTeam], P$1)</f>
        <v>22</v>
      </c>
      <c r="Q85" s="145">
        <f>SUMIFS(Table2[NewPointsAway],Table2[GameDate], "&lt;=" &amp; $A85, Table2[AwayTeam], Q$1)+SUMIFS(Table2[NewPointsHome],Table2[GameDate], "&lt;=" &amp; $A85, Table2[HomeTeam], Q$1)</f>
        <v>23</v>
      </c>
      <c r="R85" s="145">
        <f>SUMIFS(Table2[NewPointsAway],Table2[GameDate], "&lt;=" &amp; $A85, Table2[AwayTeam], R$1)+SUMIFS(Table2[NewPointsHome],Table2[GameDate], "&lt;=" &amp; $A85, Table2[HomeTeam], R$1)</f>
        <v>14</v>
      </c>
      <c r="S85" s="145">
        <f>SUMIFS(Table2[NewPointsAway],Table2[GameDate], "&lt;=" &amp; $A85, Table2[AwayTeam], S$1)+SUMIFS(Table2[NewPointsHome],Table2[GameDate], "&lt;=" &amp; $A85, Table2[HomeTeam], S$1)</f>
        <v>18</v>
      </c>
      <c r="T85" s="145">
        <f>SUMIFS(Table2[NewPointsAway],Table2[GameDate], "&lt;=" &amp; $A85, Table2[AwayTeam], T$1)+SUMIFS(Table2[NewPointsHome],Table2[GameDate], "&lt;=" &amp; $A85, Table2[HomeTeam], T$1)</f>
        <v>20</v>
      </c>
      <c r="U85" s="145">
        <f>SUMIFS(Table2[NewPointsAway],Table2[GameDate], "&lt;=" &amp; $A85, Table2[AwayTeam], U$1)+SUMIFS(Table2[NewPointsHome],Table2[GameDate], "&lt;=" &amp; $A85, Table2[HomeTeam], U$1)</f>
        <v>20</v>
      </c>
      <c r="V85" s="145">
        <f>SUMIFS(Table2[NewPointsAway],Table2[GameDate], "&lt;=" &amp; $A85, Table2[AwayTeam], V$1)+SUMIFS(Table2[NewPointsHome],Table2[GameDate], "&lt;=" &amp; $A85, Table2[HomeTeam], V$1)</f>
        <v>19</v>
      </c>
      <c r="W85" s="145">
        <f>SUMIFS(Table2[NewPointsAway],Table2[GameDate], "&lt;=" &amp; $A85, Table2[AwayTeam], W$1)+SUMIFS(Table2[NewPointsHome],Table2[GameDate], "&lt;=" &amp; $A85, Table2[HomeTeam], W$1)</f>
        <v>21</v>
      </c>
      <c r="X85" s="145">
        <f>SUMIFS(Table2[NewPointsAway],Table2[GameDate], "&lt;=" &amp; $A85, Table2[AwayTeam], X$1)+SUMIFS(Table2[NewPointsHome],Table2[GameDate], "&lt;=" &amp; $A85, Table2[HomeTeam], X$1)</f>
        <v>19</v>
      </c>
      <c r="Y85" s="145">
        <f>SUMIFS(Table2[NewPointsAway],Table2[GameDate], "&lt;=" &amp; $A85, Table2[AwayTeam], Y$1)+SUMIFS(Table2[NewPointsHome],Table2[GameDate], "&lt;=" &amp; $A85, Table2[HomeTeam], Y$1)</f>
        <v>19</v>
      </c>
      <c r="Z85" s="145">
        <f>SUMIFS(Table2[NewPointsAway],Table2[GameDate], "&lt;=" &amp; $A85, Table2[AwayTeam], Z$1)+SUMIFS(Table2[NewPointsHome],Table2[GameDate], "&lt;=" &amp; $A85, Table2[HomeTeam], Z$1)</f>
        <v>15</v>
      </c>
      <c r="AA85" s="145">
        <f>SUMIFS(Table2[NewPointsAway],Table2[GameDate], "&lt;=" &amp; $A85, Table2[AwayTeam], AA$1)+SUMIFS(Table2[NewPointsHome],Table2[GameDate], "&lt;=" &amp; $A85, Table2[HomeTeam], AA$1)</f>
        <v>18</v>
      </c>
      <c r="AB85" s="145">
        <f>SUMIFS(Table2[NewPointsAway],Table2[GameDate], "&lt;=" &amp; $A85, Table2[AwayTeam], AB$1)+SUMIFS(Table2[NewPointsHome],Table2[GameDate], "&lt;=" &amp; $A85, Table2[HomeTeam], AB$1)</f>
        <v>17</v>
      </c>
      <c r="AC85" s="145">
        <f>SUMIFS(Table2[NewPointsAway],Table2[GameDate], "&lt;=" &amp; $A85, Table2[AwayTeam], AC$1)+SUMIFS(Table2[NewPointsHome],Table2[GameDate], "&lt;=" &amp; $A85, Table2[HomeTeam], AC$1)</f>
        <v>18</v>
      </c>
      <c r="AD85" s="145">
        <f>SUMIFS(Table2[NewPointsAway],Table2[GameDate], "&lt;=" &amp; $A85, Table2[AwayTeam], AD$1)+SUMIFS(Table2[NewPointsHome],Table2[GameDate], "&lt;=" &amp; $A85, Table2[HomeTeam], AD$1)</f>
        <v>17</v>
      </c>
      <c r="AE85" s="145">
        <f>SUMIFS(Table2[NewPointsAway],Table2[GameDate], "&lt;=" &amp; $A85, Table2[AwayTeam], AE$1)+SUMIFS(Table2[NewPointsHome],Table2[GameDate], "&lt;=" &amp; $A85, Table2[HomeTeam], AE$1)</f>
        <v>18</v>
      </c>
      <c r="AF85" s="145">
        <f>SUMIFS(Table2[NewPointsAway],Table2[GameDate], "&lt;=" &amp; $A85, Table2[AwayTeam], AF$1)+SUMIFS(Table2[NewPointsHome],Table2[GameDate], "&lt;=" &amp; $A85, Table2[HomeTeam], AF$1)</f>
        <v>20</v>
      </c>
      <c r="AG85" s="145">
        <f>SUMIFS(Table2[NewPointsAway],Table2[GameDate], "&lt;=" &amp; $A85, Table2[AwayTeam], AG$1)+SUMIFS(Table2[NewPointsHome],Table2[GameDate], "&lt;=" &amp; $A85, Table2[HomeTeam], AG$1)</f>
        <v>17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23</v>
      </c>
      <c r="C86" s="145">
        <f>SUMIFS(Table2[NewPointsAway],Table2[GameDate], "&lt;=" &amp; $A86, Table2[AwayTeam], C$1)+SUMIFS(Table2[NewPointsHome],Table2[GameDate], "&lt;=" &amp; $A86, Table2[HomeTeam], C$1)</f>
        <v>22</v>
      </c>
      <c r="D86" s="145">
        <f>SUMIFS(Table2[NewPointsAway],Table2[GameDate], "&lt;=" &amp; $A86, Table2[AwayTeam], D$1)+SUMIFS(Table2[NewPointsHome],Table2[GameDate], "&lt;=" &amp; $A86, Table2[HomeTeam], D$1)</f>
        <v>14</v>
      </c>
      <c r="E86" s="145">
        <f>SUMIFS(Table2[NewPointsAway],Table2[GameDate], "&lt;=" &amp; $A86, Table2[AwayTeam], E$1)+SUMIFS(Table2[NewPointsHome],Table2[GameDate], "&lt;=" &amp; $A86, Table2[HomeTeam], E$1)</f>
        <v>22</v>
      </c>
      <c r="F86" s="145">
        <f>SUMIFS(Table2[NewPointsAway],Table2[GameDate], "&lt;=" &amp; $A86, Table2[AwayTeam], F$1)+SUMIFS(Table2[NewPointsHome],Table2[GameDate], "&lt;=" &amp; $A86, Table2[HomeTeam], F$1)</f>
        <v>17</v>
      </c>
      <c r="G86" s="145">
        <f>SUMIFS(Table2[NewPointsAway],Table2[GameDate], "&lt;=" &amp; $A86, Table2[AwayTeam], G$1)+SUMIFS(Table2[NewPointsHome],Table2[GameDate], "&lt;=" &amp; $A86, Table2[HomeTeam], G$1)</f>
        <v>10</v>
      </c>
      <c r="H86" s="145">
        <f>SUMIFS(Table2[NewPointsAway],Table2[GameDate], "&lt;=" &amp; $A86, Table2[AwayTeam], H$1)+SUMIFS(Table2[NewPointsHome],Table2[GameDate], "&lt;=" &amp; $A86, Table2[HomeTeam], H$1)</f>
        <v>19</v>
      </c>
      <c r="I86" s="145">
        <f>SUMIFS(Table2[NewPointsAway],Table2[GameDate], "&lt;=" &amp; $A86, Table2[AwayTeam], I$1)+SUMIFS(Table2[NewPointsHome],Table2[GameDate], "&lt;=" &amp; $A86, Table2[HomeTeam], I$1)</f>
        <v>27</v>
      </c>
      <c r="J86" s="145">
        <f>SUMIFS(Table2[NewPointsAway],Table2[GameDate], "&lt;=" &amp; $A86, Table2[AwayTeam], J$1)+SUMIFS(Table2[NewPointsHome],Table2[GameDate], "&lt;=" &amp; $A86, Table2[HomeTeam], J$1)</f>
        <v>23</v>
      </c>
      <c r="K86" s="145">
        <f>SUMIFS(Table2[NewPointsAway],Table2[GameDate], "&lt;=" &amp; $A86, Table2[AwayTeam], K$1)+SUMIFS(Table2[NewPointsHome],Table2[GameDate], "&lt;=" &amp; $A86, Table2[HomeTeam], K$1)</f>
        <v>18</v>
      </c>
      <c r="L86" s="145">
        <f>SUMIFS(Table2[NewPointsAway],Table2[GameDate], "&lt;=" &amp; $A86, Table2[AwayTeam], L$1)+SUMIFS(Table2[NewPointsHome],Table2[GameDate], "&lt;=" &amp; $A86, Table2[HomeTeam], L$1)</f>
        <v>20</v>
      </c>
      <c r="M86" s="145">
        <f>SUMIFS(Table2[NewPointsAway],Table2[GameDate], "&lt;=" &amp; $A86, Table2[AwayTeam], M$1)+SUMIFS(Table2[NewPointsHome],Table2[GameDate], "&lt;=" &amp; $A86, Table2[HomeTeam], M$1)</f>
        <v>17</v>
      </c>
      <c r="N86" s="145">
        <f>SUMIFS(Table2[NewPointsAway],Table2[GameDate], "&lt;=" &amp; $A86, Table2[AwayTeam], N$1)+SUMIFS(Table2[NewPointsHome],Table2[GameDate], "&lt;=" &amp; $A86, Table2[HomeTeam], N$1)</f>
        <v>20</v>
      </c>
      <c r="O86" s="145">
        <f>SUMIFS(Table2[NewPointsAway],Table2[GameDate], "&lt;=" &amp; $A86, Table2[AwayTeam], O$1)+SUMIFS(Table2[NewPointsHome],Table2[GameDate], "&lt;=" &amp; $A86, Table2[HomeTeam], O$1)</f>
        <v>18</v>
      </c>
      <c r="P86" s="145">
        <f>SUMIFS(Table2[NewPointsAway],Table2[GameDate], "&lt;=" &amp; $A86, Table2[AwayTeam], P$1)+SUMIFS(Table2[NewPointsHome],Table2[GameDate], "&lt;=" &amp; $A86, Table2[HomeTeam], P$1)</f>
        <v>22</v>
      </c>
      <c r="Q86" s="145">
        <f>SUMIFS(Table2[NewPointsAway],Table2[GameDate], "&lt;=" &amp; $A86, Table2[AwayTeam], Q$1)+SUMIFS(Table2[NewPointsHome],Table2[GameDate], "&lt;=" &amp; $A86, Table2[HomeTeam], Q$1)</f>
        <v>23</v>
      </c>
      <c r="R86" s="145">
        <f>SUMIFS(Table2[NewPointsAway],Table2[GameDate], "&lt;=" &amp; $A86, Table2[AwayTeam], R$1)+SUMIFS(Table2[NewPointsHome],Table2[GameDate], "&lt;=" &amp; $A86, Table2[HomeTeam], R$1)</f>
        <v>14</v>
      </c>
      <c r="S86" s="145">
        <f>SUMIFS(Table2[NewPointsAway],Table2[GameDate], "&lt;=" &amp; $A86, Table2[AwayTeam], S$1)+SUMIFS(Table2[NewPointsHome],Table2[GameDate], "&lt;=" &amp; $A86, Table2[HomeTeam], S$1)</f>
        <v>18</v>
      </c>
      <c r="T86" s="145">
        <f>SUMIFS(Table2[NewPointsAway],Table2[GameDate], "&lt;=" &amp; $A86, Table2[AwayTeam], T$1)+SUMIFS(Table2[NewPointsHome],Table2[GameDate], "&lt;=" &amp; $A86, Table2[HomeTeam], T$1)</f>
        <v>20</v>
      </c>
      <c r="U86" s="145">
        <f>SUMIFS(Table2[NewPointsAway],Table2[GameDate], "&lt;=" &amp; $A86, Table2[AwayTeam], U$1)+SUMIFS(Table2[NewPointsHome],Table2[GameDate], "&lt;=" &amp; $A86, Table2[HomeTeam], U$1)</f>
        <v>20</v>
      </c>
      <c r="V86" s="145">
        <f>SUMIFS(Table2[NewPointsAway],Table2[GameDate], "&lt;=" &amp; $A86, Table2[AwayTeam], V$1)+SUMIFS(Table2[NewPointsHome],Table2[GameDate], "&lt;=" &amp; $A86, Table2[HomeTeam], V$1)</f>
        <v>19</v>
      </c>
      <c r="W86" s="145">
        <f>SUMIFS(Table2[NewPointsAway],Table2[GameDate], "&lt;=" &amp; $A86, Table2[AwayTeam], W$1)+SUMIFS(Table2[NewPointsHome],Table2[GameDate], "&lt;=" &amp; $A86, Table2[HomeTeam], W$1)</f>
        <v>21</v>
      </c>
      <c r="X86" s="145">
        <f>SUMIFS(Table2[NewPointsAway],Table2[GameDate], "&lt;=" &amp; $A86, Table2[AwayTeam], X$1)+SUMIFS(Table2[NewPointsHome],Table2[GameDate], "&lt;=" &amp; $A86, Table2[HomeTeam], X$1)</f>
        <v>19</v>
      </c>
      <c r="Y86" s="145">
        <f>SUMIFS(Table2[NewPointsAway],Table2[GameDate], "&lt;=" &amp; $A86, Table2[AwayTeam], Y$1)+SUMIFS(Table2[NewPointsHome],Table2[GameDate], "&lt;=" &amp; $A86, Table2[HomeTeam], Y$1)</f>
        <v>19</v>
      </c>
      <c r="Z86" s="145">
        <f>SUMIFS(Table2[NewPointsAway],Table2[GameDate], "&lt;=" &amp; $A86, Table2[AwayTeam], Z$1)+SUMIFS(Table2[NewPointsHome],Table2[GameDate], "&lt;=" &amp; $A86, Table2[HomeTeam], Z$1)</f>
        <v>15</v>
      </c>
      <c r="AA86" s="145">
        <f>SUMIFS(Table2[NewPointsAway],Table2[GameDate], "&lt;=" &amp; $A86, Table2[AwayTeam], AA$1)+SUMIFS(Table2[NewPointsHome],Table2[GameDate], "&lt;=" &amp; $A86, Table2[HomeTeam], AA$1)</f>
        <v>18</v>
      </c>
      <c r="AB86" s="145">
        <f>SUMIFS(Table2[NewPointsAway],Table2[GameDate], "&lt;=" &amp; $A86, Table2[AwayTeam], AB$1)+SUMIFS(Table2[NewPointsHome],Table2[GameDate], "&lt;=" &amp; $A86, Table2[HomeTeam], AB$1)</f>
        <v>17</v>
      </c>
      <c r="AC86" s="145">
        <f>SUMIFS(Table2[NewPointsAway],Table2[GameDate], "&lt;=" &amp; $A86, Table2[AwayTeam], AC$1)+SUMIFS(Table2[NewPointsHome],Table2[GameDate], "&lt;=" &amp; $A86, Table2[HomeTeam], AC$1)</f>
        <v>18</v>
      </c>
      <c r="AD86" s="145">
        <f>SUMIFS(Table2[NewPointsAway],Table2[GameDate], "&lt;=" &amp; $A86, Table2[AwayTeam], AD$1)+SUMIFS(Table2[NewPointsHome],Table2[GameDate], "&lt;=" &amp; $A86, Table2[HomeTeam], AD$1)</f>
        <v>17</v>
      </c>
      <c r="AE86" s="145">
        <f>SUMIFS(Table2[NewPointsAway],Table2[GameDate], "&lt;=" &amp; $A86, Table2[AwayTeam], AE$1)+SUMIFS(Table2[NewPointsHome],Table2[GameDate], "&lt;=" &amp; $A86, Table2[HomeTeam], AE$1)</f>
        <v>18</v>
      </c>
      <c r="AF86" s="145">
        <f>SUMIFS(Table2[NewPointsAway],Table2[GameDate], "&lt;=" &amp; $A86, Table2[AwayTeam], AF$1)+SUMIFS(Table2[NewPointsHome],Table2[GameDate], "&lt;=" &amp; $A86, Table2[HomeTeam], AF$1)</f>
        <v>20</v>
      </c>
      <c r="AG86" s="145">
        <f>SUMIFS(Table2[NewPointsAway],Table2[GameDate], "&lt;=" &amp; $A86, Table2[AwayTeam], AG$1)+SUMIFS(Table2[NewPointsHome],Table2[GameDate], "&lt;=" &amp; $A86, Table2[HomeTeam], AG$1)</f>
        <v>17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23</v>
      </c>
      <c r="C87" s="145">
        <f>SUMIFS(Table2[NewPointsAway],Table2[GameDate], "&lt;=" &amp; $A87, Table2[AwayTeam], C$1)+SUMIFS(Table2[NewPointsHome],Table2[GameDate], "&lt;=" &amp; $A87, Table2[HomeTeam], C$1)</f>
        <v>22</v>
      </c>
      <c r="D87" s="145">
        <f>SUMIFS(Table2[NewPointsAway],Table2[GameDate], "&lt;=" &amp; $A87, Table2[AwayTeam], D$1)+SUMIFS(Table2[NewPointsHome],Table2[GameDate], "&lt;=" &amp; $A87, Table2[HomeTeam], D$1)</f>
        <v>14</v>
      </c>
      <c r="E87" s="145">
        <f>SUMIFS(Table2[NewPointsAway],Table2[GameDate], "&lt;=" &amp; $A87, Table2[AwayTeam], E$1)+SUMIFS(Table2[NewPointsHome],Table2[GameDate], "&lt;=" &amp; $A87, Table2[HomeTeam], E$1)</f>
        <v>22</v>
      </c>
      <c r="F87" s="145">
        <f>SUMIFS(Table2[NewPointsAway],Table2[GameDate], "&lt;=" &amp; $A87, Table2[AwayTeam], F$1)+SUMIFS(Table2[NewPointsHome],Table2[GameDate], "&lt;=" &amp; $A87, Table2[HomeTeam], F$1)</f>
        <v>17</v>
      </c>
      <c r="G87" s="145">
        <f>SUMIFS(Table2[NewPointsAway],Table2[GameDate], "&lt;=" &amp; $A87, Table2[AwayTeam], G$1)+SUMIFS(Table2[NewPointsHome],Table2[GameDate], "&lt;=" &amp; $A87, Table2[HomeTeam], G$1)</f>
        <v>10</v>
      </c>
      <c r="H87" s="145">
        <f>SUMIFS(Table2[NewPointsAway],Table2[GameDate], "&lt;=" &amp; $A87, Table2[AwayTeam], H$1)+SUMIFS(Table2[NewPointsHome],Table2[GameDate], "&lt;=" &amp; $A87, Table2[HomeTeam], H$1)</f>
        <v>19</v>
      </c>
      <c r="I87" s="145">
        <f>SUMIFS(Table2[NewPointsAway],Table2[GameDate], "&lt;=" &amp; $A87, Table2[AwayTeam], I$1)+SUMIFS(Table2[NewPointsHome],Table2[GameDate], "&lt;=" &amp; $A87, Table2[HomeTeam], I$1)</f>
        <v>27</v>
      </c>
      <c r="J87" s="145">
        <f>SUMIFS(Table2[NewPointsAway],Table2[GameDate], "&lt;=" &amp; $A87, Table2[AwayTeam], J$1)+SUMIFS(Table2[NewPointsHome],Table2[GameDate], "&lt;=" &amp; $A87, Table2[HomeTeam], J$1)</f>
        <v>23</v>
      </c>
      <c r="K87" s="145">
        <f>SUMIFS(Table2[NewPointsAway],Table2[GameDate], "&lt;=" &amp; $A87, Table2[AwayTeam], K$1)+SUMIFS(Table2[NewPointsHome],Table2[GameDate], "&lt;=" &amp; $A87, Table2[HomeTeam], K$1)</f>
        <v>18</v>
      </c>
      <c r="L87" s="145">
        <f>SUMIFS(Table2[NewPointsAway],Table2[GameDate], "&lt;=" &amp; $A87, Table2[AwayTeam], L$1)+SUMIFS(Table2[NewPointsHome],Table2[GameDate], "&lt;=" &amp; $A87, Table2[HomeTeam], L$1)</f>
        <v>20</v>
      </c>
      <c r="M87" s="145">
        <f>SUMIFS(Table2[NewPointsAway],Table2[GameDate], "&lt;=" &amp; $A87, Table2[AwayTeam], M$1)+SUMIFS(Table2[NewPointsHome],Table2[GameDate], "&lt;=" &amp; $A87, Table2[HomeTeam], M$1)</f>
        <v>17</v>
      </c>
      <c r="N87" s="145">
        <f>SUMIFS(Table2[NewPointsAway],Table2[GameDate], "&lt;=" &amp; $A87, Table2[AwayTeam], N$1)+SUMIFS(Table2[NewPointsHome],Table2[GameDate], "&lt;=" &amp; $A87, Table2[HomeTeam], N$1)</f>
        <v>20</v>
      </c>
      <c r="O87" s="145">
        <f>SUMIFS(Table2[NewPointsAway],Table2[GameDate], "&lt;=" &amp; $A87, Table2[AwayTeam], O$1)+SUMIFS(Table2[NewPointsHome],Table2[GameDate], "&lt;=" &amp; $A87, Table2[HomeTeam], O$1)</f>
        <v>18</v>
      </c>
      <c r="P87" s="145">
        <f>SUMIFS(Table2[NewPointsAway],Table2[GameDate], "&lt;=" &amp; $A87, Table2[AwayTeam], P$1)+SUMIFS(Table2[NewPointsHome],Table2[GameDate], "&lt;=" &amp; $A87, Table2[HomeTeam], P$1)</f>
        <v>22</v>
      </c>
      <c r="Q87" s="145">
        <f>SUMIFS(Table2[NewPointsAway],Table2[GameDate], "&lt;=" &amp; $A87, Table2[AwayTeam], Q$1)+SUMIFS(Table2[NewPointsHome],Table2[GameDate], "&lt;=" &amp; $A87, Table2[HomeTeam], Q$1)</f>
        <v>23</v>
      </c>
      <c r="R87" s="145">
        <f>SUMIFS(Table2[NewPointsAway],Table2[GameDate], "&lt;=" &amp; $A87, Table2[AwayTeam], R$1)+SUMIFS(Table2[NewPointsHome],Table2[GameDate], "&lt;=" &amp; $A87, Table2[HomeTeam], R$1)</f>
        <v>14</v>
      </c>
      <c r="S87" s="145">
        <f>SUMIFS(Table2[NewPointsAway],Table2[GameDate], "&lt;=" &amp; $A87, Table2[AwayTeam], S$1)+SUMIFS(Table2[NewPointsHome],Table2[GameDate], "&lt;=" &amp; $A87, Table2[HomeTeam], S$1)</f>
        <v>18</v>
      </c>
      <c r="T87" s="145">
        <f>SUMIFS(Table2[NewPointsAway],Table2[GameDate], "&lt;=" &amp; $A87, Table2[AwayTeam], T$1)+SUMIFS(Table2[NewPointsHome],Table2[GameDate], "&lt;=" &amp; $A87, Table2[HomeTeam], T$1)</f>
        <v>20</v>
      </c>
      <c r="U87" s="145">
        <f>SUMIFS(Table2[NewPointsAway],Table2[GameDate], "&lt;=" &amp; $A87, Table2[AwayTeam], U$1)+SUMIFS(Table2[NewPointsHome],Table2[GameDate], "&lt;=" &amp; $A87, Table2[HomeTeam], U$1)</f>
        <v>20</v>
      </c>
      <c r="V87" s="145">
        <f>SUMIFS(Table2[NewPointsAway],Table2[GameDate], "&lt;=" &amp; $A87, Table2[AwayTeam], V$1)+SUMIFS(Table2[NewPointsHome],Table2[GameDate], "&lt;=" &amp; $A87, Table2[HomeTeam], V$1)</f>
        <v>19</v>
      </c>
      <c r="W87" s="145">
        <f>SUMIFS(Table2[NewPointsAway],Table2[GameDate], "&lt;=" &amp; $A87, Table2[AwayTeam], W$1)+SUMIFS(Table2[NewPointsHome],Table2[GameDate], "&lt;=" &amp; $A87, Table2[HomeTeam], W$1)</f>
        <v>21</v>
      </c>
      <c r="X87" s="145">
        <f>SUMIFS(Table2[NewPointsAway],Table2[GameDate], "&lt;=" &amp; $A87, Table2[AwayTeam], X$1)+SUMIFS(Table2[NewPointsHome],Table2[GameDate], "&lt;=" &amp; $A87, Table2[HomeTeam], X$1)</f>
        <v>19</v>
      </c>
      <c r="Y87" s="145">
        <f>SUMIFS(Table2[NewPointsAway],Table2[GameDate], "&lt;=" &amp; $A87, Table2[AwayTeam], Y$1)+SUMIFS(Table2[NewPointsHome],Table2[GameDate], "&lt;=" &amp; $A87, Table2[HomeTeam], Y$1)</f>
        <v>19</v>
      </c>
      <c r="Z87" s="145">
        <f>SUMIFS(Table2[NewPointsAway],Table2[GameDate], "&lt;=" &amp; $A87, Table2[AwayTeam], Z$1)+SUMIFS(Table2[NewPointsHome],Table2[GameDate], "&lt;=" &amp; $A87, Table2[HomeTeam], Z$1)</f>
        <v>15</v>
      </c>
      <c r="AA87" s="145">
        <f>SUMIFS(Table2[NewPointsAway],Table2[GameDate], "&lt;=" &amp; $A87, Table2[AwayTeam], AA$1)+SUMIFS(Table2[NewPointsHome],Table2[GameDate], "&lt;=" &amp; $A87, Table2[HomeTeam], AA$1)</f>
        <v>18</v>
      </c>
      <c r="AB87" s="145">
        <f>SUMIFS(Table2[NewPointsAway],Table2[GameDate], "&lt;=" &amp; $A87, Table2[AwayTeam], AB$1)+SUMIFS(Table2[NewPointsHome],Table2[GameDate], "&lt;=" &amp; $A87, Table2[HomeTeam], AB$1)</f>
        <v>17</v>
      </c>
      <c r="AC87" s="145">
        <f>SUMIFS(Table2[NewPointsAway],Table2[GameDate], "&lt;=" &amp; $A87, Table2[AwayTeam], AC$1)+SUMIFS(Table2[NewPointsHome],Table2[GameDate], "&lt;=" &amp; $A87, Table2[HomeTeam], AC$1)</f>
        <v>18</v>
      </c>
      <c r="AD87" s="145">
        <f>SUMIFS(Table2[NewPointsAway],Table2[GameDate], "&lt;=" &amp; $A87, Table2[AwayTeam], AD$1)+SUMIFS(Table2[NewPointsHome],Table2[GameDate], "&lt;=" &amp; $A87, Table2[HomeTeam], AD$1)</f>
        <v>17</v>
      </c>
      <c r="AE87" s="145">
        <f>SUMIFS(Table2[NewPointsAway],Table2[GameDate], "&lt;=" &amp; $A87, Table2[AwayTeam], AE$1)+SUMIFS(Table2[NewPointsHome],Table2[GameDate], "&lt;=" &amp; $A87, Table2[HomeTeam], AE$1)</f>
        <v>18</v>
      </c>
      <c r="AF87" s="145">
        <f>SUMIFS(Table2[NewPointsAway],Table2[GameDate], "&lt;=" &amp; $A87, Table2[AwayTeam], AF$1)+SUMIFS(Table2[NewPointsHome],Table2[GameDate], "&lt;=" &amp; $A87, Table2[HomeTeam], AF$1)</f>
        <v>20</v>
      </c>
      <c r="AG87" s="145">
        <f>SUMIFS(Table2[NewPointsAway],Table2[GameDate], "&lt;=" &amp; $A87, Table2[AwayTeam], AG$1)+SUMIFS(Table2[NewPointsHome],Table2[GameDate], "&lt;=" &amp; $A87, Table2[HomeTeam], AG$1)</f>
        <v>17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23</v>
      </c>
      <c r="C88" s="145">
        <f>SUMIFS(Table2[NewPointsAway],Table2[GameDate], "&lt;=" &amp; $A88, Table2[AwayTeam], C$1)+SUMIFS(Table2[NewPointsHome],Table2[GameDate], "&lt;=" &amp; $A88, Table2[HomeTeam], C$1)</f>
        <v>22</v>
      </c>
      <c r="D88" s="145">
        <f>SUMIFS(Table2[NewPointsAway],Table2[GameDate], "&lt;=" &amp; $A88, Table2[AwayTeam], D$1)+SUMIFS(Table2[NewPointsHome],Table2[GameDate], "&lt;=" &amp; $A88, Table2[HomeTeam], D$1)</f>
        <v>14</v>
      </c>
      <c r="E88" s="145">
        <f>SUMIFS(Table2[NewPointsAway],Table2[GameDate], "&lt;=" &amp; $A88, Table2[AwayTeam], E$1)+SUMIFS(Table2[NewPointsHome],Table2[GameDate], "&lt;=" &amp; $A88, Table2[HomeTeam], E$1)</f>
        <v>22</v>
      </c>
      <c r="F88" s="145">
        <f>SUMIFS(Table2[NewPointsAway],Table2[GameDate], "&lt;=" &amp; $A88, Table2[AwayTeam], F$1)+SUMIFS(Table2[NewPointsHome],Table2[GameDate], "&lt;=" &amp; $A88, Table2[HomeTeam], F$1)</f>
        <v>17</v>
      </c>
      <c r="G88" s="145">
        <f>SUMIFS(Table2[NewPointsAway],Table2[GameDate], "&lt;=" &amp; $A88, Table2[AwayTeam], G$1)+SUMIFS(Table2[NewPointsHome],Table2[GameDate], "&lt;=" &amp; $A88, Table2[HomeTeam], G$1)</f>
        <v>10</v>
      </c>
      <c r="H88" s="145">
        <f>SUMIFS(Table2[NewPointsAway],Table2[GameDate], "&lt;=" &amp; $A88, Table2[AwayTeam], H$1)+SUMIFS(Table2[NewPointsHome],Table2[GameDate], "&lt;=" &amp; $A88, Table2[HomeTeam], H$1)</f>
        <v>19</v>
      </c>
      <c r="I88" s="145">
        <f>SUMIFS(Table2[NewPointsAway],Table2[GameDate], "&lt;=" &amp; $A88, Table2[AwayTeam], I$1)+SUMIFS(Table2[NewPointsHome],Table2[GameDate], "&lt;=" &amp; $A88, Table2[HomeTeam], I$1)</f>
        <v>27</v>
      </c>
      <c r="J88" s="145">
        <f>SUMIFS(Table2[NewPointsAway],Table2[GameDate], "&lt;=" &amp; $A88, Table2[AwayTeam], J$1)+SUMIFS(Table2[NewPointsHome],Table2[GameDate], "&lt;=" &amp; $A88, Table2[HomeTeam], J$1)</f>
        <v>23</v>
      </c>
      <c r="K88" s="145">
        <f>SUMIFS(Table2[NewPointsAway],Table2[GameDate], "&lt;=" &amp; $A88, Table2[AwayTeam], K$1)+SUMIFS(Table2[NewPointsHome],Table2[GameDate], "&lt;=" &amp; $A88, Table2[HomeTeam], K$1)</f>
        <v>18</v>
      </c>
      <c r="L88" s="145">
        <f>SUMIFS(Table2[NewPointsAway],Table2[GameDate], "&lt;=" &amp; $A88, Table2[AwayTeam], L$1)+SUMIFS(Table2[NewPointsHome],Table2[GameDate], "&lt;=" &amp; $A88, Table2[HomeTeam], L$1)</f>
        <v>20</v>
      </c>
      <c r="M88" s="145">
        <f>SUMIFS(Table2[NewPointsAway],Table2[GameDate], "&lt;=" &amp; $A88, Table2[AwayTeam], M$1)+SUMIFS(Table2[NewPointsHome],Table2[GameDate], "&lt;=" &amp; $A88, Table2[HomeTeam], M$1)</f>
        <v>17</v>
      </c>
      <c r="N88" s="145">
        <f>SUMIFS(Table2[NewPointsAway],Table2[GameDate], "&lt;=" &amp; $A88, Table2[AwayTeam], N$1)+SUMIFS(Table2[NewPointsHome],Table2[GameDate], "&lt;=" &amp; $A88, Table2[HomeTeam], N$1)</f>
        <v>20</v>
      </c>
      <c r="O88" s="145">
        <f>SUMIFS(Table2[NewPointsAway],Table2[GameDate], "&lt;=" &amp; $A88, Table2[AwayTeam], O$1)+SUMIFS(Table2[NewPointsHome],Table2[GameDate], "&lt;=" &amp; $A88, Table2[HomeTeam], O$1)</f>
        <v>18</v>
      </c>
      <c r="P88" s="145">
        <f>SUMIFS(Table2[NewPointsAway],Table2[GameDate], "&lt;=" &amp; $A88, Table2[AwayTeam], P$1)+SUMIFS(Table2[NewPointsHome],Table2[GameDate], "&lt;=" &amp; $A88, Table2[HomeTeam], P$1)</f>
        <v>22</v>
      </c>
      <c r="Q88" s="145">
        <f>SUMIFS(Table2[NewPointsAway],Table2[GameDate], "&lt;=" &amp; $A88, Table2[AwayTeam], Q$1)+SUMIFS(Table2[NewPointsHome],Table2[GameDate], "&lt;=" &amp; $A88, Table2[HomeTeam], Q$1)</f>
        <v>23</v>
      </c>
      <c r="R88" s="145">
        <f>SUMIFS(Table2[NewPointsAway],Table2[GameDate], "&lt;=" &amp; $A88, Table2[AwayTeam], R$1)+SUMIFS(Table2[NewPointsHome],Table2[GameDate], "&lt;=" &amp; $A88, Table2[HomeTeam], R$1)</f>
        <v>14</v>
      </c>
      <c r="S88" s="145">
        <f>SUMIFS(Table2[NewPointsAway],Table2[GameDate], "&lt;=" &amp; $A88, Table2[AwayTeam], S$1)+SUMIFS(Table2[NewPointsHome],Table2[GameDate], "&lt;=" &amp; $A88, Table2[HomeTeam], S$1)</f>
        <v>18</v>
      </c>
      <c r="T88" s="145">
        <f>SUMIFS(Table2[NewPointsAway],Table2[GameDate], "&lt;=" &amp; $A88, Table2[AwayTeam], T$1)+SUMIFS(Table2[NewPointsHome],Table2[GameDate], "&lt;=" &amp; $A88, Table2[HomeTeam], T$1)</f>
        <v>20</v>
      </c>
      <c r="U88" s="145">
        <f>SUMIFS(Table2[NewPointsAway],Table2[GameDate], "&lt;=" &amp; $A88, Table2[AwayTeam], U$1)+SUMIFS(Table2[NewPointsHome],Table2[GameDate], "&lt;=" &amp; $A88, Table2[HomeTeam], U$1)</f>
        <v>20</v>
      </c>
      <c r="V88" s="145">
        <f>SUMIFS(Table2[NewPointsAway],Table2[GameDate], "&lt;=" &amp; $A88, Table2[AwayTeam], V$1)+SUMIFS(Table2[NewPointsHome],Table2[GameDate], "&lt;=" &amp; $A88, Table2[HomeTeam], V$1)</f>
        <v>19</v>
      </c>
      <c r="W88" s="145">
        <f>SUMIFS(Table2[NewPointsAway],Table2[GameDate], "&lt;=" &amp; $A88, Table2[AwayTeam], W$1)+SUMIFS(Table2[NewPointsHome],Table2[GameDate], "&lt;=" &amp; $A88, Table2[HomeTeam], W$1)</f>
        <v>21</v>
      </c>
      <c r="X88" s="145">
        <f>SUMIFS(Table2[NewPointsAway],Table2[GameDate], "&lt;=" &amp; $A88, Table2[AwayTeam], X$1)+SUMIFS(Table2[NewPointsHome],Table2[GameDate], "&lt;=" &amp; $A88, Table2[HomeTeam], X$1)</f>
        <v>19</v>
      </c>
      <c r="Y88" s="145">
        <f>SUMIFS(Table2[NewPointsAway],Table2[GameDate], "&lt;=" &amp; $A88, Table2[AwayTeam], Y$1)+SUMIFS(Table2[NewPointsHome],Table2[GameDate], "&lt;=" &amp; $A88, Table2[HomeTeam], Y$1)</f>
        <v>19</v>
      </c>
      <c r="Z88" s="145">
        <f>SUMIFS(Table2[NewPointsAway],Table2[GameDate], "&lt;=" &amp; $A88, Table2[AwayTeam], Z$1)+SUMIFS(Table2[NewPointsHome],Table2[GameDate], "&lt;=" &amp; $A88, Table2[HomeTeam], Z$1)</f>
        <v>15</v>
      </c>
      <c r="AA88" s="145">
        <f>SUMIFS(Table2[NewPointsAway],Table2[GameDate], "&lt;=" &amp; $A88, Table2[AwayTeam], AA$1)+SUMIFS(Table2[NewPointsHome],Table2[GameDate], "&lt;=" &amp; $A88, Table2[HomeTeam], AA$1)</f>
        <v>18</v>
      </c>
      <c r="AB88" s="145">
        <f>SUMIFS(Table2[NewPointsAway],Table2[GameDate], "&lt;=" &amp; $A88, Table2[AwayTeam], AB$1)+SUMIFS(Table2[NewPointsHome],Table2[GameDate], "&lt;=" &amp; $A88, Table2[HomeTeam], AB$1)</f>
        <v>17</v>
      </c>
      <c r="AC88" s="145">
        <f>SUMIFS(Table2[NewPointsAway],Table2[GameDate], "&lt;=" &amp; $A88, Table2[AwayTeam], AC$1)+SUMIFS(Table2[NewPointsHome],Table2[GameDate], "&lt;=" &amp; $A88, Table2[HomeTeam], AC$1)</f>
        <v>18</v>
      </c>
      <c r="AD88" s="145">
        <f>SUMIFS(Table2[NewPointsAway],Table2[GameDate], "&lt;=" &amp; $A88, Table2[AwayTeam], AD$1)+SUMIFS(Table2[NewPointsHome],Table2[GameDate], "&lt;=" &amp; $A88, Table2[HomeTeam], AD$1)</f>
        <v>17</v>
      </c>
      <c r="AE88" s="145">
        <f>SUMIFS(Table2[NewPointsAway],Table2[GameDate], "&lt;=" &amp; $A88, Table2[AwayTeam], AE$1)+SUMIFS(Table2[NewPointsHome],Table2[GameDate], "&lt;=" &amp; $A88, Table2[HomeTeam], AE$1)</f>
        <v>18</v>
      </c>
      <c r="AF88" s="145">
        <f>SUMIFS(Table2[NewPointsAway],Table2[GameDate], "&lt;=" &amp; $A88, Table2[AwayTeam], AF$1)+SUMIFS(Table2[NewPointsHome],Table2[GameDate], "&lt;=" &amp; $A88, Table2[HomeTeam], AF$1)</f>
        <v>20</v>
      </c>
      <c r="AG88" s="145">
        <f>SUMIFS(Table2[NewPointsAway],Table2[GameDate], "&lt;=" &amp; $A88, Table2[AwayTeam], AG$1)+SUMIFS(Table2[NewPointsHome],Table2[GameDate], "&lt;=" &amp; $A88, Table2[HomeTeam], AG$1)</f>
        <v>17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23</v>
      </c>
      <c r="C89" s="145">
        <f>SUMIFS(Table2[NewPointsAway],Table2[GameDate], "&lt;=" &amp; $A89, Table2[AwayTeam], C$1)+SUMIFS(Table2[NewPointsHome],Table2[GameDate], "&lt;=" &amp; $A89, Table2[HomeTeam], C$1)</f>
        <v>22</v>
      </c>
      <c r="D89" s="145">
        <f>SUMIFS(Table2[NewPointsAway],Table2[GameDate], "&lt;=" &amp; $A89, Table2[AwayTeam], D$1)+SUMIFS(Table2[NewPointsHome],Table2[GameDate], "&lt;=" &amp; $A89, Table2[HomeTeam], D$1)</f>
        <v>14</v>
      </c>
      <c r="E89" s="145">
        <f>SUMIFS(Table2[NewPointsAway],Table2[GameDate], "&lt;=" &amp; $A89, Table2[AwayTeam], E$1)+SUMIFS(Table2[NewPointsHome],Table2[GameDate], "&lt;=" &amp; $A89, Table2[HomeTeam], E$1)</f>
        <v>22</v>
      </c>
      <c r="F89" s="145">
        <f>SUMIFS(Table2[NewPointsAway],Table2[GameDate], "&lt;=" &amp; $A89, Table2[AwayTeam], F$1)+SUMIFS(Table2[NewPointsHome],Table2[GameDate], "&lt;=" &amp; $A89, Table2[HomeTeam], F$1)</f>
        <v>17</v>
      </c>
      <c r="G89" s="145">
        <f>SUMIFS(Table2[NewPointsAway],Table2[GameDate], "&lt;=" &amp; $A89, Table2[AwayTeam], G$1)+SUMIFS(Table2[NewPointsHome],Table2[GameDate], "&lt;=" &amp; $A89, Table2[HomeTeam], G$1)</f>
        <v>10</v>
      </c>
      <c r="H89" s="145">
        <f>SUMIFS(Table2[NewPointsAway],Table2[GameDate], "&lt;=" &amp; $A89, Table2[AwayTeam], H$1)+SUMIFS(Table2[NewPointsHome],Table2[GameDate], "&lt;=" &amp; $A89, Table2[HomeTeam], H$1)</f>
        <v>19</v>
      </c>
      <c r="I89" s="145">
        <f>SUMIFS(Table2[NewPointsAway],Table2[GameDate], "&lt;=" &amp; $A89, Table2[AwayTeam], I$1)+SUMIFS(Table2[NewPointsHome],Table2[GameDate], "&lt;=" &amp; $A89, Table2[HomeTeam], I$1)</f>
        <v>27</v>
      </c>
      <c r="J89" s="145">
        <f>SUMIFS(Table2[NewPointsAway],Table2[GameDate], "&lt;=" &amp; $A89, Table2[AwayTeam], J$1)+SUMIFS(Table2[NewPointsHome],Table2[GameDate], "&lt;=" &amp; $A89, Table2[HomeTeam], J$1)</f>
        <v>23</v>
      </c>
      <c r="K89" s="145">
        <f>SUMIFS(Table2[NewPointsAway],Table2[GameDate], "&lt;=" &amp; $A89, Table2[AwayTeam], K$1)+SUMIFS(Table2[NewPointsHome],Table2[GameDate], "&lt;=" &amp; $A89, Table2[HomeTeam], K$1)</f>
        <v>18</v>
      </c>
      <c r="L89" s="145">
        <f>SUMIFS(Table2[NewPointsAway],Table2[GameDate], "&lt;=" &amp; $A89, Table2[AwayTeam], L$1)+SUMIFS(Table2[NewPointsHome],Table2[GameDate], "&lt;=" &amp; $A89, Table2[HomeTeam], L$1)</f>
        <v>20</v>
      </c>
      <c r="M89" s="145">
        <f>SUMIFS(Table2[NewPointsAway],Table2[GameDate], "&lt;=" &amp; $A89, Table2[AwayTeam], M$1)+SUMIFS(Table2[NewPointsHome],Table2[GameDate], "&lt;=" &amp; $A89, Table2[HomeTeam], M$1)</f>
        <v>17</v>
      </c>
      <c r="N89" s="145">
        <f>SUMIFS(Table2[NewPointsAway],Table2[GameDate], "&lt;=" &amp; $A89, Table2[AwayTeam], N$1)+SUMIFS(Table2[NewPointsHome],Table2[GameDate], "&lt;=" &amp; $A89, Table2[HomeTeam], N$1)</f>
        <v>20</v>
      </c>
      <c r="O89" s="145">
        <f>SUMIFS(Table2[NewPointsAway],Table2[GameDate], "&lt;=" &amp; $A89, Table2[AwayTeam], O$1)+SUMIFS(Table2[NewPointsHome],Table2[GameDate], "&lt;=" &amp; $A89, Table2[HomeTeam], O$1)</f>
        <v>18</v>
      </c>
      <c r="P89" s="145">
        <f>SUMIFS(Table2[NewPointsAway],Table2[GameDate], "&lt;=" &amp; $A89, Table2[AwayTeam], P$1)+SUMIFS(Table2[NewPointsHome],Table2[GameDate], "&lt;=" &amp; $A89, Table2[HomeTeam], P$1)</f>
        <v>22</v>
      </c>
      <c r="Q89" s="145">
        <f>SUMIFS(Table2[NewPointsAway],Table2[GameDate], "&lt;=" &amp; $A89, Table2[AwayTeam], Q$1)+SUMIFS(Table2[NewPointsHome],Table2[GameDate], "&lt;=" &amp; $A89, Table2[HomeTeam], Q$1)</f>
        <v>23</v>
      </c>
      <c r="R89" s="145">
        <f>SUMIFS(Table2[NewPointsAway],Table2[GameDate], "&lt;=" &amp; $A89, Table2[AwayTeam], R$1)+SUMIFS(Table2[NewPointsHome],Table2[GameDate], "&lt;=" &amp; $A89, Table2[HomeTeam], R$1)</f>
        <v>14</v>
      </c>
      <c r="S89" s="145">
        <f>SUMIFS(Table2[NewPointsAway],Table2[GameDate], "&lt;=" &amp; $A89, Table2[AwayTeam], S$1)+SUMIFS(Table2[NewPointsHome],Table2[GameDate], "&lt;=" &amp; $A89, Table2[HomeTeam], S$1)</f>
        <v>18</v>
      </c>
      <c r="T89" s="145">
        <f>SUMIFS(Table2[NewPointsAway],Table2[GameDate], "&lt;=" &amp; $A89, Table2[AwayTeam], T$1)+SUMIFS(Table2[NewPointsHome],Table2[GameDate], "&lt;=" &amp; $A89, Table2[HomeTeam], T$1)</f>
        <v>20</v>
      </c>
      <c r="U89" s="145">
        <f>SUMIFS(Table2[NewPointsAway],Table2[GameDate], "&lt;=" &amp; $A89, Table2[AwayTeam], U$1)+SUMIFS(Table2[NewPointsHome],Table2[GameDate], "&lt;=" &amp; $A89, Table2[HomeTeam], U$1)</f>
        <v>20</v>
      </c>
      <c r="V89" s="145">
        <f>SUMIFS(Table2[NewPointsAway],Table2[GameDate], "&lt;=" &amp; $A89, Table2[AwayTeam], V$1)+SUMIFS(Table2[NewPointsHome],Table2[GameDate], "&lt;=" &amp; $A89, Table2[HomeTeam], V$1)</f>
        <v>19</v>
      </c>
      <c r="W89" s="145">
        <f>SUMIFS(Table2[NewPointsAway],Table2[GameDate], "&lt;=" &amp; $A89, Table2[AwayTeam], W$1)+SUMIFS(Table2[NewPointsHome],Table2[GameDate], "&lt;=" &amp; $A89, Table2[HomeTeam], W$1)</f>
        <v>21</v>
      </c>
      <c r="X89" s="145">
        <f>SUMIFS(Table2[NewPointsAway],Table2[GameDate], "&lt;=" &amp; $A89, Table2[AwayTeam], X$1)+SUMIFS(Table2[NewPointsHome],Table2[GameDate], "&lt;=" &amp; $A89, Table2[HomeTeam], X$1)</f>
        <v>19</v>
      </c>
      <c r="Y89" s="145">
        <f>SUMIFS(Table2[NewPointsAway],Table2[GameDate], "&lt;=" &amp; $A89, Table2[AwayTeam], Y$1)+SUMIFS(Table2[NewPointsHome],Table2[GameDate], "&lt;=" &amp; $A89, Table2[HomeTeam], Y$1)</f>
        <v>19</v>
      </c>
      <c r="Z89" s="145">
        <f>SUMIFS(Table2[NewPointsAway],Table2[GameDate], "&lt;=" &amp; $A89, Table2[AwayTeam], Z$1)+SUMIFS(Table2[NewPointsHome],Table2[GameDate], "&lt;=" &amp; $A89, Table2[HomeTeam], Z$1)</f>
        <v>15</v>
      </c>
      <c r="AA89" s="145">
        <f>SUMIFS(Table2[NewPointsAway],Table2[GameDate], "&lt;=" &amp; $A89, Table2[AwayTeam], AA$1)+SUMIFS(Table2[NewPointsHome],Table2[GameDate], "&lt;=" &amp; $A89, Table2[HomeTeam], AA$1)</f>
        <v>18</v>
      </c>
      <c r="AB89" s="145">
        <f>SUMIFS(Table2[NewPointsAway],Table2[GameDate], "&lt;=" &amp; $A89, Table2[AwayTeam], AB$1)+SUMIFS(Table2[NewPointsHome],Table2[GameDate], "&lt;=" &amp; $A89, Table2[HomeTeam], AB$1)</f>
        <v>17</v>
      </c>
      <c r="AC89" s="145">
        <f>SUMIFS(Table2[NewPointsAway],Table2[GameDate], "&lt;=" &amp; $A89, Table2[AwayTeam], AC$1)+SUMIFS(Table2[NewPointsHome],Table2[GameDate], "&lt;=" &amp; $A89, Table2[HomeTeam], AC$1)</f>
        <v>18</v>
      </c>
      <c r="AD89" s="145">
        <f>SUMIFS(Table2[NewPointsAway],Table2[GameDate], "&lt;=" &amp; $A89, Table2[AwayTeam], AD$1)+SUMIFS(Table2[NewPointsHome],Table2[GameDate], "&lt;=" &amp; $A89, Table2[HomeTeam], AD$1)</f>
        <v>17</v>
      </c>
      <c r="AE89" s="145">
        <f>SUMIFS(Table2[NewPointsAway],Table2[GameDate], "&lt;=" &amp; $A89, Table2[AwayTeam], AE$1)+SUMIFS(Table2[NewPointsHome],Table2[GameDate], "&lt;=" &amp; $A89, Table2[HomeTeam], AE$1)</f>
        <v>18</v>
      </c>
      <c r="AF89" s="145">
        <f>SUMIFS(Table2[NewPointsAway],Table2[GameDate], "&lt;=" &amp; $A89, Table2[AwayTeam], AF$1)+SUMIFS(Table2[NewPointsHome],Table2[GameDate], "&lt;=" &amp; $A89, Table2[HomeTeam], AF$1)</f>
        <v>20</v>
      </c>
      <c r="AG89" s="145">
        <f>SUMIFS(Table2[NewPointsAway],Table2[GameDate], "&lt;=" &amp; $A89, Table2[AwayTeam], AG$1)+SUMIFS(Table2[NewPointsHome],Table2[GameDate], "&lt;=" &amp; $A89, Table2[HomeTeam], AG$1)</f>
        <v>17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23</v>
      </c>
      <c r="C90" s="145">
        <f>SUMIFS(Table2[NewPointsAway],Table2[GameDate], "&lt;=" &amp; $A90, Table2[AwayTeam], C$1)+SUMIFS(Table2[NewPointsHome],Table2[GameDate], "&lt;=" &amp; $A90, Table2[HomeTeam], C$1)</f>
        <v>22</v>
      </c>
      <c r="D90" s="145">
        <f>SUMIFS(Table2[NewPointsAway],Table2[GameDate], "&lt;=" &amp; $A90, Table2[AwayTeam], D$1)+SUMIFS(Table2[NewPointsHome],Table2[GameDate], "&lt;=" &amp; $A90, Table2[HomeTeam], D$1)</f>
        <v>14</v>
      </c>
      <c r="E90" s="145">
        <f>SUMIFS(Table2[NewPointsAway],Table2[GameDate], "&lt;=" &amp; $A90, Table2[AwayTeam], E$1)+SUMIFS(Table2[NewPointsHome],Table2[GameDate], "&lt;=" &amp; $A90, Table2[HomeTeam], E$1)</f>
        <v>22</v>
      </c>
      <c r="F90" s="145">
        <f>SUMIFS(Table2[NewPointsAway],Table2[GameDate], "&lt;=" &amp; $A90, Table2[AwayTeam], F$1)+SUMIFS(Table2[NewPointsHome],Table2[GameDate], "&lt;=" &amp; $A90, Table2[HomeTeam], F$1)</f>
        <v>17</v>
      </c>
      <c r="G90" s="145">
        <f>SUMIFS(Table2[NewPointsAway],Table2[GameDate], "&lt;=" &amp; $A90, Table2[AwayTeam], G$1)+SUMIFS(Table2[NewPointsHome],Table2[GameDate], "&lt;=" &amp; $A90, Table2[HomeTeam], G$1)</f>
        <v>10</v>
      </c>
      <c r="H90" s="145">
        <f>SUMIFS(Table2[NewPointsAway],Table2[GameDate], "&lt;=" &amp; $A90, Table2[AwayTeam], H$1)+SUMIFS(Table2[NewPointsHome],Table2[GameDate], "&lt;=" &amp; $A90, Table2[HomeTeam], H$1)</f>
        <v>19</v>
      </c>
      <c r="I90" s="145">
        <f>SUMIFS(Table2[NewPointsAway],Table2[GameDate], "&lt;=" &amp; $A90, Table2[AwayTeam], I$1)+SUMIFS(Table2[NewPointsHome],Table2[GameDate], "&lt;=" &amp; $A90, Table2[HomeTeam], I$1)</f>
        <v>27</v>
      </c>
      <c r="J90" s="145">
        <f>SUMIFS(Table2[NewPointsAway],Table2[GameDate], "&lt;=" &amp; $A90, Table2[AwayTeam], J$1)+SUMIFS(Table2[NewPointsHome],Table2[GameDate], "&lt;=" &amp; $A90, Table2[HomeTeam], J$1)</f>
        <v>23</v>
      </c>
      <c r="K90" s="145">
        <f>SUMIFS(Table2[NewPointsAway],Table2[GameDate], "&lt;=" &amp; $A90, Table2[AwayTeam], K$1)+SUMIFS(Table2[NewPointsHome],Table2[GameDate], "&lt;=" &amp; $A90, Table2[HomeTeam], K$1)</f>
        <v>18</v>
      </c>
      <c r="L90" s="145">
        <f>SUMIFS(Table2[NewPointsAway],Table2[GameDate], "&lt;=" &amp; $A90, Table2[AwayTeam], L$1)+SUMIFS(Table2[NewPointsHome],Table2[GameDate], "&lt;=" &amp; $A90, Table2[HomeTeam], L$1)</f>
        <v>20</v>
      </c>
      <c r="M90" s="145">
        <f>SUMIFS(Table2[NewPointsAway],Table2[GameDate], "&lt;=" &amp; $A90, Table2[AwayTeam], M$1)+SUMIFS(Table2[NewPointsHome],Table2[GameDate], "&lt;=" &amp; $A90, Table2[HomeTeam], M$1)</f>
        <v>17</v>
      </c>
      <c r="N90" s="145">
        <f>SUMIFS(Table2[NewPointsAway],Table2[GameDate], "&lt;=" &amp; $A90, Table2[AwayTeam], N$1)+SUMIFS(Table2[NewPointsHome],Table2[GameDate], "&lt;=" &amp; $A90, Table2[HomeTeam], N$1)</f>
        <v>20</v>
      </c>
      <c r="O90" s="145">
        <f>SUMIFS(Table2[NewPointsAway],Table2[GameDate], "&lt;=" &amp; $A90, Table2[AwayTeam], O$1)+SUMIFS(Table2[NewPointsHome],Table2[GameDate], "&lt;=" &amp; $A90, Table2[HomeTeam], O$1)</f>
        <v>18</v>
      </c>
      <c r="P90" s="145">
        <f>SUMIFS(Table2[NewPointsAway],Table2[GameDate], "&lt;=" &amp; $A90, Table2[AwayTeam], P$1)+SUMIFS(Table2[NewPointsHome],Table2[GameDate], "&lt;=" &amp; $A90, Table2[HomeTeam], P$1)</f>
        <v>22</v>
      </c>
      <c r="Q90" s="145">
        <f>SUMIFS(Table2[NewPointsAway],Table2[GameDate], "&lt;=" &amp; $A90, Table2[AwayTeam], Q$1)+SUMIFS(Table2[NewPointsHome],Table2[GameDate], "&lt;=" &amp; $A90, Table2[HomeTeam], Q$1)</f>
        <v>23</v>
      </c>
      <c r="R90" s="145">
        <f>SUMIFS(Table2[NewPointsAway],Table2[GameDate], "&lt;=" &amp; $A90, Table2[AwayTeam], R$1)+SUMIFS(Table2[NewPointsHome],Table2[GameDate], "&lt;=" &amp; $A90, Table2[HomeTeam], R$1)</f>
        <v>14</v>
      </c>
      <c r="S90" s="145">
        <f>SUMIFS(Table2[NewPointsAway],Table2[GameDate], "&lt;=" &amp; $A90, Table2[AwayTeam], S$1)+SUMIFS(Table2[NewPointsHome],Table2[GameDate], "&lt;=" &amp; $A90, Table2[HomeTeam], S$1)</f>
        <v>18</v>
      </c>
      <c r="T90" s="145">
        <f>SUMIFS(Table2[NewPointsAway],Table2[GameDate], "&lt;=" &amp; $A90, Table2[AwayTeam], T$1)+SUMIFS(Table2[NewPointsHome],Table2[GameDate], "&lt;=" &amp; $A90, Table2[HomeTeam], T$1)</f>
        <v>20</v>
      </c>
      <c r="U90" s="145">
        <f>SUMIFS(Table2[NewPointsAway],Table2[GameDate], "&lt;=" &amp; $A90, Table2[AwayTeam], U$1)+SUMIFS(Table2[NewPointsHome],Table2[GameDate], "&lt;=" &amp; $A90, Table2[HomeTeam], U$1)</f>
        <v>20</v>
      </c>
      <c r="V90" s="145">
        <f>SUMIFS(Table2[NewPointsAway],Table2[GameDate], "&lt;=" &amp; $A90, Table2[AwayTeam], V$1)+SUMIFS(Table2[NewPointsHome],Table2[GameDate], "&lt;=" &amp; $A90, Table2[HomeTeam], V$1)</f>
        <v>19</v>
      </c>
      <c r="W90" s="145">
        <f>SUMIFS(Table2[NewPointsAway],Table2[GameDate], "&lt;=" &amp; $A90, Table2[AwayTeam], W$1)+SUMIFS(Table2[NewPointsHome],Table2[GameDate], "&lt;=" &amp; $A90, Table2[HomeTeam], W$1)</f>
        <v>21</v>
      </c>
      <c r="X90" s="145">
        <f>SUMIFS(Table2[NewPointsAway],Table2[GameDate], "&lt;=" &amp; $A90, Table2[AwayTeam], X$1)+SUMIFS(Table2[NewPointsHome],Table2[GameDate], "&lt;=" &amp; $A90, Table2[HomeTeam], X$1)</f>
        <v>19</v>
      </c>
      <c r="Y90" s="145">
        <f>SUMIFS(Table2[NewPointsAway],Table2[GameDate], "&lt;=" &amp; $A90, Table2[AwayTeam], Y$1)+SUMIFS(Table2[NewPointsHome],Table2[GameDate], "&lt;=" &amp; $A90, Table2[HomeTeam], Y$1)</f>
        <v>19</v>
      </c>
      <c r="Z90" s="145">
        <f>SUMIFS(Table2[NewPointsAway],Table2[GameDate], "&lt;=" &amp; $A90, Table2[AwayTeam], Z$1)+SUMIFS(Table2[NewPointsHome],Table2[GameDate], "&lt;=" &amp; $A90, Table2[HomeTeam], Z$1)</f>
        <v>15</v>
      </c>
      <c r="AA90" s="145">
        <f>SUMIFS(Table2[NewPointsAway],Table2[GameDate], "&lt;=" &amp; $A90, Table2[AwayTeam], AA$1)+SUMIFS(Table2[NewPointsHome],Table2[GameDate], "&lt;=" &amp; $A90, Table2[HomeTeam], AA$1)</f>
        <v>18</v>
      </c>
      <c r="AB90" s="145">
        <f>SUMIFS(Table2[NewPointsAway],Table2[GameDate], "&lt;=" &amp; $A90, Table2[AwayTeam], AB$1)+SUMIFS(Table2[NewPointsHome],Table2[GameDate], "&lt;=" &amp; $A90, Table2[HomeTeam], AB$1)</f>
        <v>17</v>
      </c>
      <c r="AC90" s="145">
        <f>SUMIFS(Table2[NewPointsAway],Table2[GameDate], "&lt;=" &amp; $A90, Table2[AwayTeam], AC$1)+SUMIFS(Table2[NewPointsHome],Table2[GameDate], "&lt;=" &amp; $A90, Table2[HomeTeam], AC$1)</f>
        <v>18</v>
      </c>
      <c r="AD90" s="145">
        <f>SUMIFS(Table2[NewPointsAway],Table2[GameDate], "&lt;=" &amp; $A90, Table2[AwayTeam], AD$1)+SUMIFS(Table2[NewPointsHome],Table2[GameDate], "&lt;=" &amp; $A90, Table2[HomeTeam], AD$1)</f>
        <v>17</v>
      </c>
      <c r="AE90" s="145">
        <f>SUMIFS(Table2[NewPointsAway],Table2[GameDate], "&lt;=" &amp; $A90, Table2[AwayTeam], AE$1)+SUMIFS(Table2[NewPointsHome],Table2[GameDate], "&lt;=" &amp; $A90, Table2[HomeTeam], AE$1)</f>
        <v>18</v>
      </c>
      <c r="AF90" s="145">
        <f>SUMIFS(Table2[NewPointsAway],Table2[GameDate], "&lt;=" &amp; $A90, Table2[AwayTeam], AF$1)+SUMIFS(Table2[NewPointsHome],Table2[GameDate], "&lt;=" &amp; $A90, Table2[HomeTeam], AF$1)</f>
        <v>20</v>
      </c>
      <c r="AG90" s="145">
        <f>SUMIFS(Table2[NewPointsAway],Table2[GameDate], "&lt;=" &amp; $A90, Table2[AwayTeam], AG$1)+SUMIFS(Table2[NewPointsHome],Table2[GameDate], "&lt;=" &amp; $A90, Table2[HomeTeam], AG$1)</f>
        <v>17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23</v>
      </c>
      <c r="C91" s="145">
        <f>SUMIFS(Table2[NewPointsAway],Table2[GameDate], "&lt;=" &amp; $A91, Table2[AwayTeam], C$1)+SUMIFS(Table2[NewPointsHome],Table2[GameDate], "&lt;=" &amp; $A91, Table2[HomeTeam], C$1)</f>
        <v>22</v>
      </c>
      <c r="D91" s="145">
        <f>SUMIFS(Table2[NewPointsAway],Table2[GameDate], "&lt;=" &amp; $A91, Table2[AwayTeam], D$1)+SUMIFS(Table2[NewPointsHome],Table2[GameDate], "&lt;=" &amp; $A91, Table2[HomeTeam], D$1)</f>
        <v>14</v>
      </c>
      <c r="E91" s="145">
        <f>SUMIFS(Table2[NewPointsAway],Table2[GameDate], "&lt;=" &amp; $A91, Table2[AwayTeam], E$1)+SUMIFS(Table2[NewPointsHome],Table2[GameDate], "&lt;=" &amp; $A91, Table2[HomeTeam], E$1)</f>
        <v>22</v>
      </c>
      <c r="F91" s="145">
        <f>SUMIFS(Table2[NewPointsAway],Table2[GameDate], "&lt;=" &amp; $A91, Table2[AwayTeam], F$1)+SUMIFS(Table2[NewPointsHome],Table2[GameDate], "&lt;=" &amp; $A91, Table2[HomeTeam], F$1)</f>
        <v>17</v>
      </c>
      <c r="G91" s="145">
        <f>SUMIFS(Table2[NewPointsAway],Table2[GameDate], "&lt;=" &amp; $A91, Table2[AwayTeam], G$1)+SUMIFS(Table2[NewPointsHome],Table2[GameDate], "&lt;=" &amp; $A91, Table2[HomeTeam], G$1)</f>
        <v>10</v>
      </c>
      <c r="H91" s="145">
        <f>SUMIFS(Table2[NewPointsAway],Table2[GameDate], "&lt;=" &amp; $A91, Table2[AwayTeam], H$1)+SUMIFS(Table2[NewPointsHome],Table2[GameDate], "&lt;=" &amp; $A91, Table2[HomeTeam], H$1)</f>
        <v>19</v>
      </c>
      <c r="I91" s="145">
        <f>SUMIFS(Table2[NewPointsAway],Table2[GameDate], "&lt;=" &amp; $A91, Table2[AwayTeam], I$1)+SUMIFS(Table2[NewPointsHome],Table2[GameDate], "&lt;=" &amp; $A91, Table2[HomeTeam], I$1)</f>
        <v>27</v>
      </c>
      <c r="J91" s="145">
        <f>SUMIFS(Table2[NewPointsAway],Table2[GameDate], "&lt;=" &amp; $A91, Table2[AwayTeam], J$1)+SUMIFS(Table2[NewPointsHome],Table2[GameDate], "&lt;=" &amp; $A91, Table2[HomeTeam], J$1)</f>
        <v>23</v>
      </c>
      <c r="K91" s="145">
        <f>SUMIFS(Table2[NewPointsAway],Table2[GameDate], "&lt;=" &amp; $A91, Table2[AwayTeam], K$1)+SUMIFS(Table2[NewPointsHome],Table2[GameDate], "&lt;=" &amp; $A91, Table2[HomeTeam], K$1)</f>
        <v>18</v>
      </c>
      <c r="L91" s="145">
        <f>SUMIFS(Table2[NewPointsAway],Table2[GameDate], "&lt;=" &amp; $A91, Table2[AwayTeam], L$1)+SUMIFS(Table2[NewPointsHome],Table2[GameDate], "&lt;=" &amp; $A91, Table2[HomeTeam], L$1)</f>
        <v>20</v>
      </c>
      <c r="M91" s="145">
        <f>SUMIFS(Table2[NewPointsAway],Table2[GameDate], "&lt;=" &amp; $A91, Table2[AwayTeam], M$1)+SUMIFS(Table2[NewPointsHome],Table2[GameDate], "&lt;=" &amp; $A91, Table2[HomeTeam], M$1)</f>
        <v>17</v>
      </c>
      <c r="N91" s="145">
        <f>SUMIFS(Table2[NewPointsAway],Table2[GameDate], "&lt;=" &amp; $A91, Table2[AwayTeam], N$1)+SUMIFS(Table2[NewPointsHome],Table2[GameDate], "&lt;=" &amp; $A91, Table2[HomeTeam], N$1)</f>
        <v>20</v>
      </c>
      <c r="O91" s="145">
        <f>SUMIFS(Table2[NewPointsAway],Table2[GameDate], "&lt;=" &amp; $A91, Table2[AwayTeam], O$1)+SUMIFS(Table2[NewPointsHome],Table2[GameDate], "&lt;=" &amp; $A91, Table2[HomeTeam], O$1)</f>
        <v>18</v>
      </c>
      <c r="P91" s="145">
        <f>SUMIFS(Table2[NewPointsAway],Table2[GameDate], "&lt;=" &amp; $A91, Table2[AwayTeam], P$1)+SUMIFS(Table2[NewPointsHome],Table2[GameDate], "&lt;=" &amp; $A91, Table2[HomeTeam], P$1)</f>
        <v>22</v>
      </c>
      <c r="Q91" s="145">
        <f>SUMIFS(Table2[NewPointsAway],Table2[GameDate], "&lt;=" &amp; $A91, Table2[AwayTeam], Q$1)+SUMIFS(Table2[NewPointsHome],Table2[GameDate], "&lt;=" &amp; $A91, Table2[HomeTeam], Q$1)</f>
        <v>23</v>
      </c>
      <c r="R91" s="145">
        <f>SUMIFS(Table2[NewPointsAway],Table2[GameDate], "&lt;=" &amp; $A91, Table2[AwayTeam], R$1)+SUMIFS(Table2[NewPointsHome],Table2[GameDate], "&lt;=" &amp; $A91, Table2[HomeTeam], R$1)</f>
        <v>14</v>
      </c>
      <c r="S91" s="145">
        <f>SUMIFS(Table2[NewPointsAway],Table2[GameDate], "&lt;=" &amp; $A91, Table2[AwayTeam], S$1)+SUMIFS(Table2[NewPointsHome],Table2[GameDate], "&lt;=" &amp; $A91, Table2[HomeTeam], S$1)</f>
        <v>18</v>
      </c>
      <c r="T91" s="145">
        <f>SUMIFS(Table2[NewPointsAway],Table2[GameDate], "&lt;=" &amp; $A91, Table2[AwayTeam], T$1)+SUMIFS(Table2[NewPointsHome],Table2[GameDate], "&lt;=" &amp; $A91, Table2[HomeTeam], T$1)</f>
        <v>20</v>
      </c>
      <c r="U91" s="145">
        <f>SUMIFS(Table2[NewPointsAway],Table2[GameDate], "&lt;=" &amp; $A91, Table2[AwayTeam], U$1)+SUMIFS(Table2[NewPointsHome],Table2[GameDate], "&lt;=" &amp; $A91, Table2[HomeTeam], U$1)</f>
        <v>20</v>
      </c>
      <c r="V91" s="145">
        <f>SUMIFS(Table2[NewPointsAway],Table2[GameDate], "&lt;=" &amp; $A91, Table2[AwayTeam], V$1)+SUMIFS(Table2[NewPointsHome],Table2[GameDate], "&lt;=" &amp; $A91, Table2[HomeTeam], V$1)</f>
        <v>19</v>
      </c>
      <c r="W91" s="145">
        <f>SUMIFS(Table2[NewPointsAway],Table2[GameDate], "&lt;=" &amp; $A91, Table2[AwayTeam], W$1)+SUMIFS(Table2[NewPointsHome],Table2[GameDate], "&lt;=" &amp; $A91, Table2[HomeTeam], W$1)</f>
        <v>21</v>
      </c>
      <c r="X91" s="145">
        <f>SUMIFS(Table2[NewPointsAway],Table2[GameDate], "&lt;=" &amp; $A91, Table2[AwayTeam], X$1)+SUMIFS(Table2[NewPointsHome],Table2[GameDate], "&lt;=" &amp; $A91, Table2[HomeTeam], X$1)</f>
        <v>19</v>
      </c>
      <c r="Y91" s="145">
        <f>SUMIFS(Table2[NewPointsAway],Table2[GameDate], "&lt;=" &amp; $A91, Table2[AwayTeam], Y$1)+SUMIFS(Table2[NewPointsHome],Table2[GameDate], "&lt;=" &amp; $A91, Table2[HomeTeam], Y$1)</f>
        <v>19</v>
      </c>
      <c r="Z91" s="145">
        <f>SUMIFS(Table2[NewPointsAway],Table2[GameDate], "&lt;=" &amp; $A91, Table2[AwayTeam], Z$1)+SUMIFS(Table2[NewPointsHome],Table2[GameDate], "&lt;=" &amp; $A91, Table2[HomeTeam], Z$1)</f>
        <v>15</v>
      </c>
      <c r="AA91" s="145">
        <f>SUMIFS(Table2[NewPointsAway],Table2[GameDate], "&lt;=" &amp; $A91, Table2[AwayTeam], AA$1)+SUMIFS(Table2[NewPointsHome],Table2[GameDate], "&lt;=" &amp; $A91, Table2[HomeTeam], AA$1)</f>
        <v>18</v>
      </c>
      <c r="AB91" s="145">
        <f>SUMIFS(Table2[NewPointsAway],Table2[GameDate], "&lt;=" &amp; $A91, Table2[AwayTeam], AB$1)+SUMIFS(Table2[NewPointsHome],Table2[GameDate], "&lt;=" &amp; $A91, Table2[HomeTeam], AB$1)</f>
        <v>17</v>
      </c>
      <c r="AC91" s="145">
        <f>SUMIFS(Table2[NewPointsAway],Table2[GameDate], "&lt;=" &amp; $A91, Table2[AwayTeam], AC$1)+SUMIFS(Table2[NewPointsHome],Table2[GameDate], "&lt;=" &amp; $A91, Table2[HomeTeam], AC$1)</f>
        <v>18</v>
      </c>
      <c r="AD91" s="145">
        <f>SUMIFS(Table2[NewPointsAway],Table2[GameDate], "&lt;=" &amp; $A91, Table2[AwayTeam], AD$1)+SUMIFS(Table2[NewPointsHome],Table2[GameDate], "&lt;=" &amp; $A91, Table2[HomeTeam], AD$1)</f>
        <v>17</v>
      </c>
      <c r="AE91" s="145">
        <f>SUMIFS(Table2[NewPointsAway],Table2[GameDate], "&lt;=" &amp; $A91, Table2[AwayTeam], AE$1)+SUMIFS(Table2[NewPointsHome],Table2[GameDate], "&lt;=" &amp; $A91, Table2[HomeTeam], AE$1)</f>
        <v>18</v>
      </c>
      <c r="AF91" s="145">
        <f>SUMIFS(Table2[NewPointsAway],Table2[GameDate], "&lt;=" &amp; $A91, Table2[AwayTeam], AF$1)+SUMIFS(Table2[NewPointsHome],Table2[GameDate], "&lt;=" &amp; $A91, Table2[HomeTeam], AF$1)</f>
        <v>20</v>
      </c>
      <c r="AG91" s="145">
        <f>SUMIFS(Table2[NewPointsAway],Table2[GameDate], "&lt;=" &amp; $A91, Table2[AwayTeam], AG$1)+SUMIFS(Table2[NewPointsHome],Table2[GameDate], "&lt;=" &amp; $A91, Table2[HomeTeam], AG$1)</f>
        <v>17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23</v>
      </c>
      <c r="C92" s="145">
        <f>SUMIFS(Table2[NewPointsAway],Table2[GameDate], "&lt;=" &amp; $A92, Table2[AwayTeam], C$1)+SUMIFS(Table2[NewPointsHome],Table2[GameDate], "&lt;=" &amp; $A92, Table2[HomeTeam], C$1)</f>
        <v>22</v>
      </c>
      <c r="D92" s="145">
        <f>SUMIFS(Table2[NewPointsAway],Table2[GameDate], "&lt;=" &amp; $A92, Table2[AwayTeam], D$1)+SUMIFS(Table2[NewPointsHome],Table2[GameDate], "&lt;=" &amp; $A92, Table2[HomeTeam], D$1)</f>
        <v>14</v>
      </c>
      <c r="E92" s="145">
        <f>SUMIFS(Table2[NewPointsAway],Table2[GameDate], "&lt;=" &amp; $A92, Table2[AwayTeam], E$1)+SUMIFS(Table2[NewPointsHome],Table2[GameDate], "&lt;=" &amp; $A92, Table2[HomeTeam], E$1)</f>
        <v>22</v>
      </c>
      <c r="F92" s="145">
        <f>SUMIFS(Table2[NewPointsAway],Table2[GameDate], "&lt;=" &amp; $A92, Table2[AwayTeam], F$1)+SUMIFS(Table2[NewPointsHome],Table2[GameDate], "&lt;=" &amp; $A92, Table2[HomeTeam], F$1)</f>
        <v>17</v>
      </c>
      <c r="G92" s="145">
        <f>SUMIFS(Table2[NewPointsAway],Table2[GameDate], "&lt;=" &amp; $A92, Table2[AwayTeam], G$1)+SUMIFS(Table2[NewPointsHome],Table2[GameDate], "&lt;=" &amp; $A92, Table2[HomeTeam], G$1)</f>
        <v>10</v>
      </c>
      <c r="H92" s="145">
        <f>SUMIFS(Table2[NewPointsAway],Table2[GameDate], "&lt;=" &amp; $A92, Table2[AwayTeam], H$1)+SUMIFS(Table2[NewPointsHome],Table2[GameDate], "&lt;=" &amp; $A92, Table2[HomeTeam], H$1)</f>
        <v>19</v>
      </c>
      <c r="I92" s="145">
        <f>SUMIFS(Table2[NewPointsAway],Table2[GameDate], "&lt;=" &amp; $A92, Table2[AwayTeam], I$1)+SUMIFS(Table2[NewPointsHome],Table2[GameDate], "&lt;=" &amp; $A92, Table2[HomeTeam], I$1)</f>
        <v>27</v>
      </c>
      <c r="J92" s="145">
        <f>SUMIFS(Table2[NewPointsAway],Table2[GameDate], "&lt;=" &amp; $A92, Table2[AwayTeam], J$1)+SUMIFS(Table2[NewPointsHome],Table2[GameDate], "&lt;=" &amp; $A92, Table2[HomeTeam], J$1)</f>
        <v>23</v>
      </c>
      <c r="K92" s="145">
        <f>SUMIFS(Table2[NewPointsAway],Table2[GameDate], "&lt;=" &amp; $A92, Table2[AwayTeam], K$1)+SUMIFS(Table2[NewPointsHome],Table2[GameDate], "&lt;=" &amp; $A92, Table2[HomeTeam], K$1)</f>
        <v>18</v>
      </c>
      <c r="L92" s="145">
        <f>SUMIFS(Table2[NewPointsAway],Table2[GameDate], "&lt;=" &amp; $A92, Table2[AwayTeam], L$1)+SUMIFS(Table2[NewPointsHome],Table2[GameDate], "&lt;=" &amp; $A92, Table2[HomeTeam], L$1)</f>
        <v>20</v>
      </c>
      <c r="M92" s="145">
        <f>SUMIFS(Table2[NewPointsAway],Table2[GameDate], "&lt;=" &amp; $A92, Table2[AwayTeam], M$1)+SUMIFS(Table2[NewPointsHome],Table2[GameDate], "&lt;=" &amp; $A92, Table2[HomeTeam], M$1)</f>
        <v>17</v>
      </c>
      <c r="N92" s="145">
        <f>SUMIFS(Table2[NewPointsAway],Table2[GameDate], "&lt;=" &amp; $A92, Table2[AwayTeam], N$1)+SUMIFS(Table2[NewPointsHome],Table2[GameDate], "&lt;=" &amp; $A92, Table2[HomeTeam], N$1)</f>
        <v>20</v>
      </c>
      <c r="O92" s="145">
        <f>SUMIFS(Table2[NewPointsAway],Table2[GameDate], "&lt;=" &amp; $A92, Table2[AwayTeam], O$1)+SUMIFS(Table2[NewPointsHome],Table2[GameDate], "&lt;=" &amp; $A92, Table2[HomeTeam], O$1)</f>
        <v>18</v>
      </c>
      <c r="P92" s="145">
        <f>SUMIFS(Table2[NewPointsAway],Table2[GameDate], "&lt;=" &amp; $A92, Table2[AwayTeam], P$1)+SUMIFS(Table2[NewPointsHome],Table2[GameDate], "&lt;=" &amp; $A92, Table2[HomeTeam], P$1)</f>
        <v>22</v>
      </c>
      <c r="Q92" s="145">
        <f>SUMIFS(Table2[NewPointsAway],Table2[GameDate], "&lt;=" &amp; $A92, Table2[AwayTeam], Q$1)+SUMIFS(Table2[NewPointsHome],Table2[GameDate], "&lt;=" &amp; $A92, Table2[HomeTeam], Q$1)</f>
        <v>23</v>
      </c>
      <c r="R92" s="145">
        <f>SUMIFS(Table2[NewPointsAway],Table2[GameDate], "&lt;=" &amp; $A92, Table2[AwayTeam], R$1)+SUMIFS(Table2[NewPointsHome],Table2[GameDate], "&lt;=" &amp; $A92, Table2[HomeTeam], R$1)</f>
        <v>14</v>
      </c>
      <c r="S92" s="145">
        <f>SUMIFS(Table2[NewPointsAway],Table2[GameDate], "&lt;=" &amp; $A92, Table2[AwayTeam], S$1)+SUMIFS(Table2[NewPointsHome],Table2[GameDate], "&lt;=" &amp; $A92, Table2[HomeTeam], S$1)</f>
        <v>18</v>
      </c>
      <c r="T92" s="145">
        <f>SUMIFS(Table2[NewPointsAway],Table2[GameDate], "&lt;=" &amp; $A92, Table2[AwayTeam], T$1)+SUMIFS(Table2[NewPointsHome],Table2[GameDate], "&lt;=" &amp; $A92, Table2[HomeTeam], T$1)</f>
        <v>20</v>
      </c>
      <c r="U92" s="145">
        <f>SUMIFS(Table2[NewPointsAway],Table2[GameDate], "&lt;=" &amp; $A92, Table2[AwayTeam], U$1)+SUMIFS(Table2[NewPointsHome],Table2[GameDate], "&lt;=" &amp; $A92, Table2[HomeTeam], U$1)</f>
        <v>20</v>
      </c>
      <c r="V92" s="145">
        <f>SUMIFS(Table2[NewPointsAway],Table2[GameDate], "&lt;=" &amp; $A92, Table2[AwayTeam], V$1)+SUMIFS(Table2[NewPointsHome],Table2[GameDate], "&lt;=" &amp; $A92, Table2[HomeTeam], V$1)</f>
        <v>19</v>
      </c>
      <c r="W92" s="145">
        <f>SUMIFS(Table2[NewPointsAway],Table2[GameDate], "&lt;=" &amp; $A92, Table2[AwayTeam], W$1)+SUMIFS(Table2[NewPointsHome],Table2[GameDate], "&lt;=" &amp; $A92, Table2[HomeTeam], W$1)</f>
        <v>21</v>
      </c>
      <c r="X92" s="145">
        <f>SUMIFS(Table2[NewPointsAway],Table2[GameDate], "&lt;=" &amp; $A92, Table2[AwayTeam], X$1)+SUMIFS(Table2[NewPointsHome],Table2[GameDate], "&lt;=" &amp; $A92, Table2[HomeTeam], X$1)</f>
        <v>19</v>
      </c>
      <c r="Y92" s="145">
        <f>SUMIFS(Table2[NewPointsAway],Table2[GameDate], "&lt;=" &amp; $A92, Table2[AwayTeam], Y$1)+SUMIFS(Table2[NewPointsHome],Table2[GameDate], "&lt;=" &amp; $A92, Table2[HomeTeam], Y$1)</f>
        <v>19</v>
      </c>
      <c r="Z92" s="145">
        <f>SUMIFS(Table2[NewPointsAway],Table2[GameDate], "&lt;=" &amp; $A92, Table2[AwayTeam], Z$1)+SUMIFS(Table2[NewPointsHome],Table2[GameDate], "&lt;=" &amp; $A92, Table2[HomeTeam], Z$1)</f>
        <v>15</v>
      </c>
      <c r="AA92" s="145">
        <f>SUMIFS(Table2[NewPointsAway],Table2[GameDate], "&lt;=" &amp; $A92, Table2[AwayTeam], AA$1)+SUMIFS(Table2[NewPointsHome],Table2[GameDate], "&lt;=" &amp; $A92, Table2[HomeTeam], AA$1)</f>
        <v>18</v>
      </c>
      <c r="AB92" s="145">
        <f>SUMIFS(Table2[NewPointsAway],Table2[GameDate], "&lt;=" &amp; $A92, Table2[AwayTeam], AB$1)+SUMIFS(Table2[NewPointsHome],Table2[GameDate], "&lt;=" &amp; $A92, Table2[HomeTeam], AB$1)</f>
        <v>17</v>
      </c>
      <c r="AC92" s="145">
        <f>SUMIFS(Table2[NewPointsAway],Table2[GameDate], "&lt;=" &amp; $A92, Table2[AwayTeam], AC$1)+SUMIFS(Table2[NewPointsHome],Table2[GameDate], "&lt;=" &amp; $A92, Table2[HomeTeam], AC$1)</f>
        <v>18</v>
      </c>
      <c r="AD92" s="145">
        <f>SUMIFS(Table2[NewPointsAway],Table2[GameDate], "&lt;=" &amp; $A92, Table2[AwayTeam], AD$1)+SUMIFS(Table2[NewPointsHome],Table2[GameDate], "&lt;=" &amp; $A92, Table2[HomeTeam], AD$1)</f>
        <v>17</v>
      </c>
      <c r="AE92" s="145">
        <f>SUMIFS(Table2[NewPointsAway],Table2[GameDate], "&lt;=" &amp; $A92, Table2[AwayTeam], AE$1)+SUMIFS(Table2[NewPointsHome],Table2[GameDate], "&lt;=" &amp; $A92, Table2[HomeTeam], AE$1)</f>
        <v>18</v>
      </c>
      <c r="AF92" s="145">
        <f>SUMIFS(Table2[NewPointsAway],Table2[GameDate], "&lt;=" &amp; $A92, Table2[AwayTeam], AF$1)+SUMIFS(Table2[NewPointsHome],Table2[GameDate], "&lt;=" &amp; $A92, Table2[HomeTeam], AF$1)</f>
        <v>20</v>
      </c>
      <c r="AG92" s="145">
        <f>SUMIFS(Table2[NewPointsAway],Table2[GameDate], "&lt;=" &amp; $A92, Table2[AwayTeam], AG$1)+SUMIFS(Table2[NewPointsHome],Table2[GameDate], "&lt;=" &amp; $A92, Table2[HomeTeam], AG$1)</f>
        <v>17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23</v>
      </c>
      <c r="C93" s="145">
        <f>SUMIFS(Table2[NewPointsAway],Table2[GameDate], "&lt;=" &amp; $A93, Table2[AwayTeam], C$1)+SUMIFS(Table2[NewPointsHome],Table2[GameDate], "&lt;=" &amp; $A93, Table2[HomeTeam], C$1)</f>
        <v>22</v>
      </c>
      <c r="D93" s="145">
        <f>SUMIFS(Table2[NewPointsAway],Table2[GameDate], "&lt;=" &amp; $A93, Table2[AwayTeam], D$1)+SUMIFS(Table2[NewPointsHome],Table2[GameDate], "&lt;=" &amp; $A93, Table2[HomeTeam], D$1)</f>
        <v>14</v>
      </c>
      <c r="E93" s="145">
        <f>SUMIFS(Table2[NewPointsAway],Table2[GameDate], "&lt;=" &amp; $A93, Table2[AwayTeam], E$1)+SUMIFS(Table2[NewPointsHome],Table2[GameDate], "&lt;=" &amp; $A93, Table2[HomeTeam], E$1)</f>
        <v>22</v>
      </c>
      <c r="F93" s="145">
        <f>SUMIFS(Table2[NewPointsAway],Table2[GameDate], "&lt;=" &amp; $A93, Table2[AwayTeam], F$1)+SUMIFS(Table2[NewPointsHome],Table2[GameDate], "&lt;=" &amp; $A93, Table2[HomeTeam], F$1)</f>
        <v>17</v>
      </c>
      <c r="G93" s="145">
        <f>SUMIFS(Table2[NewPointsAway],Table2[GameDate], "&lt;=" &amp; $A93, Table2[AwayTeam], G$1)+SUMIFS(Table2[NewPointsHome],Table2[GameDate], "&lt;=" &amp; $A93, Table2[HomeTeam], G$1)</f>
        <v>10</v>
      </c>
      <c r="H93" s="145">
        <f>SUMIFS(Table2[NewPointsAway],Table2[GameDate], "&lt;=" &amp; $A93, Table2[AwayTeam], H$1)+SUMIFS(Table2[NewPointsHome],Table2[GameDate], "&lt;=" &amp; $A93, Table2[HomeTeam], H$1)</f>
        <v>19</v>
      </c>
      <c r="I93" s="145">
        <f>SUMIFS(Table2[NewPointsAway],Table2[GameDate], "&lt;=" &amp; $A93, Table2[AwayTeam], I$1)+SUMIFS(Table2[NewPointsHome],Table2[GameDate], "&lt;=" &amp; $A93, Table2[HomeTeam], I$1)</f>
        <v>27</v>
      </c>
      <c r="J93" s="145">
        <f>SUMIFS(Table2[NewPointsAway],Table2[GameDate], "&lt;=" &amp; $A93, Table2[AwayTeam], J$1)+SUMIFS(Table2[NewPointsHome],Table2[GameDate], "&lt;=" &amp; $A93, Table2[HomeTeam], J$1)</f>
        <v>23</v>
      </c>
      <c r="K93" s="145">
        <f>SUMIFS(Table2[NewPointsAway],Table2[GameDate], "&lt;=" &amp; $A93, Table2[AwayTeam], K$1)+SUMIFS(Table2[NewPointsHome],Table2[GameDate], "&lt;=" &amp; $A93, Table2[HomeTeam], K$1)</f>
        <v>18</v>
      </c>
      <c r="L93" s="145">
        <f>SUMIFS(Table2[NewPointsAway],Table2[GameDate], "&lt;=" &amp; $A93, Table2[AwayTeam], L$1)+SUMIFS(Table2[NewPointsHome],Table2[GameDate], "&lt;=" &amp; $A93, Table2[HomeTeam], L$1)</f>
        <v>20</v>
      </c>
      <c r="M93" s="145">
        <f>SUMIFS(Table2[NewPointsAway],Table2[GameDate], "&lt;=" &amp; $A93, Table2[AwayTeam], M$1)+SUMIFS(Table2[NewPointsHome],Table2[GameDate], "&lt;=" &amp; $A93, Table2[HomeTeam], M$1)</f>
        <v>17</v>
      </c>
      <c r="N93" s="145">
        <f>SUMIFS(Table2[NewPointsAway],Table2[GameDate], "&lt;=" &amp; $A93, Table2[AwayTeam], N$1)+SUMIFS(Table2[NewPointsHome],Table2[GameDate], "&lt;=" &amp; $A93, Table2[HomeTeam], N$1)</f>
        <v>20</v>
      </c>
      <c r="O93" s="145">
        <f>SUMIFS(Table2[NewPointsAway],Table2[GameDate], "&lt;=" &amp; $A93, Table2[AwayTeam], O$1)+SUMIFS(Table2[NewPointsHome],Table2[GameDate], "&lt;=" &amp; $A93, Table2[HomeTeam], O$1)</f>
        <v>18</v>
      </c>
      <c r="P93" s="145">
        <f>SUMIFS(Table2[NewPointsAway],Table2[GameDate], "&lt;=" &amp; $A93, Table2[AwayTeam], P$1)+SUMIFS(Table2[NewPointsHome],Table2[GameDate], "&lt;=" &amp; $A93, Table2[HomeTeam], P$1)</f>
        <v>22</v>
      </c>
      <c r="Q93" s="145">
        <f>SUMIFS(Table2[NewPointsAway],Table2[GameDate], "&lt;=" &amp; $A93, Table2[AwayTeam], Q$1)+SUMIFS(Table2[NewPointsHome],Table2[GameDate], "&lt;=" &amp; $A93, Table2[HomeTeam], Q$1)</f>
        <v>23</v>
      </c>
      <c r="R93" s="145">
        <f>SUMIFS(Table2[NewPointsAway],Table2[GameDate], "&lt;=" &amp; $A93, Table2[AwayTeam], R$1)+SUMIFS(Table2[NewPointsHome],Table2[GameDate], "&lt;=" &amp; $A93, Table2[HomeTeam], R$1)</f>
        <v>14</v>
      </c>
      <c r="S93" s="145">
        <f>SUMIFS(Table2[NewPointsAway],Table2[GameDate], "&lt;=" &amp; $A93, Table2[AwayTeam], S$1)+SUMIFS(Table2[NewPointsHome],Table2[GameDate], "&lt;=" &amp; $A93, Table2[HomeTeam], S$1)</f>
        <v>18</v>
      </c>
      <c r="T93" s="145">
        <f>SUMIFS(Table2[NewPointsAway],Table2[GameDate], "&lt;=" &amp; $A93, Table2[AwayTeam], T$1)+SUMIFS(Table2[NewPointsHome],Table2[GameDate], "&lt;=" &amp; $A93, Table2[HomeTeam], T$1)</f>
        <v>20</v>
      </c>
      <c r="U93" s="145">
        <f>SUMIFS(Table2[NewPointsAway],Table2[GameDate], "&lt;=" &amp; $A93, Table2[AwayTeam], U$1)+SUMIFS(Table2[NewPointsHome],Table2[GameDate], "&lt;=" &amp; $A93, Table2[HomeTeam], U$1)</f>
        <v>20</v>
      </c>
      <c r="V93" s="145">
        <f>SUMIFS(Table2[NewPointsAway],Table2[GameDate], "&lt;=" &amp; $A93, Table2[AwayTeam], V$1)+SUMIFS(Table2[NewPointsHome],Table2[GameDate], "&lt;=" &amp; $A93, Table2[HomeTeam], V$1)</f>
        <v>19</v>
      </c>
      <c r="W93" s="145">
        <f>SUMIFS(Table2[NewPointsAway],Table2[GameDate], "&lt;=" &amp; $A93, Table2[AwayTeam], W$1)+SUMIFS(Table2[NewPointsHome],Table2[GameDate], "&lt;=" &amp; $A93, Table2[HomeTeam], W$1)</f>
        <v>21</v>
      </c>
      <c r="X93" s="145">
        <f>SUMIFS(Table2[NewPointsAway],Table2[GameDate], "&lt;=" &amp; $A93, Table2[AwayTeam], X$1)+SUMIFS(Table2[NewPointsHome],Table2[GameDate], "&lt;=" &amp; $A93, Table2[HomeTeam], X$1)</f>
        <v>19</v>
      </c>
      <c r="Y93" s="145">
        <f>SUMIFS(Table2[NewPointsAway],Table2[GameDate], "&lt;=" &amp; $A93, Table2[AwayTeam], Y$1)+SUMIFS(Table2[NewPointsHome],Table2[GameDate], "&lt;=" &amp; $A93, Table2[HomeTeam], Y$1)</f>
        <v>19</v>
      </c>
      <c r="Z93" s="145">
        <f>SUMIFS(Table2[NewPointsAway],Table2[GameDate], "&lt;=" &amp; $A93, Table2[AwayTeam], Z$1)+SUMIFS(Table2[NewPointsHome],Table2[GameDate], "&lt;=" &amp; $A93, Table2[HomeTeam], Z$1)</f>
        <v>15</v>
      </c>
      <c r="AA93" s="145">
        <f>SUMIFS(Table2[NewPointsAway],Table2[GameDate], "&lt;=" &amp; $A93, Table2[AwayTeam], AA$1)+SUMIFS(Table2[NewPointsHome],Table2[GameDate], "&lt;=" &amp; $A93, Table2[HomeTeam], AA$1)</f>
        <v>18</v>
      </c>
      <c r="AB93" s="145">
        <f>SUMIFS(Table2[NewPointsAway],Table2[GameDate], "&lt;=" &amp; $A93, Table2[AwayTeam], AB$1)+SUMIFS(Table2[NewPointsHome],Table2[GameDate], "&lt;=" &amp; $A93, Table2[HomeTeam], AB$1)</f>
        <v>17</v>
      </c>
      <c r="AC93" s="145">
        <f>SUMIFS(Table2[NewPointsAway],Table2[GameDate], "&lt;=" &amp; $A93, Table2[AwayTeam], AC$1)+SUMIFS(Table2[NewPointsHome],Table2[GameDate], "&lt;=" &amp; $A93, Table2[HomeTeam], AC$1)</f>
        <v>18</v>
      </c>
      <c r="AD93" s="145">
        <f>SUMIFS(Table2[NewPointsAway],Table2[GameDate], "&lt;=" &amp; $A93, Table2[AwayTeam], AD$1)+SUMIFS(Table2[NewPointsHome],Table2[GameDate], "&lt;=" &amp; $A93, Table2[HomeTeam], AD$1)</f>
        <v>17</v>
      </c>
      <c r="AE93" s="145">
        <f>SUMIFS(Table2[NewPointsAway],Table2[GameDate], "&lt;=" &amp; $A93, Table2[AwayTeam], AE$1)+SUMIFS(Table2[NewPointsHome],Table2[GameDate], "&lt;=" &amp; $A93, Table2[HomeTeam], AE$1)</f>
        <v>18</v>
      </c>
      <c r="AF93" s="145">
        <f>SUMIFS(Table2[NewPointsAway],Table2[GameDate], "&lt;=" &amp; $A93, Table2[AwayTeam], AF$1)+SUMIFS(Table2[NewPointsHome],Table2[GameDate], "&lt;=" &amp; $A93, Table2[HomeTeam], AF$1)</f>
        <v>20</v>
      </c>
      <c r="AG93" s="145">
        <f>SUMIFS(Table2[NewPointsAway],Table2[GameDate], "&lt;=" &amp; $A93, Table2[AwayTeam], AG$1)+SUMIFS(Table2[NewPointsHome],Table2[GameDate], "&lt;=" &amp; $A93, Table2[HomeTeam], AG$1)</f>
        <v>17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23</v>
      </c>
      <c r="C94" s="145">
        <f>SUMIFS(Table2[NewPointsAway],Table2[GameDate], "&lt;=" &amp; $A94, Table2[AwayTeam], C$1)+SUMIFS(Table2[NewPointsHome],Table2[GameDate], "&lt;=" &amp; $A94, Table2[HomeTeam], C$1)</f>
        <v>22</v>
      </c>
      <c r="D94" s="145">
        <f>SUMIFS(Table2[NewPointsAway],Table2[GameDate], "&lt;=" &amp; $A94, Table2[AwayTeam], D$1)+SUMIFS(Table2[NewPointsHome],Table2[GameDate], "&lt;=" &amp; $A94, Table2[HomeTeam], D$1)</f>
        <v>14</v>
      </c>
      <c r="E94" s="145">
        <f>SUMIFS(Table2[NewPointsAway],Table2[GameDate], "&lt;=" &amp; $A94, Table2[AwayTeam], E$1)+SUMIFS(Table2[NewPointsHome],Table2[GameDate], "&lt;=" &amp; $A94, Table2[HomeTeam], E$1)</f>
        <v>22</v>
      </c>
      <c r="F94" s="145">
        <f>SUMIFS(Table2[NewPointsAway],Table2[GameDate], "&lt;=" &amp; $A94, Table2[AwayTeam], F$1)+SUMIFS(Table2[NewPointsHome],Table2[GameDate], "&lt;=" &amp; $A94, Table2[HomeTeam], F$1)</f>
        <v>17</v>
      </c>
      <c r="G94" s="145">
        <f>SUMIFS(Table2[NewPointsAway],Table2[GameDate], "&lt;=" &amp; $A94, Table2[AwayTeam], G$1)+SUMIFS(Table2[NewPointsHome],Table2[GameDate], "&lt;=" &amp; $A94, Table2[HomeTeam], G$1)</f>
        <v>10</v>
      </c>
      <c r="H94" s="145">
        <f>SUMIFS(Table2[NewPointsAway],Table2[GameDate], "&lt;=" &amp; $A94, Table2[AwayTeam], H$1)+SUMIFS(Table2[NewPointsHome],Table2[GameDate], "&lt;=" &amp; $A94, Table2[HomeTeam], H$1)</f>
        <v>19</v>
      </c>
      <c r="I94" s="145">
        <f>SUMIFS(Table2[NewPointsAway],Table2[GameDate], "&lt;=" &amp; $A94, Table2[AwayTeam], I$1)+SUMIFS(Table2[NewPointsHome],Table2[GameDate], "&lt;=" &amp; $A94, Table2[HomeTeam], I$1)</f>
        <v>27</v>
      </c>
      <c r="J94" s="145">
        <f>SUMIFS(Table2[NewPointsAway],Table2[GameDate], "&lt;=" &amp; $A94, Table2[AwayTeam], J$1)+SUMIFS(Table2[NewPointsHome],Table2[GameDate], "&lt;=" &amp; $A94, Table2[HomeTeam], J$1)</f>
        <v>23</v>
      </c>
      <c r="K94" s="145">
        <f>SUMIFS(Table2[NewPointsAway],Table2[GameDate], "&lt;=" &amp; $A94, Table2[AwayTeam], K$1)+SUMIFS(Table2[NewPointsHome],Table2[GameDate], "&lt;=" &amp; $A94, Table2[HomeTeam], K$1)</f>
        <v>18</v>
      </c>
      <c r="L94" s="145">
        <f>SUMIFS(Table2[NewPointsAway],Table2[GameDate], "&lt;=" &amp; $A94, Table2[AwayTeam], L$1)+SUMIFS(Table2[NewPointsHome],Table2[GameDate], "&lt;=" &amp; $A94, Table2[HomeTeam], L$1)</f>
        <v>20</v>
      </c>
      <c r="M94" s="145">
        <f>SUMIFS(Table2[NewPointsAway],Table2[GameDate], "&lt;=" &amp; $A94, Table2[AwayTeam], M$1)+SUMIFS(Table2[NewPointsHome],Table2[GameDate], "&lt;=" &amp; $A94, Table2[HomeTeam], M$1)</f>
        <v>17</v>
      </c>
      <c r="N94" s="145">
        <f>SUMIFS(Table2[NewPointsAway],Table2[GameDate], "&lt;=" &amp; $A94, Table2[AwayTeam], N$1)+SUMIFS(Table2[NewPointsHome],Table2[GameDate], "&lt;=" &amp; $A94, Table2[HomeTeam], N$1)</f>
        <v>20</v>
      </c>
      <c r="O94" s="145">
        <f>SUMIFS(Table2[NewPointsAway],Table2[GameDate], "&lt;=" &amp; $A94, Table2[AwayTeam], O$1)+SUMIFS(Table2[NewPointsHome],Table2[GameDate], "&lt;=" &amp; $A94, Table2[HomeTeam], O$1)</f>
        <v>18</v>
      </c>
      <c r="P94" s="145">
        <f>SUMIFS(Table2[NewPointsAway],Table2[GameDate], "&lt;=" &amp; $A94, Table2[AwayTeam], P$1)+SUMIFS(Table2[NewPointsHome],Table2[GameDate], "&lt;=" &amp; $A94, Table2[HomeTeam], P$1)</f>
        <v>22</v>
      </c>
      <c r="Q94" s="145">
        <f>SUMIFS(Table2[NewPointsAway],Table2[GameDate], "&lt;=" &amp; $A94, Table2[AwayTeam], Q$1)+SUMIFS(Table2[NewPointsHome],Table2[GameDate], "&lt;=" &amp; $A94, Table2[HomeTeam], Q$1)</f>
        <v>23</v>
      </c>
      <c r="R94" s="145">
        <f>SUMIFS(Table2[NewPointsAway],Table2[GameDate], "&lt;=" &amp; $A94, Table2[AwayTeam], R$1)+SUMIFS(Table2[NewPointsHome],Table2[GameDate], "&lt;=" &amp; $A94, Table2[HomeTeam], R$1)</f>
        <v>14</v>
      </c>
      <c r="S94" s="145">
        <f>SUMIFS(Table2[NewPointsAway],Table2[GameDate], "&lt;=" &amp; $A94, Table2[AwayTeam], S$1)+SUMIFS(Table2[NewPointsHome],Table2[GameDate], "&lt;=" &amp; $A94, Table2[HomeTeam], S$1)</f>
        <v>18</v>
      </c>
      <c r="T94" s="145">
        <f>SUMIFS(Table2[NewPointsAway],Table2[GameDate], "&lt;=" &amp; $A94, Table2[AwayTeam], T$1)+SUMIFS(Table2[NewPointsHome],Table2[GameDate], "&lt;=" &amp; $A94, Table2[HomeTeam], T$1)</f>
        <v>20</v>
      </c>
      <c r="U94" s="145">
        <f>SUMIFS(Table2[NewPointsAway],Table2[GameDate], "&lt;=" &amp; $A94, Table2[AwayTeam], U$1)+SUMIFS(Table2[NewPointsHome],Table2[GameDate], "&lt;=" &amp; $A94, Table2[HomeTeam], U$1)</f>
        <v>20</v>
      </c>
      <c r="V94" s="145">
        <f>SUMIFS(Table2[NewPointsAway],Table2[GameDate], "&lt;=" &amp; $A94, Table2[AwayTeam], V$1)+SUMIFS(Table2[NewPointsHome],Table2[GameDate], "&lt;=" &amp; $A94, Table2[HomeTeam], V$1)</f>
        <v>19</v>
      </c>
      <c r="W94" s="145">
        <f>SUMIFS(Table2[NewPointsAway],Table2[GameDate], "&lt;=" &amp; $A94, Table2[AwayTeam], W$1)+SUMIFS(Table2[NewPointsHome],Table2[GameDate], "&lt;=" &amp; $A94, Table2[HomeTeam], W$1)</f>
        <v>21</v>
      </c>
      <c r="X94" s="145">
        <f>SUMIFS(Table2[NewPointsAway],Table2[GameDate], "&lt;=" &amp; $A94, Table2[AwayTeam], X$1)+SUMIFS(Table2[NewPointsHome],Table2[GameDate], "&lt;=" &amp; $A94, Table2[HomeTeam], X$1)</f>
        <v>19</v>
      </c>
      <c r="Y94" s="145">
        <f>SUMIFS(Table2[NewPointsAway],Table2[GameDate], "&lt;=" &amp; $A94, Table2[AwayTeam], Y$1)+SUMIFS(Table2[NewPointsHome],Table2[GameDate], "&lt;=" &amp; $A94, Table2[HomeTeam], Y$1)</f>
        <v>19</v>
      </c>
      <c r="Z94" s="145">
        <f>SUMIFS(Table2[NewPointsAway],Table2[GameDate], "&lt;=" &amp; $A94, Table2[AwayTeam], Z$1)+SUMIFS(Table2[NewPointsHome],Table2[GameDate], "&lt;=" &amp; $A94, Table2[HomeTeam], Z$1)</f>
        <v>15</v>
      </c>
      <c r="AA94" s="145">
        <f>SUMIFS(Table2[NewPointsAway],Table2[GameDate], "&lt;=" &amp; $A94, Table2[AwayTeam], AA$1)+SUMIFS(Table2[NewPointsHome],Table2[GameDate], "&lt;=" &amp; $A94, Table2[HomeTeam], AA$1)</f>
        <v>18</v>
      </c>
      <c r="AB94" s="145">
        <f>SUMIFS(Table2[NewPointsAway],Table2[GameDate], "&lt;=" &amp; $A94, Table2[AwayTeam], AB$1)+SUMIFS(Table2[NewPointsHome],Table2[GameDate], "&lt;=" &amp; $A94, Table2[HomeTeam], AB$1)</f>
        <v>17</v>
      </c>
      <c r="AC94" s="145">
        <f>SUMIFS(Table2[NewPointsAway],Table2[GameDate], "&lt;=" &amp; $A94, Table2[AwayTeam], AC$1)+SUMIFS(Table2[NewPointsHome],Table2[GameDate], "&lt;=" &amp; $A94, Table2[HomeTeam], AC$1)</f>
        <v>18</v>
      </c>
      <c r="AD94" s="145">
        <f>SUMIFS(Table2[NewPointsAway],Table2[GameDate], "&lt;=" &amp; $A94, Table2[AwayTeam], AD$1)+SUMIFS(Table2[NewPointsHome],Table2[GameDate], "&lt;=" &amp; $A94, Table2[HomeTeam], AD$1)</f>
        <v>17</v>
      </c>
      <c r="AE94" s="145">
        <f>SUMIFS(Table2[NewPointsAway],Table2[GameDate], "&lt;=" &amp; $A94, Table2[AwayTeam], AE$1)+SUMIFS(Table2[NewPointsHome],Table2[GameDate], "&lt;=" &amp; $A94, Table2[HomeTeam], AE$1)</f>
        <v>18</v>
      </c>
      <c r="AF94" s="145">
        <f>SUMIFS(Table2[NewPointsAway],Table2[GameDate], "&lt;=" &amp; $A94, Table2[AwayTeam], AF$1)+SUMIFS(Table2[NewPointsHome],Table2[GameDate], "&lt;=" &amp; $A94, Table2[HomeTeam], AF$1)</f>
        <v>20</v>
      </c>
      <c r="AG94" s="145">
        <f>SUMIFS(Table2[NewPointsAway],Table2[GameDate], "&lt;=" &amp; $A94, Table2[AwayTeam], AG$1)+SUMIFS(Table2[NewPointsHome],Table2[GameDate], "&lt;=" &amp; $A94, Table2[HomeTeam], AG$1)</f>
        <v>17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23</v>
      </c>
      <c r="C95" s="145">
        <f>SUMIFS(Table2[NewPointsAway],Table2[GameDate], "&lt;=" &amp; $A95, Table2[AwayTeam], C$1)+SUMIFS(Table2[NewPointsHome],Table2[GameDate], "&lt;=" &amp; $A95, Table2[HomeTeam], C$1)</f>
        <v>22</v>
      </c>
      <c r="D95" s="145">
        <f>SUMIFS(Table2[NewPointsAway],Table2[GameDate], "&lt;=" &amp; $A95, Table2[AwayTeam], D$1)+SUMIFS(Table2[NewPointsHome],Table2[GameDate], "&lt;=" &amp; $A95, Table2[HomeTeam], D$1)</f>
        <v>14</v>
      </c>
      <c r="E95" s="145">
        <f>SUMIFS(Table2[NewPointsAway],Table2[GameDate], "&lt;=" &amp; $A95, Table2[AwayTeam], E$1)+SUMIFS(Table2[NewPointsHome],Table2[GameDate], "&lt;=" &amp; $A95, Table2[HomeTeam], E$1)</f>
        <v>22</v>
      </c>
      <c r="F95" s="145">
        <f>SUMIFS(Table2[NewPointsAway],Table2[GameDate], "&lt;=" &amp; $A95, Table2[AwayTeam], F$1)+SUMIFS(Table2[NewPointsHome],Table2[GameDate], "&lt;=" &amp; $A95, Table2[HomeTeam], F$1)</f>
        <v>17</v>
      </c>
      <c r="G95" s="145">
        <f>SUMIFS(Table2[NewPointsAway],Table2[GameDate], "&lt;=" &amp; $A95, Table2[AwayTeam], G$1)+SUMIFS(Table2[NewPointsHome],Table2[GameDate], "&lt;=" &amp; $A95, Table2[HomeTeam], G$1)</f>
        <v>10</v>
      </c>
      <c r="H95" s="145">
        <f>SUMIFS(Table2[NewPointsAway],Table2[GameDate], "&lt;=" &amp; $A95, Table2[AwayTeam], H$1)+SUMIFS(Table2[NewPointsHome],Table2[GameDate], "&lt;=" &amp; $A95, Table2[HomeTeam], H$1)</f>
        <v>19</v>
      </c>
      <c r="I95" s="145">
        <f>SUMIFS(Table2[NewPointsAway],Table2[GameDate], "&lt;=" &amp; $A95, Table2[AwayTeam], I$1)+SUMIFS(Table2[NewPointsHome],Table2[GameDate], "&lt;=" &amp; $A95, Table2[HomeTeam], I$1)</f>
        <v>27</v>
      </c>
      <c r="J95" s="145">
        <f>SUMIFS(Table2[NewPointsAway],Table2[GameDate], "&lt;=" &amp; $A95, Table2[AwayTeam], J$1)+SUMIFS(Table2[NewPointsHome],Table2[GameDate], "&lt;=" &amp; $A95, Table2[HomeTeam], J$1)</f>
        <v>23</v>
      </c>
      <c r="K95" s="145">
        <f>SUMIFS(Table2[NewPointsAway],Table2[GameDate], "&lt;=" &amp; $A95, Table2[AwayTeam], K$1)+SUMIFS(Table2[NewPointsHome],Table2[GameDate], "&lt;=" &amp; $A95, Table2[HomeTeam], K$1)</f>
        <v>18</v>
      </c>
      <c r="L95" s="145">
        <f>SUMIFS(Table2[NewPointsAway],Table2[GameDate], "&lt;=" &amp; $A95, Table2[AwayTeam], L$1)+SUMIFS(Table2[NewPointsHome],Table2[GameDate], "&lt;=" &amp; $A95, Table2[HomeTeam], L$1)</f>
        <v>20</v>
      </c>
      <c r="M95" s="145">
        <f>SUMIFS(Table2[NewPointsAway],Table2[GameDate], "&lt;=" &amp; $A95, Table2[AwayTeam], M$1)+SUMIFS(Table2[NewPointsHome],Table2[GameDate], "&lt;=" &amp; $A95, Table2[HomeTeam], M$1)</f>
        <v>17</v>
      </c>
      <c r="N95" s="145">
        <f>SUMIFS(Table2[NewPointsAway],Table2[GameDate], "&lt;=" &amp; $A95, Table2[AwayTeam], N$1)+SUMIFS(Table2[NewPointsHome],Table2[GameDate], "&lt;=" &amp; $A95, Table2[HomeTeam], N$1)</f>
        <v>20</v>
      </c>
      <c r="O95" s="145">
        <f>SUMIFS(Table2[NewPointsAway],Table2[GameDate], "&lt;=" &amp; $A95, Table2[AwayTeam], O$1)+SUMIFS(Table2[NewPointsHome],Table2[GameDate], "&lt;=" &amp; $A95, Table2[HomeTeam], O$1)</f>
        <v>18</v>
      </c>
      <c r="P95" s="145">
        <f>SUMIFS(Table2[NewPointsAway],Table2[GameDate], "&lt;=" &amp; $A95, Table2[AwayTeam], P$1)+SUMIFS(Table2[NewPointsHome],Table2[GameDate], "&lt;=" &amp; $A95, Table2[HomeTeam], P$1)</f>
        <v>22</v>
      </c>
      <c r="Q95" s="145">
        <f>SUMIFS(Table2[NewPointsAway],Table2[GameDate], "&lt;=" &amp; $A95, Table2[AwayTeam], Q$1)+SUMIFS(Table2[NewPointsHome],Table2[GameDate], "&lt;=" &amp; $A95, Table2[HomeTeam], Q$1)</f>
        <v>23</v>
      </c>
      <c r="R95" s="145">
        <f>SUMIFS(Table2[NewPointsAway],Table2[GameDate], "&lt;=" &amp; $A95, Table2[AwayTeam], R$1)+SUMIFS(Table2[NewPointsHome],Table2[GameDate], "&lt;=" &amp; $A95, Table2[HomeTeam], R$1)</f>
        <v>14</v>
      </c>
      <c r="S95" s="145">
        <f>SUMIFS(Table2[NewPointsAway],Table2[GameDate], "&lt;=" &amp; $A95, Table2[AwayTeam], S$1)+SUMIFS(Table2[NewPointsHome],Table2[GameDate], "&lt;=" &amp; $A95, Table2[HomeTeam], S$1)</f>
        <v>18</v>
      </c>
      <c r="T95" s="145">
        <f>SUMIFS(Table2[NewPointsAway],Table2[GameDate], "&lt;=" &amp; $A95, Table2[AwayTeam], T$1)+SUMIFS(Table2[NewPointsHome],Table2[GameDate], "&lt;=" &amp; $A95, Table2[HomeTeam], T$1)</f>
        <v>20</v>
      </c>
      <c r="U95" s="145">
        <f>SUMIFS(Table2[NewPointsAway],Table2[GameDate], "&lt;=" &amp; $A95, Table2[AwayTeam], U$1)+SUMIFS(Table2[NewPointsHome],Table2[GameDate], "&lt;=" &amp; $A95, Table2[HomeTeam], U$1)</f>
        <v>20</v>
      </c>
      <c r="V95" s="145">
        <f>SUMIFS(Table2[NewPointsAway],Table2[GameDate], "&lt;=" &amp; $A95, Table2[AwayTeam], V$1)+SUMIFS(Table2[NewPointsHome],Table2[GameDate], "&lt;=" &amp; $A95, Table2[HomeTeam], V$1)</f>
        <v>19</v>
      </c>
      <c r="W95" s="145">
        <f>SUMIFS(Table2[NewPointsAway],Table2[GameDate], "&lt;=" &amp; $A95, Table2[AwayTeam], W$1)+SUMIFS(Table2[NewPointsHome],Table2[GameDate], "&lt;=" &amp; $A95, Table2[HomeTeam], W$1)</f>
        <v>21</v>
      </c>
      <c r="X95" s="145">
        <f>SUMIFS(Table2[NewPointsAway],Table2[GameDate], "&lt;=" &amp; $A95, Table2[AwayTeam], X$1)+SUMIFS(Table2[NewPointsHome],Table2[GameDate], "&lt;=" &amp; $A95, Table2[HomeTeam], X$1)</f>
        <v>19</v>
      </c>
      <c r="Y95" s="145">
        <f>SUMIFS(Table2[NewPointsAway],Table2[GameDate], "&lt;=" &amp; $A95, Table2[AwayTeam], Y$1)+SUMIFS(Table2[NewPointsHome],Table2[GameDate], "&lt;=" &amp; $A95, Table2[HomeTeam], Y$1)</f>
        <v>19</v>
      </c>
      <c r="Z95" s="145">
        <f>SUMIFS(Table2[NewPointsAway],Table2[GameDate], "&lt;=" &amp; $A95, Table2[AwayTeam], Z$1)+SUMIFS(Table2[NewPointsHome],Table2[GameDate], "&lt;=" &amp; $A95, Table2[HomeTeam], Z$1)</f>
        <v>15</v>
      </c>
      <c r="AA95" s="145">
        <f>SUMIFS(Table2[NewPointsAway],Table2[GameDate], "&lt;=" &amp; $A95, Table2[AwayTeam], AA$1)+SUMIFS(Table2[NewPointsHome],Table2[GameDate], "&lt;=" &amp; $A95, Table2[HomeTeam], AA$1)</f>
        <v>18</v>
      </c>
      <c r="AB95" s="145">
        <f>SUMIFS(Table2[NewPointsAway],Table2[GameDate], "&lt;=" &amp; $A95, Table2[AwayTeam], AB$1)+SUMIFS(Table2[NewPointsHome],Table2[GameDate], "&lt;=" &amp; $A95, Table2[HomeTeam], AB$1)</f>
        <v>17</v>
      </c>
      <c r="AC95" s="145">
        <f>SUMIFS(Table2[NewPointsAway],Table2[GameDate], "&lt;=" &amp; $A95, Table2[AwayTeam], AC$1)+SUMIFS(Table2[NewPointsHome],Table2[GameDate], "&lt;=" &amp; $A95, Table2[HomeTeam], AC$1)</f>
        <v>18</v>
      </c>
      <c r="AD95" s="145">
        <f>SUMIFS(Table2[NewPointsAway],Table2[GameDate], "&lt;=" &amp; $A95, Table2[AwayTeam], AD$1)+SUMIFS(Table2[NewPointsHome],Table2[GameDate], "&lt;=" &amp; $A95, Table2[HomeTeam], AD$1)</f>
        <v>17</v>
      </c>
      <c r="AE95" s="145">
        <f>SUMIFS(Table2[NewPointsAway],Table2[GameDate], "&lt;=" &amp; $A95, Table2[AwayTeam], AE$1)+SUMIFS(Table2[NewPointsHome],Table2[GameDate], "&lt;=" &amp; $A95, Table2[HomeTeam], AE$1)</f>
        <v>18</v>
      </c>
      <c r="AF95" s="145">
        <f>SUMIFS(Table2[NewPointsAway],Table2[GameDate], "&lt;=" &amp; $A95, Table2[AwayTeam], AF$1)+SUMIFS(Table2[NewPointsHome],Table2[GameDate], "&lt;=" &amp; $A95, Table2[HomeTeam], AF$1)</f>
        <v>20</v>
      </c>
      <c r="AG95" s="145">
        <f>SUMIFS(Table2[NewPointsAway],Table2[GameDate], "&lt;=" &amp; $A95, Table2[AwayTeam], AG$1)+SUMIFS(Table2[NewPointsHome],Table2[GameDate], "&lt;=" &amp; $A95, Table2[HomeTeam], AG$1)</f>
        <v>17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23</v>
      </c>
      <c r="C96" s="145">
        <f>SUMIFS(Table2[NewPointsAway],Table2[GameDate], "&lt;=" &amp; $A96, Table2[AwayTeam], C$1)+SUMIFS(Table2[NewPointsHome],Table2[GameDate], "&lt;=" &amp; $A96, Table2[HomeTeam], C$1)</f>
        <v>22</v>
      </c>
      <c r="D96" s="145">
        <f>SUMIFS(Table2[NewPointsAway],Table2[GameDate], "&lt;=" &amp; $A96, Table2[AwayTeam], D$1)+SUMIFS(Table2[NewPointsHome],Table2[GameDate], "&lt;=" &amp; $A96, Table2[HomeTeam], D$1)</f>
        <v>14</v>
      </c>
      <c r="E96" s="145">
        <f>SUMIFS(Table2[NewPointsAway],Table2[GameDate], "&lt;=" &amp; $A96, Table2[AwayTeam], E$1)+SUMIFS(Table2[NewPointsHome],Table2[GameDate], "&lt;=" &amp; $A96, Table2[HomeTeam], E$1)</f>
        <v>22</v>
      </c>
      <c r="F96" s="145">
        <f>SUMIFS(Table2[NewPointsAway],Table2[GameDate], "&lt;=" &amp; $A96, Table2[AwayTeam], F$1)+SUMIFS(Table2[NewPointsHome],Table2[GameDate], "&lt;=" &amp; $A96, Table2[HomeTeam], F$1)</f>
        <v>17</v>
      </c>
      <c r="G96" s="145">
        <f>SUMIFS(Table2[NewPointsAway],Table2[GameDate], "&lt;=" &amp; $A96, Table2[AwayTeam], G$1)+SUMIFS(Table2[NewPointsHome],Table2[GameDate], "&lt;=" &amp; $A96, Table2[HomeTeam], G$1)</f>
        <v>10</v>
      </c>
      <c r="H96" s="145">
        <f>SUMIFS(Table2[NewPointsAway],Table2[GameDate], "&lt;=" &amp; $A96, Table2[AwayTeam], H$1)+SUMIFS(Table2[NewPointsHome],Table2[GameDate], "&lt;=" &amp; $A96, Table2[HomeTeam], H$1)</f>
        <v>19</v>
      </c>
      <c r="I96" s="145">
        <f>SUMIFS(Table2[NewPointsAway],Table2[GameDate], "&lt;=" &amp; $A96, Table2[AwayTeam], I$1)+SUMIFS(Table2[NewPointsHome],Table2[GameDate], "&lt;=" &amp; $A96, Table2[HomeTeam], I$1)</f>
        <v>27</v>
      </c>
      <c r="J96" s="145">
        <f>SUMIFS(Table2[NewPointsAway],Table2[GameDate], "&lt;=" &amp; $A96, Table2[AwayTeam], J$1)+SUMIFS(Table2[NewPointsHome],Table2[GameDate], "&lt;=" &amp; $A96, Table2[HomeTeam], J$1)</f>
        <v>23</v>
      </c>
      <c r="K96" s="145">
        <f>SUMIFS(Table2[NewPointsAway],Table2[GameDate], "&lt;=" &amp; $A96, Table2[AwayTeam], K$1)+SUMIFS(Table2[NewPointsHome],Table2[GameDate], "&lt;=" &amp; $A96, Table2[HomeTeam], K$1)</f>
        <v>18</v>
      </c>
      <c r="L96" s="145">
        <f>SUMIFS(Table2[NewPointsAway],Table2[GameDate], "&lt;=" &amp; $A96, Table2[AwayTeam], L$1)+SUMIFS(Table2[NewPointsHome],Table2[GameDate], "&lt;=" &amp; $A96, Table2[HomeTeam], L$1)</f>
        <v>20</v>
      </c>
      <c r="M96" s="145">
        <f>SUMIFS(Table2[NewPointsAway],Table2[GameDate], "&lt;=" &amp; $A96, Table2[AwayTeam], M$1)+SUMIFS(Table2[NewPointsHome],Table2[GameDate], "&lt;=" &amp; $A96, Table2[HomeTeam], M$1)</f>
        <v>17</v>
      </c>
      <c r="N96" s="145">
        <f>SUMIFS(Table2[NewPointsAway],Table2[GameDate], "&lt;=" &amp; $A96, Table2[AwayTeam], N$1)+SUMIFS(Table2[NewPointsHome],Table2[GameDate], "&lt;=" &amp; $A96, Table2[HomeTeam], N$1)</f>
        <v>20</v>
      </c>
      <c r="O96" s="145">
        <f>SUMIFS(Table2[NewPointsAway],Table2[GameDate], "&lt;=" &amp; $A96, Table2[AwayTeam], O$1)+SUMIFS(Table2[NewPointsHome],Table2[GameDate], "&lt;=" &amp; $A96, Table2[HomeTeam], O$1)</f>
        <v>18</v>
      </c>
      <c r="P96" s="145">
        <f>SUMIFS(Table2[NewPointsAway],Table2[GameDate], "&lt;=" &amp; $A96, Table2[AwayTeam], P$1)+SUMIFS(Table2[NewPointsHome],Table2[GameDate], "&lt;=" &amp; $A96, Table2[HomeTeam], P$1)</f>
        <v>22</v>
      </c>
      <c r="Q96" s="145">
        <f>SUMIFS(Table2[NewPointsAway],Table2[GameDate], "&lt;=" &amp; $A96, Table2[AwayTeam], Q$1)+SUMIFS(Table2[NewPointsHome],Table2[GameDate], "&lt;=" &amp; $A96, Table2[HomeTeam], Q$1)</f>
        <v>23</v>
      </c>
      <c r="R96" s="145">
        <f>SUMIFS(Table2[NewPointsAway],Table2[GameDate], "&lt;=" &amp; $A96, Table2[AwayTeam], R$1)+SUMIFS(Table2[NewPointsHome],Table2[GameDate], "&lt;=" &amp; $A96, Table2[HomeTeam], R$1)</f>
        <v>14</v>
      </c>
      <c r="S96" s="145">
        <f>SUMIFS(Table2[NewPointsAway],Table2[GameDate], "&lt;=" &amp; $A96, Table2[AwayTeam], S$1)+SUMIFS(Table2[NewPointsHome],Table2[GameDate], "&lt;=" &amp; $A96, Table2[HomeTeam], S$1)</f>
        <v>18</v>
      </c>
      <c r="T96" s="145">
        <f>SUMIFS(Table2[NewPointsAway],Table2[GameDate], "&lt;=" &amp; $A96, Table2[AwayTeam], T$1)+SUMIFS(Table2[NewPointsHome],Table2[GameDate], "&lt;=" &amp; $A96, Table2[HomeTeam], T$1)</f>
        <v>20</v>
      </c>
      <c r="U96" s="145">
        <f>SUMIFS(Table2[NewPointsAway],Table2[GameDate], "&lt;=" &amp; $A96, Table2[AwayTeam], U$1)+SUMIFS(Table2[NewPointsHome],Table2[GameDate], "&lt;=" &amp; $A96, Table2[HomeTeam], U$1)</f>
        <v>20</v>
      </c>
      <c r="V96" s="145">
        <f>SUMIFS(Table2[NewPointsAway],Table2[GameDate], "&lt;=" &amp; $A96, Table2[AwayTeam], V$1)+SUMIFS(Table2[NewPointsHome],Table2[GameDate], "&lt;=" &amp; $A96, Table2[HomeTeam], V$1)</f>
        <v>19</v>
      </c>
      <c r="W96" s="145">
        <f>SUMIFS(Table2[NewPointsAway],Table2[GameDate], "&lt;=" &amp; $A96, Table2[AwayTeam], W$1)+SUMIFS(Table2[NewPointsHome],Table2[GameDate], "&lt;=" &amp; $A96, Table2[HomeTeam], W$1)</f>
        <v>21</v>
      </c>
      <c r="X96" s="145">
        <f>SUMIFS(Table2[NewPointsAway],Table2[GameDate], "&lt;=" &amp; $A96, Table2[AwayTeam], X$1)+SUMIFS(Table2[NewPointsHome],Table2[GameDate], "&lt;=" &amp; $A96, Table2[HomeTeam], X$1)</f>
        <v>19</v>
      </c>
      <c r="Y96" s="145">
        <f>SUMIFS(Table2[NewPointsAway],Table2[GameDate], "&lt;=" &amp; $A96, Table2[AwayTeam], Y$1)+SUMIFS(Table2[NewPointsHome],Table2[GameDate], "&lt;=" &amp; $A96, Table2[HomeTeam], Y$1)</f>
        <v>19</v>
      </c>
      <c r="Z96" s="145">
        <f>SUMIFS(Table2[NewPointsAway],Table2[GameDate], "&lt;=" &amp; $A96, Table2[AwayTeam], Z$1)+SUMIFS(Table2[NewPointsHome],Table2[GameDate], "&lt;=" &amp; $A96, Table2[HomeTeam], Z$1)</f>
        <v>15</v>
      </c>
      <c r="AA96" s="145">
        <f>SUMIFS(Table2[NewPointsAway],Table2[GameDate], "&lt;=" &amp; $A96, Table2[AwayTeam], AA$1)+SUMIFS(Table2[NewPointsHome],Table2[GameDate], "&lt;=" &amp; $A96, Table2[HomeTeam], AA$1)</f>
        <v>18</v>
      </c>
      <c r="AB96" s="145">
        <f>SUMIFS(Table2[NewPointsAway],Table2[GameDate], "&lt;=" &amp; $A96, Table2[AwayTeam], AB$1)+SUMIFS(Table2[NewPointsHome],Table2[GameDate], "&lt;=" &amp; $A96, Table2[HomeTeam], AB$1)</f>
        <v>17</v>
      </c>
      <c r="AC96" s="145">
        <f>SUMIFS(Table2[NewPointsAway],Table2[GameDate], "&lt;=" &amp; $A96, Table2[AwayTeam], AC$1)+SUMIFS(Table2[NewPointsHome],Table2[GameDate], "&lt;=" &amp; $A96, Table2[HomeTeam], AC$1)</f>
        <v>18</v>
      </c>
      <c r="AD96" s="145">
        <f>SUMIFS(Table2[NewPointsAway],Table2[GameDate], "&lt;=" &amp; $A96, Table2[AwayTeam], AD$1)+SUMIFS(Table2[NewPointsHome],Table2[GameDate], "&lt;=" &amp; $A96, Table2[HomeTeam], AD$1)</f>
        <v>17</v>
      </c>
      <c r="AE96" s="145">
        <f>SUMIFS(Table2[NewPointsAway],Table2[GameDate], "&lt;=" &amp; $A96, Table2[AwayTeam], AE$1)+SUMIFS(Table2[NewPointsHome],Table2[GameDate], "&lt;=" &amp; $A96, Table2[HomeTeam], AE$1)</f>
        <v>18</v>
      </c>
      <c r="AF96" s="145">
        <f>SUMIFS(Table2[NewPointsAway],Table2[GameDate], "&lt;=" &amp; $A96, Table2[AwayTeam], AF$1)+SUMIFS(Table2[NewPointsHome],Table2[GameDate], "&lt;=" &amp; $A96, Table2[HomeTeam], AF$1)</f>
        <v>20</v>
      </c>
      <c r="AG96" s="145">
        <f>SUMIFS(Table2[NewPointsAway],Table2[GameDate], "&lt;=" &amp; $A96, Table2[AwayTeam], AG$1)+SUMIFS(Table2[NewPointsHome],Table2[GameDate], "&lt;=" &amp; $A96, Table2[HomeTeam], AG$1)</f>
        <v>17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23</v>
      </c>
      <c r="C97" s="145">
        <f>SUMIFS(Table2[NewPointsAway],Table2[GameDate], "&lt;=" &amp; $A97, Table2[AwayTeam], C$1)+SUMIFS(Table2[NewPointsHome],Table2[GameDate], "&lt;=" &amp; $A97, Table2[HomeTeam], C$1)</f>
        <v>22</v>
      </c>
      <c r="D97" s="145">
        <f>SUMIFS(Table2[NewPointsAway],Table2[GameDate], "&lt;=" &amp; $A97, Table2[AwayTeam], D$1)+SUMIFS(Table2[NewPointsHome],Table2[GameDate], "&lt;=" &amp; $A97, Table2[HomeTeam], D$1)</f>
        <v>14</v>
      </c>
      <c r="E97" s="145">
        <f>SUMIFS(Table2[NewPointsAway],Table2[GameDate], "&lt;=" &amp; $A97, Table2[AwayTeam], E$1)+SUMIFS(Table2[NewPointsHome],Table2[GameDate], "&lt;=" &amp; $A97, Table2[HomeTeam], E$1)</f>
        <v>22</v>
      </c>
      <c r="F97" s="145">
        <f>SUMIFS(Table2[NewPointsAway],Table2[GameDate], "&lt;=" &amp; $A97, Table2[AwayTeam], F$1)+SUMIFS(Table2[NewPointsHome],Table2[GameDate], "&lt;=" &amp; $A97, Table2[HomeTeam], F$1)</f>
        <v>17</v>
      </c>
      <c r="G97" s="145">
        <f>SUMIFS(Table2[NewPointsAway],Table2[GameDate], "&lt;=" &amp; $A97, Table2[AwayTeam], G$1)+SUMIFS(Table2[NewPointsHome],Table2[GameDate], "&lt;=" &amp; $A97, Table2[HomeTeam], G$1)</f>
        <v>10</v>
      </c>
      <c r="H97" s="145">
        <f>SUMIFS(Table2[NewPointsAway],Table2[GameDate], "&lt;=" &amp; $A97, Table2[AwayTeam], H$1)+SUMIFS(Table2[NewPointsHome],Table2[GameDate], "&lt;=" &amp; $A97, Table2[HomeTeam], H$1)</f>
        <v>19</v>
      </c>
      <c r="I97" s="145">
        <f>SUMIFS(Table2[NewPointsAway],Table2[GameDate], "&lt;=" &amp; $A97, Table2[AwayTeam], I$1)+SUMIFS(Table2[NewPointsHome],Table2[GameDate], "&lt;=" &amp; $A97, Table2[HomeTeam], I$1)</f>
        <v>27</v>
      </c>
      <c r="J97" s="145">
        <f>SUMIFS(Table2[NewPointsAway],Table2[GameDate], "&lt;=" &amp; $A97, Table2[AwayTeam], J$1)+SUMIFS(Table2[NewPointsHome],Table2[GameDate], "&lt;=" &amp; $A97, Table2[HomeTeam], J$1)</f>
        <v>23</v>
      </c>
      <c r="K97" s="145">
        <f>SUMIFS(Table2[NewPointsAway],Table2[GameDate], "&lt;=" &amp; $A97, Table2[AwayTeam], K$1)+SUMIFS(Table2[NewPointsHome],Table2[GameDate], "&lt;=" &amp; $A97, Table2[HomeTeam], K$1)</f>
        <v>18</v>
      </c>
      <c r="L97" s="145">
        <f>SUMIFS(Table2[NewPointsAway],Table2[GameDate], "&lt;=" &amp; $A97, Table2[AwayTeam], L$1)+SUMIFS(Table2[NewPointsHome],Table2[GameDate], "&lt;=" &amp; $A97, Table2[HomeTeam], L$1)</f>
        <v>20</v>
      </c>
      <c r="M97" s="145">
        <f>SUMIFS(Table2[NewPointsAway],Table2[GameDate], "&lt;=" &amp; $A97, Table2[AwayTeam], M$1)+SUMIFS(Table2[NewPointsHome],Table2[GameDate], "&lt;=" &amp; $A97, Table2[HomeTeam], M$1)</f>
        <v>17</v>
      </c>
      <c r="N97" s="145">
        <f>SUMIFS(Table2[NewPointsAway],Table2[GameDate], "&lt;=" &amp; $A97, Table2[AwayTeam], N$1)+SUMIFS(Table2[NewPointsHome],Table2[GameDate], "&lt;=" &amp; $A97, Table2[HomeTeam], N$1)</f>
        <v>20</v>
      </c>
      <c r="O97" s="145">
        <f>SUMIFS(Table2[NewPointsAway],Table2[GameDate], "&lt;=" &amp; $A97, Table2[AwayTeam], O$1)+SUMIFS(Table2[NewPointsHome],Table2[GameDate], "&lt;=" &amp; $A97, Table2[HomeTeam], O$1)</f>
        <v>18</v>
      </c>
      <c r="P97" s="145">
        <f>SUMIFS(Table2[NewPointsAway],Table2[GameDate], "&lt;=" &amp; $A97, Table2[AwayTeam], P$1)+SUMIFS(Table2[NewPointsHome],Table2[GameDate], "&lt;=" &amp; $A97, Table2[HomeTeam], P$1)</f>
        <v>22</v>
      </c>
      <c r="Q97" s="145">
        <f>SUMIFS(Table2[NewPointsAway],Table2[GameDate], "&lt;=" &amp; $A97, Table2[AwayTeam], Q$1)+SUMIFS(Table2[NewPointsHome],Table2[GameDate], "&lt;=" &amp; $A97, Table2[HomeTeam], Q$1)</f>
        <v>23</v>
      </c>
      <c r="R97" s="145">
        <f>SUMIFS(Table2[NewPointsAway],Table2[GameDate], "&lt;=" &amp; $A97, Table2[AwayTeam], R$1)+SUMIFS(Table2[NewPointsHome],Table2[GameDate], "&lt;=" &amp; $A97, Table2[HomeTeam], R$1)</f>
        <v>14</v>
      </c>
      <c r="S97" s="145">
        <f>SUMIFS(Table2[NewPointsAway],Table2[GameDate], "&lt;=" &amp; $A97, Table2[AwayTeam], S$1)+SUMIFS(Table2[NewPointsHome],Table2[GameDate], "&lt;=" &amp; $A97, Table2[HomeTeam], S$1)</f>
        <v>18</v>
      </c>
      <c r="T97" s="145">
        <f>SUMIFS(Table2[NewPointsAway],Table2[GameDate], "&lt;=" &amp; $A97, Table2[AwayTeam], T$1)+SUMIFS(Table2[NewPointsHome],Table2[GameDate], "&lt;=" &amp; $A97, Table2[HomeTeam], T$1)</f>
        <v>20</v>
      </c>
      <c r="U97" s="145">
        <f>SUMIFS(Table2[NewPointsAway],Table2[GameDate], "&lt;=" &amp; $A97, Table2[AwayTeam], U$1)+SUMIFS(Table2[NewPointsHome],Table2[GameDate], "&lt;=" &amp; $A97, Table2[HomeTeam], U$1)</f>
        <v>20</v>
      </c>
      <c r="V97" s="145">
        <f>SUMIFS(Table2[NewPointsAway],Table2[GameDate], "&lt;=" &amp; $A97, Table2[AwayTeam], V$1)+SUMIFS(Table2[NewPointsHome],Table2[GameDate], "&lt;=" &amp; $A97, Table2[HomeTeam], V$1)</f>
        <v>19</v>
      </c>
      <c r="W97" s="145">
        <f>SUMIFS(Table2[NewPointsAway],Table2[GameDate], "&lt;=" &amp; $A97, Table2[AwayTeam], W$1)+SUMIFS(Table2[NewPointsHome],Table2[GameDate], "&lt;=" &amp; $A97, Table2[HomeTeam], W$1)</f>
        <v>21</v>
      </c>
      <c r="X97" s="145">
        <f>SUMIFS(Table2[NewPointsAway],Table2[GameDate], "&lt;=" &amp; $A97, Table2[AwayTeam], X$1)+SUMIFS(Table2[NewPointsHome],Table2[GameDate], "&lt;=" &amp; $A97, Table2[HomeTeam], X$1)</f>
        <v>19</v>
      </c>
      <c r="Y97" s="145">
        <f>SUMIFS(Table2[NewPointsAway],Table2[GameDate], "&lt;=" &amp; $A97, Table2[AwayTeam], Y$1)+SUMIFS(Table2[NewPointsHome],Table2[GameDate], "&lt;=" &amp; $A97, Table2[HomeTeam], Y$1)</f>
        <v>19</v>
      </c>
      <c r="Z97" s="145">
        <f>SUMIFS(Table2[NewPointsAway],Table2[GameDate], "&lt;=" &amp; $A97, Table2[AwayTeam], Z$1)+SUMIFS(Table2[NewPointsHome],Table2[GameDate], "&lt;=" &amp; $A97, Table2[HomeTeam], Z$1)</f>
        <v>15</v>
      </c>
      <c r="AA97" s="145">
        <f>SUMIFS(Table2[NewPointsAway],Table2[GameDate], "&lt;=" &amp; $A97, Table2[AwayTeam], AA$1)+SUMIFS(Table2[NewPointsHome],Table2[GameDate], "&lt;=" &amp; $A97, Table2[HomeTeam], AA$1)</f>
        <v>18</v>
      </c>
      <c r="AB97" s="145">
        <f>SUMIFS(Table2[NewPointsAway],Table2[GameDate], "&lt;=" &amp; $A97, Table2[AwayTeam], AB$1)+SUMIFS(Table2[NewPointsHome],Table2[GameDate], "&lt;=" &amp; $A97, Table2[HomeTeam], AB$1)</f>
        <v>17</v>
      </c>
      <c r="AC97" s="145">
        <f>SUMIFS(Table2[NewPointsAway],Table2[GameDate], "&lt;=" &amp; $A97, Table2[AwayTeam], AC$1)+SUMIFS(Table2[NewPointsHome],Table2[GameDate], "&lt;=" &amp; $A97, Table2[HomeTeam], AC$1)</f>
        <v>18</v>
      </c>
      <c r="AD97" s="145">
        <f>SUMIFS(Table2[NewPointsAway],Table2[GameDate], "&lt;=" &amp; $A97, Table2[AwayTeam], AD$1)+SUMIFS(Table2[NewPointsHome],Table2[GameDate], "&lt;=" &amp; $A97, Table2[HomeTeam], AD$1)</f>
        <v>17</v>
      </c>
      <c r="AE97" s="145">
        <f>SUMIFS(Table2[NewPointsAway],Table2[GameDate], "&lt;=" &amp; $A97, Table2[AwayTeam], AE$1)+SUMIFS(Table2[NewPointsHome],Table2[GameDate], "&lt;=" &amp; $A97, Table2[HomeTeam], AE$1)</f>
        <v>18</v>
      </c>
      <c r="AF97" s="145">
        <f>SUMIFS(Table2[NewPointsAway],Table2[GameDate], "&lt;=" &amp; $A97, Table2[AwayTeam], AF$1)+SUMIFS(Table2[NewPointsHome],Table2[GameDate], "&lt;=" &amp; $A97, Table2[HomeTeam], AF$1)</f>
        <v>20</v>
      </c>
      <c r="AG97" s="145">
        <f>SUMIFS(Table2[NewPointsAway],Table2[GameDate], "&lt;=" &amp; $A97, Table2[AwayTeam], AG$1)+SUMIFS(Table2[NewPointsHome],Table2[GameDate], "&lt;=" &amp; $A97, Table2[HomeTeam], AG$1)</f>
        <v>17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23</v>
      </c>
      <c r="C98" s="145">
        <f>SUMIFS(Table2[NewPointsAway],Table2[GameDate], "&lt;=" &amp; $A98, Table2[AwayTeam], C$1)+SUMIFS(Table2[NewPointsHome],Table2[GameDate], "&lt;=" &amp; $A98, Table2[HomeTeam], C$1)</f>
        <v>22</v>
      </c>
      <c r="D98" s="145">
        <f>SUMIFS(Table2[NewPointsAway],Table2[GameDate], "&lt;=" &amp; $A98, Table2[AwayTeam], D$1)+SUMIFS(Table2[NewPointsHome],Table2[GameDate], "&lt;=" &amp; $A98, Table2[HomeTeam], D$1)</f>
        <v>14</v>
      </c>
      <c r="E98" s="145">
        <f>SUMIFS(Table2[NewPointsAway],Table2[GameDate], "&lt;=" &amp; $A98, Table2[AwayTeam], E$1)+SUMIFS(Table2[NewPointsHome],Table2[GameDate], "&lt;=" &amp; $A98, Table2[HomeTeam], E$1)</f>
        <v>22</v>
      </c>
      <c r="F98" s="145">
        <f>SUMIFS(Table2[NewPointsAway],Table2[GameDate], "&lt;=" &amp; $A98, Table2[AwayTeam], F$1)+SUMIFS(Table2[NewPointsHome],Table2[GameDate], "&lt;=" &amp; $A98, Table2[HomeTeam], F$1)</f>
        <v>17</v>
      </c>
      <c r="G98" s="145">
        <f>SUMIFS(Table2[NewPointsAway],Table2[GameDate], "&lt;=" &amp; $A98, Table2[AwayTeam], G$1)+SUMIFS(Table2[NewPointsHome],Table2[GameDate], "&lt;=" &amp; $A98, Table2[HomeTeam], G$1)</f>
        <v>10</v>
      </c>
      <c r="H98" s="145">
        <f>SUMIFS(Table2[NewPointsAway],Table2[GameDate], "&lt;=" &amp; $A98, Table2[AwayTeam], H$1)+SUMIFS(Table2[NewPointsHome],Table2[GameDate], "&lt;=" &amp; $A98, Table2[HomeTeam], H$1)</f>
        <v>19</v>
      </c>
      <c r="I98" s="145">
        <f>SUMIFS(Table2[NewPointsAway],Table2[GameDate], "&lt;=" &amp; $A98, Table2[AwayTeam], I$1)+SUMIFS(Table2[NewPointsHome],Table2[GameDate], "&lt;=" &amp; $A98, Table2[HomeTeam], I$1)</f>
        <v>27</v>
      </c>
      <c r="J98" s="145">
        <f>SUMIFS(Table2[NewPointsAway],Table2[GameDate], "&lt;=" &amp; $A98, Table2[AwayTeam], J$1)+SUMIFS(Table2[NewPointsHome],Table2[GameDate], "&lt;=" &amp; $A98, Table2[HomeTeam], J$1)</f>
        <v>23</v>
      </c>
      <c r="K98" s="145">
        <f>SUMIFS(Table2[NewPointsAway],Table2[GameDate], "&lt;=" &amp; $A98, Table2[AwayTeam], K$1)+SUMIFS(Table2[NewPointsHome],Table2[GameDate], "&lt;=" &amp; $A98, Table2[HomeTeam], K$1)</f>
        <v>18</v>
      </c>
      <c r="L98" s="145">
        <f>SUMIFS(Table2[NewPointsAway],Table2[GameDate], "&lt;=" &amp; $A98, Table2[AwayTeam], L$1)+SUMIFS(Table2[NewPointsHome],Table2[GameDate], "&lt;=" &amp; $A98, Table2[HomeTeam], L$1)</f>
        <v>20</v>
      </c>
      <c r="M98" s="145">
        <f>SUMIFS(Table2[NewPointsAway],Table2[GameDate], "&lt;=" &amp; $A98, Table2[AwayTeam], M$1)+SUMIFS(Table2[NewPointsHome],Table2[GameDate], "&lt;=" &amp; $A98, Table2[HomeTeam], M$1)</f>
        <v>17</v>
      </c>
      <c r="N98" s="145">
        <f>SUMIFS(Table2[NewPointsAway],Table2[GameDate], "&lt;=" &amp; $A98, Table2[AwayTeam], N$1)+SUMIFS(Table2[NewPointsHome],Table2[GameDate], "&lt;=" &amp; $A98, Table2[HomeTeam], N$1)</f>
        <v>20</v>
      </c>
      <c r="O98" s="145">
        <f>SUMIFS(Table2[NewPointsAway],Table2[GameDate], "&lt;=" &amp; $A98, Table2[AwayTeam], O$1)+SUMIFS(Table2[NewPointsHome],Table2[GameDate], "&lt;=" &amp; $A98, Table2[HomeTeam], O$1)</f>
        <v>18</v>
      </c>
      <c r="P98" s="145">
        <f>SUMIFS(Table2[NewPointsAway],Table2[GameDate], "&lt;=" &amp; $A98, Table2[AwayTeam], P$1)+SUMIFS(Table2[NewPointsHome],Table2[GameDate], "&lt;=" &amp; $A98, Table2[HomeTeam], P$1)</f>
        <v>22</v>
      </c>
      <c r="Q98" s="145">
        <f>SUMIFS(Table2[NewPointsAway],Table2[GameDate], "&lt;=" &amp; $A98, Table2[AwayTeam], Q$1)+SUMIFS(Table2[NewPointsHome],Table2[GameDate], "&lt;=" &amp; $A98, Table2[HomeTeam], Q$1)</f>
        <v>23</v>
      </c>
      <c r="R98" s="145">
        <f>SUMIFS(Table2[NewPointsAway],Table2[GameDate], "&lt;=" &amp; $A98, Table2[AwayTeam], R$1)+SUMIFS(Table2[NewPointsHome],Table2[GameDate], "&lt;=" &amp; $A98, Table2[HomeTeam], R$1)</f>
        <v>14</v>
      </c>
      <c r="S98" s="145">
        <f>SUMIFS(Table2[NewPointsAway],Table2[GameDate], "&lt;=" &amp; $A98, Table2[AwayTeam], S$1)+SUMIFS(Table2[NewPointsHome],Table2[GameDate], "&lt;=" &amp; $A98, Table2[HomeTeam], S$1)</f>
        <v>18</v>
      </c>
      <c r="T98" s="145">
        <f>SUMIFS(Table2[NewPointsAway],Table2[GameDate], "&lt;=" &amp; $A98, Table2[AwayTeam], T$1)+SUMIFS(Table2[NewPointsHome],Table2[GameDate], "&lt;=" &amp; $A98, Table2[HomeTeam], T$1)</f>
        <v>20</v>
      </c>
      <c r="U98" s="145">
        <f>SUMIFS(Table2[NewPointsAway],Table2[GameDate], "&lt;=" &amp; $A98, Table2[AwayTeam], U$1)+SUMIFS(Table2[NewPointsHome],Table2[GameDate], "&lt;=" &amp; $A98, Table2[HomeTeam], U$1)</f>
        <v>20</v>
      </c>
      <c r="V98" s="145">
        <f>SUMIFS(Table2[NewPointsAway],Table2[GameDate], "&lt;=" &amp; $A98, Table2[AwayTeam], V$1)+SUMIFS(Table2[NewPointsHome],Table2[GameDate], "&lt;=" &amp; $A98, Table2[HomeTeam], V$1)</f>
        <v>19</v>
      </c>
      <c r="W98" s="145">
        <f>SUMIFS(Table2[NewPointsAway],Table2[GameDate], "&lt;=" &amp; $A98, Table2[AwayTeam], W$1)+SUMIFS(Table2[NewPointsHome],Table2[GameDate], "&lt;=" &amp; $A98, Table2[HomeTeam], W$1)</f>
        <v>21</v>
      </c>
      <c r="X98" s="145">
        <f>SUMIFS(Table2[NewPointsAway],Table2[GameDate], "&lt;=" &amp; $A98, Table2[AwayTeam], X$1)+SUMIFS(Table2[NewPointsHome],Table2[GameDate], "&lt;=" &amp; $A98, Table2[HomeTeam], X$1)</f>
        <v>19</v>
      </c>
      <c r="Y98" s="145">
        <f>SUMIFS(Table2[NewPointsAway],Table2[GameDate], "&lt;=" &amp; $A98, Table2[AwayTeam], Y$1)+SUMIFS(Table2[NewPointsHome],Table2[GameDate], "&lt;=" &amp; $A98, Table2[HomeTeam], Y$1)</f>
        <v>19</v>
      </c>
      <c r="Z98" s="145">
        <f>SUMIFS(Table2[NewPointsAway],Table2[GameDate], "&lt;=" &amp; $A98, Table2[AwayTeam], Z$1)+SUMIFS(Table2[NewPointsHome],Table2[GameDate], "&lt;=" &amp; $A98, Table2[HomeTeam], Z$1)</f>
        <v>15</v>
      </c>
      <c r="AA98" s="145">
        <f>SUMIFS(Table2[NewPointsAway],Table2[GameDate], "&lt;=" &amp; $A98, Table2[AwayTeam], AA$1)+SUMIFS(Table2[NewPointsHome],Table2[GameDate], "&lt;=" &amp; $A98, Table2[HomeTeam], AA$1)</f>
        <v>18</v>
      </c>
      <c r="AB98" s="145">
        <f>SUMIFS(Table2[NewPointsAway],Table2[GameDate], "&lt;=" &amp; $A98, Table2[AwayTeam], AB$1)+SUMIFS(Table2[NewPointsHome],Table2[GameDate], "&lt;=" &amp; $A98, Table2[HomeTeam], AB$1)</f>
        <v>17</v>
      </c>
      <c r="AC98" s="145">
        <f>SUMIFS(Table2[NewPointsAway],Table2[GameDate], "&lt;=" &amp; $A98, Table2[AwayTeam], AC$1)+SUMIFS(Table2[NewPointsHome],Table2[GameDate], "&lt;=" &amp; $A98, Table2[HomeTeam], AC$1)</f>
        <v>18</v>
      </c>
      <c r="AD98" s="145">
        <f>SUMIFS(Table2[NewPointsAway],Table2[GameDate], "&lt;=" &amp; $A98, Table2[AwayTeam], AD$1)+SUMIFS(Table2[NewPointsHome],Table2[GameDate], "&lt;=" &amp; $A98, Table2[HomeTeam], AD$1)</f>
        <v>17</v>
      </c>
      <c r="AE98" s="145">
        <f>SUMIFS(Table2[NewPointsAway],Table2[GameDate], "&lt;=" &amp; $A98, Table2[AwayTeam], AE$1)+SUMIFS(Table2[NewPointsHome],Table2[GameDate], "&lt;=" &amp; $A98, Table2[HomeTeam], AE$1)</f>
        <v>18</v>
      </c>
      <c r="AF98" s="145">
        <f>SUMIFS(Table2[NewPointsAway],Table2[GameDate], "&lt;=" &amp; $A98, Table2[AwayTeam], AF$1)+SUMIFS(Table2[NewPointsHome],Table2[GameDate], "&lt;=" &amp; $A98, Table2[HomeTeam], AF$1)</f>
        <v>20</v>
      </c>
      <c r="AG98" s="145">
        <f>SUMIFS(Table2[NewPointsAway],Table2[GameDate], "&lt;=" &amp; $A98, Table2[AwayTeam], AG$1)+SUMIFS(Table2[NewPointsHome],Table2[GameDate], "&lt;=" &amp; $A98, Table2[HomeTeam], AG$1)</f>
        <v>17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23</v>
      </c>
      <c r="C99" s="145">
        <f>SUMIFS(Table2[NewPointsAway],Table2[GameDate], "&lt;=" &amp; $A99, Table2[AwayTeam], C$1)+SUMIFS(Table2[NewPointsHome],Table2[GameDate], "&lt;=" &amp; $A99, Table2[HomeTeam], C$1)</f>
        <v>22</v>
      </c>
      <c r="D99" s="145">
        <f>SUMIFS(Table2[NewPointsAway],Table2[GameDate], "&lt;=" &amp; $A99, Table2[AwayTeam], D$1)+SUMIFS(Table2[NewPointsHome],Table2[GameDate], "&lt;=" &amp; $A99, Table2[HomeTeam], D$1)</f>
        <v>14</v>
      </c>
      <c r="E99" s="145">
        <f>SUMIFS(Table2[NewPointsAway],Table2[GameDate], "&lt;=" &amp; $A99, Table2[AwayTeam], E$1)+SUMIFS(Table2[NewPointsHome],Table2[GameDate], "&lt;=" &amp; $A99, Table2[HomeTeam], E$1)</f>
        <v>22</v>
      </c>
      <c r="F99" s="145">
        <f>SUMIFS(Table2[NewPointsAway],Table2[GameDate], "&lt;=" &amp; $A99, Table2[AwayTeam], F$1)+SUMIFS(Table2[NewPointsHome],Table2[GameDate], "&lt;=" &amp; $A99, Table2[HomeTeam], F$1)</f>
        <v>17</v>
      </c>
      <c r="G99" s="145">
        <f>SUMIFS(Table2[NewPointsAway],Table2[GameDate], "&lt;=" &amp; $A99, Table2[AwayTeam], G$1)+SUMIFS(Table2[NewPointsHome],Table2[GameDate], "&lt;=" &amp; $A99, Table2[HomeTeam], G$1)</f>
        <v>10</v>
      </c>
      <c r="H99" s="145">
        <f>SUMIFS(Table2[NewPointsAway],Table2[GameDate], "&lt;=" &amp; $A99, Table2[AwayTeam], H$1)+SUMIFS(Table2[NewPointsHome],Table2[GameDate], "&lt;=" &amp; $A99, Table2[HomeTeam], H$1)</f>
        <v>19</v>
      </c>
      <c r="I99" s="145">
        <f>SUMIFS(Table2[NewPointsAway],Table2[GameDate], "&lt;=" &amp; $A99, Table2[AwayTeam], I$1)+SUMIFS(Table2[NewPointsHome],Table2[GameDate], "&lt;=" &amp; $A99, Table2[HomeTeam], I$1)</f>
        <v>27</v>
      </c>
      <c r="J99" s="145">
        <f>SUMIFS(Table2[NewPointsAway],Table2[GameDate], "&lt;=" &amp; $A99, Table2[AwayTeam], J$1)+SUMIFS(Table2[NewPointsHome],Table2[GameDate], "&lt;=" &amp; $A99, Table2[HomeTeam], J$1)</f>
        <v>23</v>
      </c>
      <c r="K99" s="145">
        <f>SUMIFS(Table2[NewPointsAway],Table2[GameDate], "&lt;=" &amp; $A99, Table2[AwayTeam], K$1)+SUMIFS(Table2[NewPointsHome],Table2[GameDate], "&lt;=" &amp; $A99, Table2[HomeTeam], K$1)</f>
        <v>18</v>
      </c>
      <c r="L99" s="145">
        <f>SUMIFS(Table2[NewPointsAway],Table2[GameDate], "&lt;=" &amp; $A99, Table2[AwayTeam], L$1)+SUMIFS(Table2[NewPointsHome],Table2[GameDate], "&lt;=" &amp; $A99, Table2[HomeTeam], L$1)</f>
        <v>20</v>
      </c>
      <c r="M99" s="145">
        <f>SUMIFS(Table2[NewPointsAway],Table2[GameDate], "&lt;=" &amp; $A99, Table2[AwayTeam], M$1)+SUMIFS(Table2[NewPointsHome],Table2[GameDate], "&lt;=" &amp; $A99, Table2[HomeTeam], M$1)</f>
        <v>17</v>
      </c>
      <c r="N99" s="145">
        <f>SUMIFS(Table2[NewPointsAway],Table2[GameDate], "&lt;=" &amp; $A99, Table2[AwayTeam], N$1)+SUMIFS(Table2[NewPointsHome],Table2[GameDate], "&lt;=" &amp; $A99, Table2[HomeTeam], N$1)</f>
        <v>20</v>
      </c>
      <c r="O99" s="145">
        <f>SUMIFS(Table2[NewPointsAway],Table2[GameDate], "&lt;=" &amp; $A99, Table2[AwayTeam], O$1)+SUMIFS(Table2[NewPointsHome],Table2[GameDate], "&lt;=" &amp; $A99, Table2[HomeTeam], O$1)</f>
        <v>18</v>
      </c>
      <c r="P99" s="145">
        <f>SUMIFS(Table2[NewPointsAway],Table2[GameDate], "&lt;=" &amp; $A99, Table2[AwayTeam], P$1)+SUMIFS(Table2[NewPointsHome],Table2[GameDate], "&lt;=" &amp; $A99, Table2[HomeTeam], P$1)</f>
        <v>22</v>
      </c>
      <c r="Q99" s="145">
        <f>SUMIFS(Table2[NewPointsAway],Table2[GameDate], "&lt;=" &amp; $A99, Table2[AwayTeam], Q$1)+SUMIFS(Table2[NewPointsHome],Table2[GameDate], "&lt;=" &amp; $A99, Table2[HomeTeam], Q$1)</f>
        <v>23</v>
      </c>
      <c r="R99" s="145">
        <f>SUMIFS(Table2[NewPointsAway],Table2[GameDate], "&lt;=" &amp; $A99, Table2[AwayTeam], R$1)+SUMIFS(Table2[NewPointsHome],Table2[GameDate], "&lt;=" &amp; $A99, Table2[HomeTeam], R$1)</f>
        <v>14</v>
      </c>
      <c r="S99" s="145">
        <f>SUMIFS(Table2[NewPointsAway],Table2[GameDate], "&lt;=" &amp; $A99, Table2[AwayTeam], S$1)+SUMIFS(Table2[NewPointsHome],Table2[GameDate], "&lt;=" &amp; $A99, Table2[HomeTeam], S$1)</f>
        <v>18</v>
      </c>
      <c r="T99" s="145">
        <f>SUMIFS(Table2[NewPointsAway],Table2[GameDate], "&lt;=" &amp; $A99, Table2[AwayTeam], T$1)+SUMIFS(Table2[NewPointsHome],Table2[GameDate], "&lt;=" &amp; $A99, Table2[HomeTeam], T$1)</f>
        <v>20</v>
      </c>
      <c r="U99" s="145">
        <f>SUMIFS(Table2[NewPointsAway],Table2[GameDate], "&lt;=" &amp; $A99, Table2[AwayTeam], U$1)+SUMIFS(Table2[NewPointsHome],Table2[GameDate], "&lt;=" &amp; $A99, Table2[HomeTeam], U$1)</f>
        <v>20</v>
      </c>
      <c r="V99" s="145">
        <f>SUMIFS(Table2[NewPointsAway],Table2[GameDate], "&lt;=" &amp; $A99, Table2[AwayTeam], V$1)+SUMIFS(Table2[NewPointsHome],Table2[GameDate], "&lt;=" &amp; $A99, Table2[HomeTeam], V$1)</f>
        <v>19</v>
      </c>
      <c r="W99" s="145">
        <f>SUMIFS(Table2[NewPointsAway],Table2[GameDate], "&lt;=" &amp; $A99, Table2[AwayTeam], W$1)+SUMIFS(Table2[NewPointsHome],Table2[GameDate], "&lt;=" &amp; $A99, Table2[HomeTeam], W$1)</f>
        <v>21</v>
      </c>
      <c r="X99" s="145">
        <f>SUMIFS(Table2[NewPointsAway],Table2[GameDate], "&lt;=" &amp; $A99, Table2[AwayTeam], X$1)+SUMIFS(Table2[NewPointsHome],Table2[GameDate], "&lt;=" &amp; $A99, Table2[HomeTeam], X$1)</f>
        <v>19</v>
      </c>
      <c r="Y99" s="145">
        <f>SUMIFS(Table2[NewPointsAway],Table2[GameDate], "&lt;=" &amp; $A99, Table2[AwayTeam], Y$1)+SUMIFS(Table2[NewPointsHome],Table2[GameDate], "&lt;=" &amp; $A99, Table2[HomeTeam], Y$1)</f>
        <v>19</v>
      </c>
      <c r="Z99" s="145">
        <f>SUMIFS(Table2[NewPointsAway],Table2[GameDate], "&lt;=" &amp; $A99, Table2[AwayTeam], Z$1)+SUMIFS(Table2[NewPointsHome],Table2[GameDate], "&lt;=" &amp; $A99, Table2[HomeTeam], Z$1)</f>
        <v>15</v>
      </c>
      <c r="AA99" s="145">
        <f>SUMIFS(Table2[NewPointsAway],Table2[GameDate], "&lt;=" &amp; $A99, Table2[AwayTeam], AA$1)+SUMIFS(Table2[NewPointsHome],Table2[GameDate], "&lt;=" &amp; $A99, Table2[HomeTeam], AA$1)</f>
        <v>18</v>
      </c>
      <c r="AB99" s="145">
        <f>SUMIFS(Table2[NewPointsAway],Table2[GameDate], "&lt;=" &amp; $A99, Table2[AwayTeam], AB$1)+SUMIFS(Table2[NewPointsHome],Table2[GameDate], "&lt;=" &amp; $A99, Table2[HomeTeam], AB$1)</f>
        <v>17</v>
      </c>
      <c r="AC99" s="145">
        <f>SUMIFS(Table2[NewPointsAway],Table2[GameDate], "&lt;=" &amp; $A99, Table2[AwayTeam], AC$1)+SUMIFS(Table2[NewPointsHome],Table2[GameDate], "&lt;=" &amp; $A99, Table2[HomeTeam], AC$1)</f>
        <v>18</v>
      </c>
      <c r="AD99" s="145">
        <f>SUMIFS(Table2[NewPointsAway],Table2[GameDate], "&lt;=" &amp; $A99, Table2[AwayTeam], AD$1)+SUMIFS(Table2[NewPointsHome],Table2[GameDate], "&lt;=" &amp; $A99, Table2[HomeTeam], AD$1)</f>
        <v>17</v>
      </c>
      <c r="AE99" s="145">
        <f>SUMIFS(Table2[NewPointsAway],Table2[GameDate], "&lt;=" &amp; $A99, Table2[AwayTeam], AE$1)+SUMIFS(Table2[NewPointsHome],Table2[GameDate], "&lt;=" &amp; $A99, Table2[HomeTeam], AE$1)</f>
        <v>18</v>
      </c>
      <c r="AF99" s="145">
        <f>SUMIFS(Table2[NewPointsAway],Table2[GameDate], "&lt;=" &amp; $A99, Table2[AwayTeam], AF$1)+SUMIFS(Table2[NewPointsHome],Table2[GameDate], "&lt;=" &amp; $A99, Table2[HomeTeam], AF$1)</f>
        <v>20</v>
      </c>
      <c r="AG99" s="145">
        <f>SUMIFS(Table2[NewPointsAway],Table2[GameDate], "&lt;=" &amp; $A99, Table2[AwayTeam], AG$1)+SUMIFS(Table2[NewPointsHome],Table2[GameDate], "&lt;=" &amp; $A99, Table2[HomeTeam], AG$1)</f>
        <v>17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23</v>
      </c>
      <c r="C100" s="145">
        <f>SUMIFS(Table2[NewPointsAway],Table2[GameDate], "&lt;=" &amp; $A100, Table2[AwayTeam], C$1)+SUMIFS(Table2[NewPointsHome],Table2[GameDate], "&lt;=" &amp; $A100, Table2[HomeTeam], C$1)</f>
        <v>22</v>
      </c>
      <c r="D100" s="145">
        <f>SUMIFS(Table2[NewPointsAway],Table2[GameDate], "&lt;=" &amp; $A100, Table2[AwayTeam], D$1)+SUMIFS(Table2[NewPointsHome],Table2[GameDate], "&lt;=" &amp; $A100, Table2[HomeTeam], D$1)</f>
        <v>14</v>
      </c>
      <c r="E100" s="145">
        <f>SUMIFS(Table2[NewPointsAway],Table2[GameDate], "&lt;=" &amp; $A100, Table2[AwayTeam], E$1)+SUMIFS(Table2[NewPointsHome],Table2[GameDate], "&lt;=" &amp; $A100, Table2[HomeTeam], E$1)</f>
        <v>22</v>
      </c>
      <c r="F100" s="145">
        <f>SUMIFS(Table2[NewPointsAway],Table2[GameDate], "&lt;=" &amp; $A100, Table2[AwayTeam], F$1)+SUMIFS(Table2[NewPointsHome],Table2[GameDate], "&lt;=" &amp; $A100, Table2[HomeTeam], F$1)</f>
        <v>17</v>
      </c>
      <c r="G100" s="145">
        <f>SUMIFS(Table2[NewPointsAway],Table2[GameDate], "&lt;=" &amp; $A100, Table2[AwayTeam], G$1)+SUMIFS(Table2[NewPointsHome],Table2[GameDate], "&lt;=" &amp; $A100, Table2[HomeTeam], G$1)</f>
        <v>10</v>
      </c>
      <c r="H100" s="145">
        <f>SUMIFS(Table2[NewPointsAway],Table2[GameDate], "&lt;=" &amp; $A100, Table2[AwayTeam], H$1)+SUMIFS(Table2[NewPointsHome],Table2[GameDate], "&lt;=" &amp; $A100, Table2[HomeTeam], H$1)</f>
        <v>19</v>
      </c>
      <c r="I100" s="145">
        <f>SUMIFS(Table2[NewPointsAway],Table2[GameDate], "&lt;=" &amp; $A100, Table2[AwayTeam], I$1)+SUMIFS(Table2[NewPointsHome],Table2[GameDate], "&lt;=" &amp; $A100, Table2[HomeTeam], I$1)</f>
        <v>27</v>
      </c>
      <c r="J100" s="145">
        <f>SUMIFS(Table2[NewPointsAway],Table2[GameDate], "&lt;=" &amp; $A100, Table2[AwayTeam], J$1)+SUMIFS(Table2[NewPointsHome],Table2[GameDate], "&lt;=" &amp; $A100, Table2[HomeTeam], J$1)</f>
        <v>23</v>
      </c>
      <c r="K100" s="145">
        <f>SUMIFS(Table2[NewPointsAway],Table2[GameDate], "&lt;=" &amp; $A100, Table2[AwayTeam], K$1)+SUMIFS(Table2[NewPointsHome],Table2[GameDate], "&lt;=" &amp; $A100, Table2[HomeTeam], K$1)</f>
        <v>18</v>
      </c>
      <c r="L100" s="145">
        <f>SUMIFS(Table2[NewPointsAway],Table2[GameDate], "&lt;=" &amp; $A100, Table2[AwayTeam], L$1)+SUMIFS(Table2[NewPointsHome],Table2[GameDate], "&lt;=" &amp; $A100, Table2[HomeTeam], L$1)</f>
        <v>20</v>
      </c>
      <c r="M100" s="145">
        <f>SUMIFS(Table2[NewPointsAway],Table2[GameDate], "&lt;=" &amp; $A100, Table2[AwayTeam], M$1)+SUMIFS(Table2[NewPointsHome],Table2[GameDate], "&lt;=" &amp; $A100, Table2[HomeTeam], M$1)</f>
        <v>17</v>
      </c>
      <c r="N100" s="145">
        <f>SUMIFS(Table2[NewPointsAway],Table2[GameDate], "&lt;=" &amp; $A100, Table2[AwayTeam], N$1)+SUMIFS(Table2[NewPointsHome],Table2[GameDate], "&lt;=" &amp; $A100, Table2[HomeTeam], N$1)</f>
        <v>20</v>
      </c>
      <c r="O100" s="145">
        <f>SUMIFS(Table2[NewPointsAway],Table2[GameDate], "&lt;=" &amp; $A100, Table2[AwayTeam], O$1)+SUMIFS(Table2[NewPointsHome],Table2[GameDate], "&lt;=" &amp; $A100, Table2[HomeTeam], O$1)</f>
        <v>18</v>
      </c>
      <c r="P100" s="145">
        <f>SUMIFS(Table2[NewPointsAway],Table2[GameDate], "&lt;=" &amp; $A100, Table2[AwayTeam], P$1)+SUMIFS(Table2[NewPointsHome],Table2[GameDate], "&lt;=" &amp; $A100, Table2[HomeTeam], P$1)</f>
        <v>22</v>
      </c>
      <c r="Q100" s="145">
        <f>SUMIFS(Table2[NewPointsAway],Table2[GameDate], "&lt;=" &amp; $A100, Table2[AwayTeam], Q$1)+SUMIFS(Table2[NewPointsHome],Table2[GameDate], "&lt;=" &amp; $A100, Table2[HomeTeam], Q$1)</f>
        <v>23</v>
      </c>
      <c r="R100" s="145">
        <f>SUMIFS(Table2[NewPointsAway],Table2[GameDate], "&lt;=" &amp; $A100, Table2[AwayTeam], R$1)+SUMIFS(Table2[NewPointsHome],Table2[GameDate], "&lt;=" &amp; $A100, Table2[HomeTeam], R$1)</f>
        <v>14</v>
      </c>
      <c r="S100" s="145">
        <f>SUMIFS(Table2[NewPointsAway],Table2[GameDate], "&lt;=" &amp; $A100, Table2[AwayTeam], S$1)+SUMIFS(Table2[NewPointsHome],Table2[GameDate], "&lt;=" &amp; $A100, Table2[HomeTeam], S$1)</f>
        <v>18</v>
      </c>
      <c r="T100" s="145">
        <f>SUMIFS(Table2[NewPointsAway],Table2[GameDate], "&lt;=" &amp; $A100, Table2[AwayTeam], T$1)+SUMIFS(Table2[NewPointsHome],Table2[GameDate], "&lt;=" &amp; $A100, Table2[HomeTeam], T$1)</f>
        <v>20</v>
      </c>
      <c r="U100" s="145">
        <f>SUMIFS(Table2[NewPointsAway],Table2[GameDate], "&lt;=" &amp; $A100, Table2[AwayTeam], U$1)+SUMIFS(Table2[NewPointsHome],Table2[GameDate], "&lt;=" &amp; $A100, Table2[HomeTeam], U$1)</f>
        <v>20</v>
      </c>
      <c r="V100" s="145">
        <f>SUMIFS(Table2[NewPointsAway],Table2[GameDate], "&lt;=" &amp; $A100, Table2[AwayTeam], V$1)+SUMIFS(Table2[NewPointsHome],Table2[GameDate], "&lt;=" &amp; $A100, Table2[HomeTeam], V$1)</f>
        <v>19</v>
      </c>
      <c r="W100" s="145">
        <f>SUMIFS(Table2[NewPointsAway],Table2[GameDate], "&lt;=" &amp; $A100, Table2[AwayTeam], W$1)+SUMIFS(Table2[NewPointsHome],Table2[GameDate], "&lt;=" &amp; $A100, Table2[HomeTeam], W$1)</f>
        <v>21</v>
      </c>
      <c r="X100" s="145">
        <f>SUMIFS(Table2[NewPointsAway],Table2[GameDate], "&lt;=" &amp; $A100, Table2[AwayTeam], X$1)+SUMIFS(Table2[NewPointsHome],Table2[GameDate], "&lt;=" &amp; $A100, Table2[HomeTeam], X$1)</f>
        <v>19</v>
      </c>
      <c r="Y100" s="145">
        <f>SUMIFS(Table2[NewPointsAway],Table2[GameDate], "&lt;=" &amp; $A100, Table2[AwayTeam], Y$1)+SUMIFS(Table2[NewPointsHome],Table2[GameDate], "&lt;=" &amp; $A100, Table2[HomeTeam], Y$1)</f>
        <v>19</v>
      </c>
      <c r="Z100" s="145">
        <f>SUMIFS(Table2[NewPointsAway],Table2[GameDate], "&lt;=" &amp; $A100, Table2[AwayTeam], Z$1)+SUMIFS(Table2[NewPointsHome],Table2[GameDate], "&lt;=" &amp; $A100, Table2[HomeTeam], Z$1)</f>
        <v>15</v>
      </c>
      <c r="AA100" s="145">
        <f>SUMIFS(Table2[NewPointsAway],Table2[GameDate], "&lt;=" &amp; $A100, Table2[AwayTeam], AA$1)+SUMIFS(Table2[NewPointsHome],Table2[GameDate], "&lt;=" &amp; $A100, Table2[HomeTeam], AA$1)</f>
        <v>18</v>
      </c>
      <c r="AB100" s="145">
        <f>SUMIFS(Table2[NewPointsAway],Table2[GameDate], "&lt;=" &amp; $A100, Table2[AwayTeam], AB$1)+SUMIFS(Table2[NewPointsHome],Table2[GameDate], "&lt;=" &amp; $A100, Table2[HomeTeam], AB$1)</f>
        <v>17</v>
      </c>
      <c r="AC100" s="145">
        <f>SUMIFS(Table2[NewPointsAway],Table2[GameDate], "&lt;=" &amp; $A100, Table2[AwayTeam], AC$1)+SUMIFS(Table2[NewPointsHome],Table2[GameDate], "&lt;=" &amp; $A100, Table2[HomeTeam], AC$1)</f>
        <v>18</v>
      </c>
      <c r="AD100" s="145">
        <f>SUMIFS(Table2[NewPointsAway],Table2[GameDate], "&lt;=" &amp; $A100, Table2[AwayTeam], AD$1)+SUMIFS(Table2[NewPointsHome],Table2[GameDate], "&lt;=" &amp; $A100, Table2[HomeTeam], AD$1)</f>
        <v>17</v>
      </c>
      <c r="AE100" s="145">
        <f>SUMIFS(Table2[NewPointsAway],Table2[GameDate], "&lt;=" &amp; $A100, Table2[AwayTeam], AE$1)+SUMIFS(Table2[NewPointsHome],Table2[GameDate], "&lt;=" &amp; $A100, Table2[HomeTeam], AE$1)</f>
        <v>18</v>
      </c>
      <c r="AF100" s="145">
        <f>SUMIFS(Table2[NewPointsAway],Table2[GameDate], "&lt;=" &amp; $A100, Table2[AwayTeam], AF$1)+SUMIFS(Table2[NewPointsHome],Table2[GameDate], "&lt;=" &amp; $A100, Table2[HomeTeam], AF$1)</f>
        <v>20</v>
      </c>
      <c r="AG100" s="145">
        <f>SUMIFS(Table2[NewPointsAway],Table2[GameDate], "&lt;=" &amp; $A100, Table2[AwayTeam], AG$1)+SUMIFS(Table2[NewPointsHome],Table2[GameDate], "&lt;=" &amp; $A100, Table2[HomeTeam], AG$1)</f>
        <v>17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23</v>
      </c>
      <c r="C101" s="145">
        <f>SUMIFS(Table2[NewPointsAway],Table2[GameDate], "&lt;=" &amp; $A101, Table2[AwayTeam], C$1)+SUMIFS(Table2[NewPointsHome],Table2[GameDate], "&lt;=" &amp; $A101, Table2[HomeTeam], C$1)</f>
        <v>22</v>
      </c>
      <c r="D101" s="145">
        <f>SUMIFS(Table2[NewPointsAway],Table2[GameDate], "&lt;=" &amp; $A101, Table2[AwayTeam], D$1)+SUMIFS(Table2[NewPointsHome],Table2[GameDate], "&lt;=" &amp; $A101, Table2[HomeTeam], D$1)</f>
        <v>14</v>
      </c>
      <c r="E101" s="145">
        <f>SUMIFS(Table2[NewPointsAway],Table2[GameDate], "&lt;=" &amp; $A101, Table2[AwayTeam], E$1)+SUMIFS(Table2[NewPointsHome],Table2[GameDate], "&lt;=" &amp; $A101, Table2[HomeTeam], E$1)</f>
        <v>22</v>
      </c>
      <c r="F101" s="145">
        <f>SUMIFS(Table2[NewPointsAway],Table2[GameDate], "&lt;=" &amp; $A101, Table2[AwayTeam], F$1)+SUMIFS(Table2[NewPointsHome],Table2[GameDate], "&lt;=" &amp; $A101, Table2[HomeTeam], F$1)</f>
        <v>17</v>
      </c>
      <c r="G101" s="145">
        <f>SUMIFS(Table2[NewPointsAway],Table2[GameDate], "&lt;=" &amp; $A101, Table2[AwayTeam], G$1)+SUMIFS(Table2[NewPointsHome],Table2[GameDate], "&lt;=" &amp; $A101, Table2[HomeTeam], G$1)</f>
        <v>10</v>
      </c>
      <c r="H101" s="145">
        <f>SUMIFS(Table2[NewPointsAway],Table2[GameDate], "&lt;=" &amp; $A101, Table2[AwayTeam], H$1)+SUMIFS(Table2[NewPointsHome],Table2[GameDate], "&lt;=" &amp; $A101, Table2[HomeTeam], H$1)</f>
        <v>19</v>
      </c>
      <c r="I101" s="145">
        <f>SUMIFS(Table2[NewPointsAway],Table2[GameDate], "&lt;=" &amp; $A101, Table2[AwayTeam], I$1)+SUMIFS(Table2[NewPointsHome],Table2[GameDate], "&lt;=" &amp; $A101, Table2[HomeTeam], I$1)</f>
        <v>27</v>
      </c>
      <c r="J101" s="145">
        <f>SUMIFS(Table2[NewPointsAway],Table2[GameDate], "&lt;=" &amp; $A101, Table2[AwayTeam], J$1)+SUMIFS(Table2[NewPointsHome],Table2[GameDate], "&lt;=" &amp; $A101, Table2[HomeTeam], J$1)</f>
        <v>23</v>
      </c>
      <c r="K101" s="145">
        <f>SUMIFS(Table2[NewPointsAway],Table2[GameDate], "&lt;=" &amp; $A101, Table2[AwayTeam], K$1)+SUMIFS(Table2[NewPointsHome],Table2[GameDate], "&lt;=" &amp; $A101, Table2[HomeTeam], K$1)</f>
        <v>18</v>
      </c>
      <c r="L101" s="145">
        <f>SUMIFS(Table2[NewPointsAway],Table2[GameDate], "&lt;=" &amp; $A101, Table2[AwayTeam], L$1)+SUMIFS(Table2[NewPointsHome],Table2[GameDate], "&lt;=" &amp; $A101, Table2[HomeTeam], L$1)</f>
        <v>20</v>
      </c>
      <c r="M101" s="145">
        <f>SUMIFS(Table2[NewPointsAway],Table2[GameDate], "&lt;=" &amp; $A101, Table2[AwayTeam], M$1)+SUMIFS(Table2[NewPointsHome],Table2[GameDate], "&lt;=" &amp; $A101, Table2[HomeTeam], M$1)</f>
        <v>17</v>
      </c>
      <c r="N101" s="145">
        <f>SUMIFS(Table2[NewPointsAway],Table2[GameDate], "&lt;=" &amp; $A101, Table2[AwayTeam], N$1)+SUMIFS(Table2[NewPointsHome],Table2[GameDate], "&lt;=" &amp; $A101, Table2[HomeTeam], N$1)</f>
        <v>20</v>
      </c>
      <c r="O101" s="145">
        <f>SUMIFS(Table2[NewPointsAway],Table2[GameDate], "&lt;=" &amp; $A101, Table2[AwayTeam], O$1)+SUMIFS(Table2[NewPointsHome],Table2[GameDate], "&lt;=" &amp; $A101, Table2[HomeTeam], O$1)</f>
        <v>18</v>
      </c>
      <c r="P101" s="145">
        <f>SUMIFS(Table2[NewPointsAway],Table2[GameDate], "&lt;=" &amp; $A101, Table2[AwayTeam], P$1)+SUMIFS(Table2[NewPointsHome],Table2[GameDate], "&lt;=" &amp; $A101, Table2[HomeTeam], P$1)</f>
        <v>22</v>
      </c>
      <c r="Q101" s="145">
        <f>SUMIFS(Table2[NewPointsAway],Table2[GameDate], "&lt;=" &amp; $A101, Table2[AwayTeam], Q$1)+SUMIFS(Table2[NewPointsHome],Table2[GameDate], "&lt;=" &amp; $A101, Table2[HomeTeam], Q$1)</f>
        <v>23</v>
      </c>
      <c r="R101" s="145">
        <f>SUMIFS(Table2[NewPointsAway],Table2[GameDate], "&lt;=" &amp; $A101, Table2[AwayTeam], R$1)+SUMIFS(Table2[NewPointsHome],Table2[GameDate], "&lt;=" &amp; $A101, Table2[HomeTeam], R$1)</f>
        <v>14</v>
      </c>
      <c r="S101" s="145">
        <f>SUMIFS(Table2[NewPointsAway],Table2[GameDate], "&lt;=" &amp; $A101, Table2[AwayTeam], S$1)+SUMIFS(Table2[NewPointsHome],Table2[GameDate], "&lt;=" &amp; $A101, Table2[HomeTeam], S$1)</f>
        <v>18</v>
      </c>
      <c r="T101" s="145">
        <f>SUMIFS(Table2[NewPointsAway],Table2[GameDate], "&lt;=" &amp; $A101, Table2[AwayTeam], T$1)+SUMIFS(Table2[NewPointsHome],Table2[GameDate], "&lt;=" &amp; $A101, Table2[HomeTeam], T$1)</f>
        <v>20</v>
      </c>
      <c r="U101" s="145">
        <f>SUMIFS(Table2[NewPointsAway],Table2[GameDate], "&lt;=" &amp; $A101, Table2[AwayTeam], U$1)+SUMIFS(Table2[NewPointsHome],Table2[GameDate], "&lt;=" &amp; $A101, Table2[HomeTeam], U$1)</f>
        <v>20</v>
      </c>
      <c r="V101" s="145">
        <f>SUMIFS(Table2[NewPointsAway],Table2[GameDate], "&lt;=" &amp; $A101, Table2[AwayTeam], V$1)+SUMIFS(Table2[NewPointsHome],Table2[GameDate], "&lt;=" &amp; $A101, Table2[HomeTeam], V$1)</f>
        <v>19</v>
      </c>
      <c r="W101" s="145">
        <f>SUMIFS(Table2[NewPointsAway],Table2[GameDate], "&lt;=" &amp; $A101, Table2[AwayTeam], W$1)+SUMIFS(Table2[NewPointsHome],Table2[GameDate], "&lt;=" &amp; $A101, Table2[HomeTeam], W$1)</f>
        <v>21</v>
      </c>
      <c r="X101" s="145">
        <f>SUMIFS(Table2[NewPointsAway],Table2[GameDate], "&lt;=" &amp; $A101, Table2[AwayTeam], X$1)+SUMIFS(Table2[NewPointsHome],Table2[GameDate], "&lt;=" &amp; $A101, Table2[HomeTeam], X$1)</f>
        <v>19</v>
      </c>
      <c r="Y101" s="145">
        <f>SUMIFS(Table2[NewPointsAway],Table2[GameDate], "&lt;=" &amp; $A101, Table2[AwayTeam], Y$1)+SUMIFS(Table2[NewPointsHome],Table2[GameDate], "&lt;=" &amp; $A101, Table2[HomeTeam], Y$1)</f>
        <v>19</v>
      </c>
      <c r="Z101" s="145">
        <f>SUMIFS(Table2[NewPointsAway],Table2[GameDate], "&lt;=" &amp; $A101, Table2[AwayTeam], Z$1)+SUMIFS(Table2[NewPointsHome],Table2[GameDate], "&lt;=" &amp; $A101, Table2[HomeTeam], Z$1)</f>
        <v>15</v>
      </c>
      <c r="AA101" s="145">
        <f>SUMIFS(Table2[NewPointsAway],Table2[GameDate], "&lt;=" &amp; $A101, Table2[AwayTeam], AA$1)+SUMIFS(Table2[NewPointsHome],Table2[GameDate], "&lt;=" &amp; $A101, Table2[HomeTeam], AA$1)</f>
        <v>18</v>
      </c>
      <c r="AB101" s="145">
        <f>SUMIFS(Table2[NewPointsAway],Table2[GameDate], "&lt;=" &amp; $A101, Table2[AwayTeam], AB$1)+SUMIFS(Table2[NewPointsHome],Table2[GameDate], "&lt;=" &amp; $A101, Table2[HomeTeam], AB$1)</f>
        <v>17</v>
      </c>
      <c r="AC101" s="145">
        <f>SUMIFS(Table2[NewPointsAway],Table2[GameDate], "&lt;=" &amp; $A101, Table2[AwayTeam], AC$1)+SUMIFS(Table2[NewPointsHome],Table2[GameDate], "&lt;=" &amp; $A101, Table2[HomeTeam], AC$1)</f>
        <v>18</v>
      </c>
      <c r="AD101" s="145">
        <f>SUMIFS(Table2[NewPointsAway],Table2[GameDate], "&lt;=" &amp; $A101, Table2[AwayTeam], AD$1)+SUMIFS(Table2[NewPointsHome],Table2[GameDate], "&lt;=" &amp; $A101, Table2[HomeTeam], AD$1)</f>
        <v>17</v>
      </c>
      <c r="AE101" s="145">
        <f>SUMIFS(Table2[NewPointsAway],Table2[GameDate], "&lt;=" &amp; $A101, Table2[AwayTeam], AE$1)+SUMIFS(Table2[NewPointsHome],Table2[GameDate], "&lt;=" &amp; $A101, Table2[HomeTeam], AE$1)</f>
        <v>18</v>
      </c>
      <c r="AF101" s="145">
        <f>SUMIFS(Table2[NewPointsAway],Table2[GameDate], "&lt;=" &amp; $A101, Table2[AwayTeam], AF$1)+SUMIFS(Table2[NewPointsHome],Table2[GameDate], "&lt;=" &amp; $A101, Table2[HomeTeam], AF$1)</f>
        <v>20</v>
      </c>
      <c r="AG101" s="145">
        <f>SUMIFS(Table2[NewPointsAway],Table2[GameDate], "&lt;=" &amp; $A101, Table2[AwayTeam], AG$1)+SUMIFS(Table2[NewPointsHome],Table2[GameDate], "&lt;=" &amp; $A101, Table2[HomeTeam], AG$1)</f>
        <v>17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23</v>
      </c>
      <c r="C102" s="145">
        <f>SUMIFS(Table2[NewPointsAway],Table2[GameDate], "&lt;=" &amp; $A102, Table2[AwayTeam], C$1)+SUMIFS(Table2[NewPointsHome],Table2[GameDate], "&lt;=" &amp; $A102, Table2[HomeTeam], C$1)</f>
        <v>22</v>
      </c>
      <c r="D102" s="145">
        <f>SUMIFS(Table2[NewPointsAway],Table2[GameDate], "&lt;=" &amp; $A102, Table2[AwayTeam], D$1)+SUMIFS(Table2[NewPointsHome],Table2[GameDate], "&lt;=" &amp; $A102, Table2[HomeTeam], D$1)</f>
        <v>14</v>
      </c>
      <c r="E102" s="145">
        <f>SUMIFS(Table2[NewPointsAway],Table2[GameDate], "&lt;=" &amp; $A102, Table2[AwayTeam], E$1)+SUMIFS(Table2[NewPointsHome],Table2[GameDate], "&lt;=" &amp; $A102, Table2[HomeTeam], E$1)</f>
        <v>22</v>
      </c>
      <c r="F102" s="145">
        <f>SUMIFS(Table2[NewPointsAway],Table2[GameDate], "&lt;=" &amp; $A102, Table2[AwayTeam], F$1)+SUMIFS(Table2[NewPointsHome],Table2[GameDate], "&lt;=" &amp; $A102, Table2[HomeTeam], F$1)</f>
        <v>17</v>
      </c>
      <c r="G102" s="145">
        <f>SUMIFS(Table2[NewPointsAway],Table2[GameDate], "&lt;=" &amp; $A102, Table2[AwayTeam], G$1)+SUMIFS(Table2[NewPointsHome],Table2[GameDate], "&lt;=" &amp; $A102, Table2[HomeTeam], G$1)</f>
        <v>10</v>
      </c>
      <c r="H102" s="145">
        <f>SUMIFS(Table2[NewPointsAway],Table2[GameDate], "&lt;=" &amp; $A102, Table2[AwayTeam], H$1)+SUMIFS(Table2[NewPointsHome],Table2[GameDate], "&lt;=" &amp; $A102, Table2[HomeTeam], H$1)</f>
        <v>19</v>
      </c>
      <c r="I102" s="145">
        <f>SUMIFS(Table2[NewPointsAway],Table2[GameDate], "&lt;=" &amp; $A102, Table2[AwayTeam], I$1)+SUMIFS(Table2[NewPointsHome],Table2[GameDate], "&lt;=" &amp; $A102, Table2[HomeTeam], I$1)</f>
        <v>27</v>
      </c>
      <c r="J102" s="145">
        <f>SUMIFS(Table2[NewPointsAway],Table2[GameDate], "&lt;=" &amp; $A102, Table2[AwayTeam], J$1)+SUMIFS(Table2[NewPointsHome],Table2[GameDate], "&lt;=" &amp; $A102, Table2[HomeTeam], J$1)</f>
        <v>23</v>
      </c>
      <c r="K102" s="145">
        <f>SUMIFS(Table2[NewPointsAway],Table2[GameDate], "&lt;=" &amp; $A102, Table2[AwayTeam], K$1)+SUMIFS(Table2[NewPointsHome],Table2[GameDate], "&lt;=" &amp; $A102, Table2[HomeTeam], K$1)</f>
        <v>18</v>
      </c>
      <c r="L102" s="145">
        <f>SUMIFS(Table2[NewPointsAway],Table2[GameDate], "&lt;=" &amp; $A102, Table2[AwayTeam], L$1)+SUMIFS(Table2[NewPointsHome],Table2[GameDate], "&lt;=" &amp; $A102, Table2[HomeTeam], L$1)</f>
        <v>20</v>
      </c>
      <c r="M102" s="145">
        <f>SUMIFS(Table2[NewPointsAway],Table2[GameDate], "&lt;=" &amp; $A102, Table2[AwayTeam], M$1)+SUMIFS(Table2[NewPointsHome],Table2[GameDate], "&lt;=" &amp; $A102, Table2[HomeTeam], M$1)</f>
        <v>17</v>
      </c>
      <c r="N102" s="145">
        <f>SUMIFS(Table2[NewPointsAway],Table2[GameDate], "&lt;=" &amp; $A102, Table2[AwayTeam], N$1)+SUMIFS(Table2[NewPointsHome],Table2[GameDate], "&lt;=" &amp; $A102, Table2[HomeTeam], N$1)</f>
        <v>20</v>
      </c>
      <c r="O102" s="145">
        <f>SUMIFS(Table2[NewPointsAway],Table2[GameDate], "&lt;=" &amp; $A102, Table2[AwayTeam], O$1)+SUMIFS(Table2[NewPointsHome],Table2[GameDate], "&lt;=" &amp; $A102, Table2[HomeTeam], O$1)</f>
        <v>18</v>
      </c>
      <c r="P102" s="145">
        <f>SUMIFS(Table2[NewPointsAway],Table2[GameDate], "&lt;=" &amp; $A102, Table2[AwayTeam], P$1)+SUMIFS(Table2[NewPointsHome],Table2[GameDate], "&lt;=" &amp; $A102, Table2[HomeTeam], P$1)</f>
        <v>22</v>
      </c>
      <c r="Q102" s="145">
        <f>SUMIFS(Table2[NewPointsAway],Table2[GameDate], "&lt;=" &amp; $A102, Table2[AwayTeam], Q$1)+SUMIFS(Table2[NewPointsHome],Table2[GameDate], "&lt;=" &amp; $A102, Table2[HomeTeam], Q$1)</f>
        <v>23</v>
      </c>
      <c r="R102" s="145">
        <f>SUMIFS(Table2[NewPointsAway],Table2[GameDate], "&lt;=" &amp; $A102, Table2[AwayTeam], R$1)+SUMIFS(Table2[NewPointsHome],Table2[GameDate], "&lt;=" &amp; $A102, Table2[HomeTeam], R$1)</f>
        <v>14</v>
      </c>
      <c r="S102" s="145">
        <f>SUMIFS(Table2[NewPointsAway],Table2[GameDate], "&lt;=" &amp; $A102, Table2[AwayTeam], S$1)+SUMIFS(Table2[NewPointsHome],Table2[GameDate], "&lt;=" &amp; $A102, Table2[HomeTeam], S$1)</f>
        <v>18</v>
      </c>
      <c r="T102" s="145">
        <f>SUMIFS(Table2[NewPointsAway],Table2[GameDate], "&lt;=" &amp; $A102, Table2[AwayTeam], T$1)+SUMIFS(Table2[NewPointsHome],Table2[GameDate], "&lt;=" &amp; $A102, Table2[HomeTeam], T$1)</f>
        <v>20</v>
      </c>
      <c r="U102" s="145">
        <f>SUMIFS(Table2[NewPointsAway],Table2[GameDate], "&lt;=" &amp; $A102, Table2[AwayTeam], U$1)+SUMIFS(Table2[NewPointsHome],Table2[GameDate], "&lt;=" &amp; $A102, Table2[HomeTeam], U$1)</f>
        <v>20</v>
      </c>
      <c r="V102" s="145">
        <f>SUMIFS(Table2[NewPointsAway],Table2[GameDate], "&lt;=" &amp; $A102, Table2[AwayTeam], V$1)+SUMIFS(Table2[NewPointsHome],Table2[GameDate], "&lt;=" &amp; $A102, Table2[HomeTeam], V$1)</f>
        <v>19</v>
      </c>
      <c r="W102" s="145">
        <f>SUMIFS(Table2[NewPointsAway],Table2[GameDate], "&lt;=" &amp; $A102, Table2[AwayTeam], W$1)+SUMIFS(Table2[NewPointsHome],Table2[GameDate], "&lt;=" &amp; $A102, Table2[HomeTeam], W$1)</f>
        <v>21</v>
      </c>
      <c r="X102" s="145">
        <f>SUMIFS(Table2[NewPointsAway],Table2[GameDate], "&lt;=" &amp; $A102, Table2[AwayTeam], X$1)+SUMIFS(Table2[NewPointsHome],Table2[GameDate], "&lt;=" &amp; $A102, Table2[HomeTeam], X$1)</f>
        <v>19</v>
      </c>
      <c r="Y102" s="145">
        <f>SUMIFS(Table2[NewPointsAway],Table2[GameDate], "&lt;=" &amp; $A102, Table2[AwayTeam], Y$1)+SUMIFS(Table2[NewPointsHome],Table2[GameDate], "&lt;=" &amp; $A102, Table2[HomeTeam], Y$1)</f>
        <v>19</v>
      </c>
      <c r="Z102" s="145">
        <f>SUMIFS(Table2[NewPointsAway],Table2[GameDate], "&lt;=" &amp; $A102, Table2[AwayTeam], Z$1)+SUMIFS(Table2[NewPointsHome],Table2[GameDate], "&lt;=" &amp; $A102, Table2[HomeTeam], Z$1)</f>
        <v>15</v>
      </c>
      <c r="AA102" s="145">
        <f>SUMIFS(Table2[NewPointsAway],Table2[GameDate], "&lt;=" &amp; $A102, Table2[AwayTeam], AA$1)+SUMIFS(Table2[NewPointsHome],Table2[GameDate], "&lt;=" &amp; $A102, Table2[HomeTeam], AA$1)</f>
        <v>18</v>
      </c>
      <c r="AB102" s="145">
        <f>SUMIFS(Table2[NewPointsAway],Table2[GameDate], "&lt;=" &amp; $A102, Table2[AwayTeam], AB$1)+SUMIFS(Table2[NewPointsHome],Table2[GameDate], "&lt;=" &amp; $A102, Table2[HomeTeam], AB$1)</f>
        <v>17</v>
      </c>
      <c r="AC102" s="145">
        <f>SUMIFS(Table2[NewPointsAway],Table2[GameDate], "&lt;=" &amp; $A102, Table2[AwayTeam], AC$1)+SUMIFS(Table2[NewPointsHome],Table2[GameDate], "&lt;=" &amp; $A102, Table2[HomeTeam], AC$1)</f>
        <v>18</v>
      </c>
      <c r="AD102" s="145">
        <f>SUMIFS(Table2[NewPointsAway],Table2[GameDate], "&lt;=" &amp; $A102, Table2[AwayTeam], AD$1)+SUMIFS(Table2[NewPointsHome],Table2[GameDate], "&lt;=" &amp; $A102, Table2[HomeTeam], AD$1)</f>
        <v>17</v>
      </c>
      <c r="AE102" s="145">
        <f>SUMIFS(Table2[NewPointsAway],Table2[GameDate], "&lt;=" &amp; $A102, Table2[AwayTeam], AE$1)+SUMIFS(Table2[NewPointsHome],Table2[GameDate], "&lt;=" &amp; $A102, Table2[HomeTeam], AE$1)</f>
        <v>18</v>
      </c>
      <c r="AF102" s="145">
        <f>SUMIFS(Table2[NewPointsAway],Table2[GameDate], "&lt;=" &amp; $A102, Table2[AwayTeam], AF$1)+SUMIFS(Table2[NewPointsHome],Table2[GameDate], "&lt;=" &amp; $A102, Table2[HomeTeam], AF$1)</f>
        <v>20</v>
      </c>
      <c r="AG102" s="145">
        <f>SUMIFS(Table2[NewPointsAway],Table2[GameDate], "&lt;=" &amp; $A102, Table2[AwayTeam], AG$1)+SUMIFS(Table2[NewPointsHome],Table2[GameDate], "&lt;=" &amp; $A102, Table2[HomeTeam], AG$1)</f>
        <v>17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23</v>
      </c>
      <c r="C103" s="145">
        <f>SUMIFS(Table2[NewPointsAway],Table2[GameDate], "&lt;=" &amp; $A103, Table2[AwayTeam], C$1)+SUMIFS(Table2[NewPointsHome],Table2[GameDate], "&lt;=" &amp; $A103, Table2[HomeTeam], C$1)</f>
        <v>22</v>
      </c>
      <c r="D103" s="145">
        <f>SUMIFS(Table2[NewPointsAway],Table2[GameDate], "&lt;=" &amp; $A103, Table2[AwayTeam], D$1)+SUMIFS(Table2[NewPointsHome],Table2[GameDate], "&lt;=" &amp; $A103, Table2[HomeTeam], D$1)</f>
        <v>14</v>
      </c>
      <c r="E103" s="145">
        <f>SUMIFS(Table2[NewPointsAway],Table2[GameDate], "&lt;=" &amp; $A103, Table2[AwayTeam], E$1)+SUMIFS(Table2[NewPointsHome],Table2[GameDate], "&lt;=" &amp; $A103, Table2[HomeTeam], E$1)</f>
        <v>22</v>
      </c>
      <c r="F103" s="145">
        <f>SUMIFS(Table2[NewPointsAway],Table2[GameDate], "&lt;=" &amp; $A103, Table2[AwayTeam], F$1)+SUMIFS(Table2[NewPointsHome],Table2[GameDate], "&lt;=" &amp; $A103, Table2[HomeTeam], F$1)</f>
        <v>17</v>
      </c>
      <c r="G103" s="145">
        <f>SUMIFS(Table2[NewPointsAway],Table2[GameDate], "&lt;=" &amp; $A103, Table2[AwayTeam], G$1)+SUMIFS(Table2[NewPointsHome],Table2[GameDate], "&lt;=" &amp; $A103, Table2[HomeTeam], G$1)</f>
        <v>10</v>
      </c>
      <c r="H103" s="145">
        <f>SUMIFS(Table2[NewPointsAway],Table2[GameDate], "&lt;=" &amp; $A103, Table2[AwayTeam], H$1)+SUMIFS(Table2[NewPointsHome],Table2[GameDate], "&lt;=" &amp; $A103, Table2[HomeTeam], H$1)</f>
        <v>19</v>
      </c>
      <c r="I103" s="145">
        <f>SUMIFS(Table2[NewPointsAway],Table2[GameDate], "&lt;=" &amp; $A103, Table2[AwayTeam], I$1)+SUMIFS(Table2[NewPointsHome],Table2[GameDate], "&lt;=" &amp; $A103, Table2[HomeTeam], I$1)</f>
        <v>27</v>
      </c>
      <c r="J103" s="145">
        <f>SUMIFS(Table2[NewPointsAway],Table2[GameDate], "&lt;=" &amp; $A103, Table2[AwayTeam], J$1)+SUMIFS(Table2[NewPointsHome],Table2[GameDate], "&lt;=" &amp; $A103, Table2[HomeTeam], J$1)</f>
        <v>23</v>
      </c>
      <c r="K103" s="145">
        <f>SUMIFS(Table2[NewPointsAway],Table2[GameDate], "&lt;=" &amp; $A103, Table2[AwayTeam], K$1)+SUMIFS(Table2[NewPointsHome],Table2[GameDate], "&lt;=" &amp; $A103, Table2[HomeTeam], K$1)</f>
        <v>18</v>
      </c>
      <c r="L103" s="145">
        <f>SUMIFS(Table2[NewPointsAway],Table2[GameDate], "&lt;=" &amp; $A103, Table2[AwayTeam], L$1)+SUMIFS(Table2[NewPointsHome],Table2[GameDate], "&lt;=" &amp; $A103, Table2[HomeTeam], L$1)</f>
        <v>20</v>
      </c>
      <c r="M103" s="145">
        <f>SUMIFS(Table2[NewPointsAway],Table2[GameDate], "&lt;=" &amp; $A103, Table2[AwayTeam], M$1)+SUMIFS(Table2[NewPointsHome],Table2[GameDate], "&lt;=" &amp; $A103, Table2[HomeTeam], M$1)</f>
        <v>17</v>
      </c>
      <c r="N103" s="145">
        <f>SUMIFS(Table2[NewPointsAway],Table2[GameDate], "&lt;=" &amp; $A103, Table2[AwayTeam], N$1)+SUMIFS(Table2[NewPointsHome],Table2[GameDate], "&lt;=" &amp; $A103, Table2[HomeTeam], N$1)</f>
        <v>20</v>
      </c>
      <c r="O103" s="145">
        <f>SUMIFS(Table2[NewPointsAway],Table2[GameDate], "&lt;=" &amp; $A103, Table2[AwayTeam], O$1)+SUMIFS(Table2[NewPointsHome],Table2[GameDate], "&lt;=" &amp; $A103, Table2[HomeTeam], O$1)</f>
        <v>18</v>
      </c>
      <c r="P103" s="145">
        <f>SUMIFS(Table2[NewPointsAway],Table2[GameDate], "&lt;=" &amp; $A103, Table2[AwayTeam], P$1)+SUMIFS(Table2[NewPointsHome],Table2[GameDate], "&lt;=" &amp; $A103, Table2[HomeTeam], P$1)</f>
        <v>22</v>
      </c>
      <c r="Q103" s="145">
        <f>SUMIFS(Table2[NewPointsAway],Table2[GameDate], "&lt;=" &amp; $A103, Table2[AwayTeam], Q$1)+SUMIFS(Table2[NewPointsHome],Table2[GameDate], "&lt;=" &amp; $A103, Table2[HomeTeam], Q$1)</f>
        <v>23</v>
      </c>
      <c r="R103" s="145">
        <f>SUMIFS(Table2[NewPointsAway],Table2[GameDate], "&lt;=" &amp; $A103, Table2[AwayTeam], R$1)+SUMIFS(Table2[NewPointsHome],Table2[GameDate], "&lt;=" &amp; $A103, Table2[HomeTeam], R$1)</f>
        <v>14</v>
      </c>
      <c r="S103" s="145">
        <f>SUMIFS(Table2[NewPointsAway],Table2[GameDate], "&lt;=" &amp; $A103, Table2[AwayTeam], S$1)+SUMIFS(Table2[NewPointsHome],Table2[GameDate], "&lt;=" &amp; $A103, Table2[HomeTeam], S$1)</f>
        <v>18</v>
      </c>
      <c r="T103" s="145">
        <f>SUMIFS(Table2[NewPointsAway],Table2[GameDate], "&lt;=" &amp; $A103, Table2[AwayTeam], T$1)+SUMIFS(Table2[NewPointsHome],Table2[GameDate], "&lt;=" &amp; $A103, Table2[HomeTeam], T$1)</f>
        <v>20</v>
      </c>
      <c r="U103" s="145">
        <f>SUMIFS(Table2[NewPointsAway],Table2[GameDate], "&lt;=" &amp; $A103, Table2[AwayTeam], U$1)+SUMIFS(Table2[NewPointsHome],Table2[GameDate], "&lt;=" &amp; $A103, Table2[HomeTeam], U$1)</f>
        <v>20</v>
      </c>
      <c r="V103" s="145">
        <f>SUMIFS(Table2[NewPointsAway],Table2[GameDate], "&lt;=" &amp; $A103, Table2[AwayTeam], V$1)+SUMIFS(Table2[NewPointsHome],Table2[GameDate], "&lt;=" &amp; $A103, Table2[HomeTeam], V$1)</f>
        <v>19</v>
      </c>
      <c r="W103" s="145">
        <f>SUMIFS(Table2[NewPointsAway],Table2[GameDate], "&lt;=" &amp; $A103, Table2[AwayTeam], W$1)+SUMIFS(Table2[NewPointsHome],Table2[GameDate], "&lt;=" &amp; $A103, Table2[HomeTeam], W$1)</f>
        <v>21</v>
      </c>
      <c r="X103" s="145">
        <f>SUMIFS(Table2[NewPointsAway],Table2[GameDate], "&lt;=" &amp; $A103, Table2[AwayTeam], X$1)+SUMIFS(Table2[NewPointsHome],Table2[GameDate], "&lt;=" &amp; $A103, Table2[HomeTeam], X$1)</f>
        <v>19</v>
      </c>
      <c r="Y103" s="145">
        <f>SUMIFS(Table2[NewPointsAway],Table2[GameDate], "&lt;=" &amp; $A103, Table2[AwayTeam], Y$1)+SUMIFS(Table2[NewPointsHome],Table2[GameDate], "&lt;=" &amp; $A103, Table2[HomeTeam], Y$1)</f>
        <v>19</v>
      </c>
      <c r="Z103" s="145">
        <f>SUMIFS(Table2[NewPointsAway],Table2[GameDate], "&lt;=" &amp; $A103, Table2[AwayTeam], Z$1)+SUMIFS(Table2[NewPointsHome],Table2[GameDate], "&lt;=" &amp; $A103, Table2[HomeTeam], Z$1)</f>
        <v>15</v>
      </c>
      <c r="AA103" s="145">
        <f>SUMIFS(Table2[NewPointsAway],Table2[GameDate], "&lt;=" &amp; $A103, Table2[AwayTeam], AA$1)+SUMIFS(Table2[NewPointsHome],Table2[GameDate], "&lt;=" &amp; $A103, Table2[HomeTeam], AA$1)</f>
        <v>18</v>
      </c>
      <c r="AB103" s="145">
        <f>SUMIFS(Table2[NewPointsAway],Table2[GameDate], "&lt;=" &amp; $A103, Table2[AwayTeam], AB$1)+SUMIFS(Table2[NewPointsHome],Table2[GameDate], "&lt;=" &amp; $A103, Table2[HomeTeam], AB$1)</f>
        <v>17</v>
      </c>
      <c r="AC103" s="145">
        <f>SUMIFS(Table2[NewPointsAway],Table2[GameDate], "&lt;=" &amp; $A103, Table2[AwayTeam], AC$1)+SUMIFS(Table2[NewPointsHome],Table2[GameDate], "&lt;=" &amp; $A103, Table2[HomeTeam], AC$1)</f>
        <v>18</v>
      </c>
      <c r="AD103" s="145">
        <f>SUMIFS(Table2[NewPointsAway],Table2[GameDate], "&lt;=" &amp; $A103, Table2[AwayTeam], AD$1)+SUMIFS(Table2[NewPointsHome],Table2[GameDate], "&lt;=" &amp; $A103, Table2[HomeTeam], AD$1)</f>
        <v>17</v>
      </c>
      <c r="AE103" s="145">
        <f>SUMIFS(Table2[NewPointsAway],Table2[GameDate], "&lt;=" &amp; $A103, Table2[AwayTeam], AE$1)+SUMIFS(Table2[NewPointsHome],Table2[GameDate], "&lt;=" &amp; $A103, Table2[HomeTeam], AE$1)</f>
        <v>18</v>
      </c>
      <c r="AF103" s="145">
        <f>SUMIFS(Table2[NewPointsAway],Table2[GameDate], "&lt;=" &amp; $A103, Table2[AwayTeam], AF$1)+SUMIFS(Table2[NewPointsHome],Table2[GameDate], "&lt;=" &amp; $A103, Table2[HomeTeam], AF$1)</f>
        <v>20</v>
      </c>
      <c r="AG103" s="145">
        <f>SUMIFS(Table2[NewPointsAway],Table2[GameDate], "&lt;=" &amp; $A103, Table2[AwayTeam], AG$1)+SUMIFS(Table2[NewPointsHome],Table2[GameDate], "&lt;=" &amp; $A103, Table2[HomeTeam], AG$1)</f>
        <v>17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23</v>
      </c>
      <c r="C104" s="145">
        <f>SUMIFS(Table2[NewPointsAway],Table2[GameDate], "&lt;=" &amp; $A104, Table2[AwayTeam], C$1)+SUMIFS(Table2[NewPointsHome],Table2[GameDate], "&lt;=" &amp; $A104, Table2[HomeTeam], C$1)</f>
        <v>22</v>
      </c>
      <c r="D104" s="145">
        <f>SUMIFS(Table2[NewPointsAway],Table2[GameDate], "&lt;=" &amp; $A104, Table2[AwayTeam], D$1)+SUMIFS(Table2[NewPointsHome],Table2[GameDate], "&lt;=" &amp; $A104, Table2[HomeTeam], D$1)</f>
        <v>14</v>
      </c>
      <c r="E104" s="145">
        <f>SUMIFS(Table2[NewPointsAway],Table2[GameDate], "&lt;=" &amp; $A104, Table2[AwayTeam], E$1)+SUMIFS(Table2[NewPointsHome],Table2[GameDate], "&lt;=" &amp; $A104, Table2[HomeTeam], E$1)</f>
        <v>22</v>
      </c>
      <c r="F104" s="145">
        <f>SUMIFS(Table2[NewPointsAway],Table2[GameDate], "&lt;=" &amp; $A104, Table2[AwayTeam], F$1)+SUMIFS(Table2[NewPointsHome],Table2[GameDate], "&lt;=" &amp; $A104, Table2[HomeTeam], F$1)</f>
        <v>17</v>
      </c>
      <c r="G104" s="145">
        <f>SUMIFS(Table2[NewPointsAway],Table2[GameDate], "&lt;=" &amp; $A104, Table2[AwayTeam], G$1)+SUMIFS(Table2[NewPointsHome],Table2[GameDate], "&lt;=" &amp; $A104, Table2[HomeTeam], G$1)</f>
        <v>10</v>
      </c>
      <c r="H104" s="145">
        <f>SUMIFS(Table2[NewPointsAway],Table2[GameDate], "&lt;=" &amp; $A104, Table2[AwayTeam], H$1)+SUMIFS(Table2[NewPointsHome],Table2[GameDate], "&lt;=" &amp; $A104, Table2[HomeTeam], H$1)</f>
        <v>19</v>
      </c>
      <c r="I104" s="145">
        <f>SUMIFS(Table2[NewPointsAway],Table2[GameDate], "&lt;=" &amp; $A104, Table2[AwayTeam], I$1)+SUMIFS(Table2[NewPointsHome],Table2[GameDate], "&lt;=" &amp; $A104, Table2[HomeTeam], I$1)</f>
        <v>27</v>
      </c>
      <c r="J104" s="145">
        <f>SUMIFS(Table2[NewPointsAway],Table2[GameDate], "&lt;=" &amp; $A104, Table2[AwayTeam], J$1)+SUMIFS(Table2[NewPointsHome],Table2[GameDate], "&lt;=" &amp; $A104, Table2[HomeTeam], J$1)</f>
        <v>23</v>
      </c>
      <c r="K104" s="145">
        <f>SUMIFS(Table2[NewPointsAway],Table2[GameDate], "&lt;=" &amp; $A104, Table2[AwayTeam], K$1)+SUMIFS(Table2[NewPointsHome],Table2[GameDate], "&lt;=" &amp; $A104, Table2[HomeTeam], K$1)</f>
        <v>18</v>
      </c>
      <c r="L104" s="145">
        <f>SUMIFS(Table2[NewPointsAway],Table2[GameDate], "&lt;=" &amp; $A104, Table2[AwayTeam], L$1)+SUMIFS(Table2[NewPointsHome],Table2[GameDate], "&lt;=" &amp; $A104, Table2[HomeTeam], L$1)</f>
        <v>20</v>
      </c>
      <c r="M104" s="145">
        <f>SUMIFS(Table2[NewPointsAway],Table2[GameDate], "&lt;=" &amp; $A104, Table2[AwayTeam], M$1)+SUMIFS(Table2[NewPointsHome],Table2[GameDate], "&lt;=" &amp; $A104, Table2[HomeTeam], M$1)</f>
        <v>17</v>
      </c>
      <c r="N104" s="145">
        <f>SUMIFS(Table2[NewPointsAway],Table2[GameDate], "&lt;=" &amp; $A104, Table2[AwayTeam], N$1)+SUMIFS(Table2[NewPointsHome],Table2[GameDate], "&lt;=" &amp; $A104, Table2[HomeTeam], N$1)</f>
        <v>20</v>
      </c>
      <c r="O104" s="145">
        <f>SUMIFS(Table2[NewPointsAway],Table2[GameDate], "&lt;=" &amp; $A104, Table2[AwayTeam], O$1)+SUMIFS(Table2[NewPointsHome],Table2[GameDate], "&lt;=" &amp; $A104, Table2[HomeTeam], O$1)</f>
        <v>18</v>
      </c>
      <c r="P104" s="145">
        <f>SUMIFS(Table2[NewPointsAway],Table2[GameDate], "&lt;=" &amp; $A104, Table2[AwayTeam], P$1)+SUMIFS(Table2[NewPointsHome],Table2[GameDate], "&lt;=" &amp; $A104, Table2[HomeTeam], P$1)</f>
        <v>22</v>
      </c>
      <c r="Q104" s="145">
        <f>SUMIFS(Table2[NewPointsAway],Table2[GameDate], "&lt;=" &amp; $A104, Table2[AwayTeam], Q$1)+SUMIFS(Table2[NewPointsHome],Table2[GameDate], "&lt;=" &amp; $A104, Table2[HomeTeam], Q$1)</f>
        <v>23</v>
      </c>
      <c r="R104" s="145">
        <f>SUMIFS(Table2[NewPointsAway],Table2[GameDate], "&lt;=" &amp; $A104, Table2[AwayTeam], R$1)+SUMIFS(Table2[NewPointsHome],Table2[GameDate], "&lt;=" &amp; $A104, Table2[HomeTeam], R$1)</f>
        <v>14</v>
      </c>
      <c r="S104" s="145">
        <f>SUMIFS(Table2[NewPointsAway],Table2[GameDate], "&lt;=" &amp; $A104, Table2[AwayTeam], S$1)+SUMIFS(Table2[NewPointsHome],Table2[GameDate], "&lt;=" &amp; $A104, Table2[HomeTeam], S$1)</f>
        <v>18</v>
      </c>
      <c r="T104" s="145">
        <f>SUMIFS(Table2[NewPointsAway],Table2[GameDate], "&lt;=" &amp; $A104, Table2[AwayTeam], T$1)+SUMIFS(Table2[NewPointsHome],Table2[GameDate], "&lt;=" &amp; $A104, Table2[HomeTeam], T$1)</f>
        <v>20</v>
      </c>
      <c r="U104" s="145">
        <f>SUMIFS(Table2[NewPointsAway],Table2[GameDate], "&lt;=" &amp; $A104, Table2[AwayTeam], U$1)+SUMIFS(Table2[NewPointsHome],Table2[GameDate], "&lt;=" &amp; $A104, Table2[HomeTeam], U$1)</f>
        <v>20</v>
      </c>
      <c r="V104" s="145">
        <f>SUMIFS(Table2[NewPointsAway],Table2[GameDate], "&lt;=" &amp; $A104, Table2[AwayTeam], V$1)+SUMIFS(Table2[NewPointsHome],Table2[GameDate], "&lt;=" &amp; $A104, Table2[HomeTeam], V$1)</f>
        <v>19</v>
      </c>
      <c r="W104" s="145">
        <f>SUMIFS(Table2[NewPointsAway],Table2[GameDate], "&lt;=" &amp; $A104, Table2[AwayTeam], W$1)+SUMIFS(Table2[NewPointsHome],Table2[GameDate], "&lt;=" &amp; $A104, Table2[HomeTeam], W$1)</f>
        <v>21</v>
      </c>
      <c r="X104" s="145">
        <f>SUMIFS(Table2[NewPointsAway],Table2[GameDate], "&lt;=" &amp; $A104, Table2[AwayTeam], X$1)+SUMIFS(Table2[NewPointsHome],Table2[GameDate], "&lt;=" &amp; $A104, Table2[HomeTeam], X$1)</f>
        <v>19</v>
      </c>
      <c r="Y104" s="145">
        <f>SUMIFS(Table2[NewPointsAway],Table2[GameDate], "&lt;=" &amp; $A104, Table2[AwayTeam], Y$1)+SUMIFS(Table2[NewPointsHome],Table2[GameDate], "&lt;=" &amp; $A104, Table2[HomeTeam], Y$1)</f>
        <v>19</v>
      </c>
      <c r="Z104" s="145">
        <f>SUMIFS(Table2[NewPointsAway],Table2[GameDate], "&lt;=" &amp; $A104, Table2[AwayTeam], Z$1)+SUMIFS(Table2[NewPointsHome],Table2[GameDate], "&lt;=" &amp; $A104, Table2[HomeTeam], Z$1)</f>
        <v>15</v>
      </c>
      <c r="AA104" s="145">
        <f>SUMIFS(Table2[NewPointsAway],Table2[GameDate], "&lt;=" &amp; $A104, Table2[AwayTeam], AA$1)+SUMIFS(Table2[NewPointsHome],Table2[GameDate], "&lt;=" &amp; $A104, Table2[HomeTeam], AA$1)</f>
        <v>18</v>
      </c>
      <c r="AB104" s="145">
        <f>SUMIFS(Table2[NewPointsAway],Table2[GameDate], "&lt;=" &amp; $A104, Table2[AwayTeam], AB$1)+SUMIFS(Table2[NewPointsHome],Table2[GameDate], "&lt;=" &amp; $A104, Table2[HomeTeam], AB$1)</f>
        <v>17</v>
      </c>
      <c r="AC104" s="145">
        <f>SUMIFS(Table2[NewPointsAway],Table2[GameDate], "&lt;=" &amp; $A104, Table2[AwayTeam], AC$1)+SUMIFS(Table2[NewPointsHome],Table2[GameDate], "&lt;=" &amp; $A104, Table2[HomeTeam], AC$1)</f>
        <v>18</v>
      </c>
      <c r="AD104" s="145">
        <f>SUMIFS(Table2[NewPointsAway],Table2[GameDate], "&lt;=" &amp; $A104, Table2[AwayTeam], AD$1)+SUMIFS(Table2[NewPointsHome],Table2[GameDate], "&lt;=" &amp; $A104, Table2[HomeTeam], AD$1)</f>
        <v>17</v>
      </c>
      <c r="AE104" s="145">
        <f>SUMIFS(Table2[NewPointsAway],Table2[GameDate], "&lt;=" &amp; $A104, Table2[AwayTeam], AE$1)+SUMIFS(Table2[NewPointsHome],Table2[GameDate], "&lt;=" &amp; $A104, Table2[HomeTeam], AE$1)</f>
        <v>18</v>
      </c>
      <c r="AF104" s="145">
        <f>SUMIFS(Table2[NewPointsAway],Table2[GameDate], "&lt;=" &amp; $A104, Table2[AwayTeam], AF$1)+SUMIFS(Table2[NewPointsHome],Table2[GameDate], "&lt;=" &amp; $A104, Table2[HomeTeam], AF$1)</f>
        <v>20</v>
      </c>
      <c r="AG104" s="145">
        <f>SUMIFS(Table2[NewPointsAway],Table2[GameDate], "&lt;=" &amp; $A104, Table2[AwayTeam], AG$1)+SUMIFS(Table2[NewPointsHome],Table2[GameDate], "&lt;=" &amp; $A104, Table2[HomeTeam], AG$1)</f>
        <v>17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23</v>
      </c>
      <c r="C105" s="145">
        <f>SUMIFS(Table2[NewPointsAway],Table2[GameDate], "&lt;=" &amp; $A105, Table2[AwayTeam], C$1)+SUMIFS(Table2[NewPointsHome],Table2[GameDate], "&lt;=" &amp; $A105, Table2[HomeTeam], C$1)</f>
        <v>22</v>
      </c>
      <c r="D105" s="145">
        <f>SUMIFS(Table2[NewPointsAway],Table2[GameDate], "&lt;=" &amp; $A105, Table2[AwayTeam], D$1)+SUMIFS(Table2[NewPointsHome],Table2[GameDate], "&lt;=" &amp; $A105, Table2[HomeTeam], D$1)</f>
        <v>14</v>
      </c>
      <c r="E105" s="145">
        <f>SUMIFS(Table2[NewPointsAway],Table2[GameDate], "&lt;=" &amp; $A105, Table2[AwayTeam], E$1)+SUMIFS(Table2[NewPointsHome],Table2[GameDate], "&lt;=" &amp; $A105, Table2[HomeTeam], E$1)</f>
        <v>22</v>
      </c>
      <c r="F105" s="145">
        <f>SUMIFS(Table2[NewPointsAway],Table2[GameDate], "&lt;=" &amp; $A105, Table2[AwayTeam], F$1)+SUMIFS(Table2[NewPointsHome],Table2[GameDate], "&lt;=" &amp; $A105, Table2[HomeTeam], F$1)</f>
        <v>17</v>
      </c>
      <c r="G105" s="145">
        <f>SUMIFS(Table2[NewPointsAway],Table2[GameDate], "&lt;=" &amp; $A105, Table2[AwayTeam], G$1)+SUMIFS(Table2[NewPointsHome],Table2[GameDate], "&lt;=" &amp; $A105, Table2[HomeTeam], G$1)</f>
        <v>10</v>
      </c>
      <c r="H105" s="145">
        <f>SUMIFS(Table2[NewPointsAway],Table2[GameDate], "&lt;=" &amp; $A105, Table2[AwayTeam], H$1)+SUMIFS(Table2[NewPointsHome],Table2[GameDate], "&lt;=" &amp; $A105, Table2[HomeTeam], H$1)</f>
        <v>19</v>
      </c>
      <c r="I105" s="145">
        <f>SUMIFS(Table2[NewPointsAway],Table2[GameDate], "&lt;=" &amp; $A105, Table2[AwayTeam], I$1)+SUMIFS(Table2[NewPointsHome],Table2[GameDate], "&lt;=" &amp; $A105, Table2[HomeTeam], I$1)</f>
        <v>27</v>
      </c>
      <c r="J105" s="145">
        <f>SUMIFS(Table2[NewPointsAway],Table2[GameDate], "&lt;=" &amp; $A105, Table2[AwayTeam], J$1)+SUMIFS(Table2[NewPointsHome],Table2[GameDate], "&lt;=" &amp; $A105, Table2[HomeTeam], J$1)</f>
        <v>23</v>
      </c>
      <c r="K105" s="145">
        <f>SUMIFS(Table2[NewPointsAway],Table2[GameDate], "&lt;=" &amp; $A105, Table2[AwayTeam], K$1)+SUMIFS(Table2[NewPointsHome],Table2[GameDate], "&lt;=" &amp; $A105, Table2[HomeTeam], K$1)</f>
        <v>18</v>
      </c>
      <c r="L105" s="145">
        <f>SUMIFS(Table2[NewPointsAway],Table2[GameDate], "&lt;=" &amp; $A105, Table2[AwayTeam], L$1)+SUMIFS(Table2[NewPointsHome],Table2[GameDate], "&lt;=" &amp; $A105, Table2[HomeTeam], L$1)</f>
        <v>20</v>
      </c>
      <c r="M105" s="145">
        <f>SUMIFS(Table2[NewPointsAway],Table2[GameDate], "&lt;=" &amp; $A105, Table2[AwayTeam], M$1)+SUMIFS(Table2[NewPointsHome],Table2[GameDate], "&lt;=" &amp; $A105, Table2[HomeTeam], M$1)</f>
        <v>17</v>
      </c>
      <c r="N105" s="145">
        <f>SUMIFS(Table2[NewPointsAway],Table2[GameDate], "&lt;=" &amp; $A105, Table2[AwayTeam], N$1)+SUMIFS(Table2[NewPointsHome],Table2[GameDate], "&lt;=" &amp; $A105, Table2[HomeTeam], N$1)</f>
        <v>20</v>
      </c>
      <c r="O105" s="145">
        <f>SUMIFS(Table2[NewPointsAway],Table2[GameDate], "&lt;=" &amp; $A105, Table2[AwayTeam], O$1)+SUMIFS(Table2[NewPointsHome],Table2[GameDate], "&lt;=" &amp; $A105, Table2[HomeTeam], O$1)</f>
        <v>18</v>
      </c>
      <c r="P105" s="145">
        <f>SUMIFS(Table2[NewPointsAway],Table2[GameDate], "&lt;=" &amp; $A105, Table2[AwayTeam], P$1)+SUMIFS(Table2[NewPointsHome],Table2[GameDate], "&lt;=" &amp; $A105, Table2[HomeTeam], P$1)</f>
        <v>22</v>
      </c>
      <c r="Q105" s="145">
        <f>SUMIFS(Table2[NewPointsAway],Table2[GameDate], "&lt;=" &amp; $A105, Table2[AwayTeam], Q$1)+SUMIFS(Table2[NewPointsHome],Table2[GameDate], "&lt;=" &amp; $A105, Table2[HomeTeam], Q$1)</f>
        <v>23</v>
      </c>
      <c r="R105" s="145">
        <f>SUMIFS(Table2[NewPointsAway],Table2[GameDate], "&lt;=" &amp; $A105, Table2[AwayTeam], R$1)+SUMIFS(Table2[NewPointsHome],Table2[GameDate], "&lt;=" &amp; $A105, Table2[HomeTeam], R$1)</f>
        <v>14</v>
      </c>
      <c r="S105" s="145">
        <f>SUMIFS(Table2[NewPointsAway],Table2[GameDate], "&lt;=" &amp; $A105, Table2[AwayTeam], S$1)+SUMIFS(Table2[NewPointsHome],Table2[GameDate], "&lt;=" &amp; $A105, Table2[HomeTeam], S$1)</f>
        <v>18</v>
      </c>
      <c r="T105" s="145">
        <f>SUMIFS(Table2[NewPointsAway],Table2[GameDate], "&lt;=" &amp; $A105, Table2[AwayTeam], T$1)+SUMIFS(Table2[NewPointsHome],Table2[GameDate], "&lt;=" &amp; $A105, Table2[HomeTeam], T$1)</f>
        <v>20</v>
      </c>
      <c r="U105" s="145">
        <f>SUMIFS(Table2[NewPointsAway],Table2[GameDate], "&lt;=" &amp; $A105, Table2[AwayTeam], U$1)+SUMIFS(Table2[NewPointsHome],Table2[GameDate], "&lt;=" &amp; $A105, Table2[HomeTeam], U$1)</f>
        <v>20</v>
      </c>
      <c r="V105" s="145">
        <f>SUMIFS(Table2[NewPointsAway],Table2[GameDate], "&lt;=" &amp; $A105, Table2[AwayTeam], V$1)+SUMIFS(Table2[NewPointsHome],Table2[GameDate], "&lt;=" &amp; $A105, Table2[HomeTeam], V$1)</f>
        <v>19</v>
      </c>
      <c r="W105" s="145">
        <f>SUMIFS(Table2[NewPointsAway],Table2[GameDate], "&lt;=" &amp; $A105, Table2[AwayTeam], W$1)+SUMIFS(Table2[NewPointsHome],Table2[GameDate], "&lt;=" &amp; $A105, Table2[HomeTeam], W$1)</f>
        <v>21</v>
      </c>
      <c r="X105" s="145">
        <f>SUMIFS(Table2[NewPointsAway],Table2[GameDate], "&lt;=" &amp; $A105, Table2[AwayTeam], X$1)+SUMIFS(Table2[NewPointsHome],Table2[GameDate], "&lt;=" &amp; $A105, Table2[HomeTeam], X$1)</f>
        <v>19</v>
      </c>
      <c r="Y105" s="145">
        <f>SUMIFS(Table2[NewPointsAway],Table2[GameDate], "&lt;=" &amp; $A105, Table2[AwayTeam], Y$1)+SUMIFS(Table2[NewPointsHome],Table2[GameDate], "&lt;=" &amp; $A105, Table2[HomeTeam], Y$1)</f>
        <v>19</v>
      </c>
      <c r="Z105" s="145">
        <f>SUMIFS(Table2[NewPointsAway],Table2[GameDate], "&lt;=" &amp; $A105, Table2[AwayTeam], Z$1)+SUMIFS(Table2[NewPointsHome],Table2[GameDate], "&lt;=" &amp; $A105, Table2[HomeTeam], Z$1)</f>
        <v>15</v>
      </c>
      <c r="AA105" s="145">
        <f>SUMIFS(Table2[NewPointsAway],Table2[GameDate], "&lt;=" &amp; $A105, Table2[AwayTeam], AA$1)+SUMIFS(Table2[NewPointsHome],Table2[GameDate], "&lt;=" &amp; $A105, Table2[HomeTeam], AA$1)</f>
        <v>18</v>
      </c>
      <c r="AB105" s="145">
        <f>SUMIFS(Table2[NewPointsAway],Table2[GameDate], "&lt;=" &amp; $A105, Table2[AwayTeam], AB$1)+SUMIFS(Table2[NewPointsHome],Table2[GameDate], "&lt;=" &amp; $A105, Table2[HomeTeam], AB$1)</f>
        <v>17</v>
      </c>
      <c r="AC105" s="145">
        <f>SUMIFS(Table2[NewPointsAway],Table2[GameDate], "&lt;=" &amp; $A105, Table2[AwayTeam], AC$1)+SUMIFS(Table2[NewPointsHome],Table2[GameDate], "&lt;=" &amp; $A105, Table2[HomeTeam], AC$1)</f>
        <v>18</v>
      </c>
      <c r="AD105" s="145">
        <f>SUMIFS(Table2[NewPointsAway],Table2[GameDate], "&lt;=" &amp; $A105, Table2[AwayTeam], AD$1)+SUMIFS(Table2[NewPointsHome],Table2[GameDate], "&lt;=" &amp; $A105, Table2[HomeTeam], AD$1)</f>
        <v>17</v>
      </c>
      <c r="AE105" s="145">
        <f>SUMIFS(Table2[NewPointsAway],Table2[GameDate], "&lt;=" &amp; $A105, Table2[AwayTeam], AE$1)+SUMIFS(Table2[NewPointsHome],Table2[GameDate], "&lt;=" &amp; $A105, Table2[HomeTeam], AE$1)</f>
        <v>18</v>
      </c>
      <c r="AF105" s="145">
        <f>SUMIFS(Table2[NewPointsAway],Table2[GameDate], "&lt;=" &amp; $A105, Table2[AwayTeam], AF$1)+SUMIFS(Table2[NewPointsHome],Table2[GameDate], "&lt;=" &amp; $A105, Table2[HomeTeam], AF$1)</f>
        <v>20</v>
      </c>
      <c r="AG105" s="145">
        <f>SUMIFS(Table2[NewPointsAway],Table2[GameDate], "&lt;=" &amp; $A105, Table2[AwayTeam], AG$1)+SUMIFS(Table2[NewPointsHome],Table2[GameDate], "&lt;=" &amp; $A105, Table2[HomeTeam], AG$1)</f>
        <v>17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23</v>
      </c>
      <c r="C106" s="145">
        <f>SUMIFS(Table2[NewPointsAway],Table2[GameDate], "&lt;=" &amp; $A106, Table2[AwayTeam], C$1)+SUMIFS(Table2[NewPointsHome],Table2[GameDate], "&lt;=" &amp; $A106, Table2[HomeTeam], C$1)</f>
        <v>22</v>
      </c>
      <c r="D106" s="145">
        <f>SUMIFS(Table2[NewPointsAway],Table2[GameDate], "&lt;=" &amp; $A106, Table2[AwayTeam], D$1)+SUMIFS(Table2[NewPointsHome],Table2[GameDate], "&lt;=" &amp; $A106, Table2[HomeTeam], D$1)</f>
        <v>14</v>
      </c>
      <c r="E106" s="145">
        <f>SUMIFS(Table2[NewPointsAway],Table2[GameDate], "&lt;=" &amp; $A106, Table2[AwayTeam], E$1)+SUMIFS(Table2[NewPointsHome],Table2[GameDate], "&lt;=" &amp; $A106, Table2[HomeTeam], E$1)</f>
        <v>22</v>
      </c>
      <c r="F106" s="145">
        <f>SUMIFS(Table2[NewPointsAway],Table2[GameDate], "&lt;=" &amp; $A106, Table2[AwayTeam], F$1)+SUMIFS(Table2[NewPointsHome],Table2[GameDate], "&lt;=" &amp; $A106, Table2[HomeTeam], F$1)</f>
        <v>17</v>
      </c>
      <c r="G106" s="145">
        <f>SUMIFS(Table2[NewPointsAway],Table2[GameDate], "&lt;=" &amp; $A106, Table2[AwayTeam], G$1)+SUMIFS(Table2[NewPointsHome],Table2[GameDate], "&lt;=" &amp; $A106, Table2[HomeTeam], G$1)</f>
        <v>10</v>
      </c>
      <c r="H106" s="145">
        <f>SUMIFS(Table2[NewPointsAway],Table2[GameDate], "&lt;=" &amp; $A106, Table2[AwayTeam], H$1)+SUMIFS(Table2[NewPointsHome],Table2[GameDate], "&lt;=" &amp; $A106, Table2[HomeTeam], H$1)</f>
        <v>19</v>
      </c>
      <c r="I106" s="145">
        <f>SUMIFS(Table2[NewPointsAway],Table2[GameDate], "&lt;=" &amp; $A106, Table2[AwayTeam], I$1)+SUMIFS(Table2[NewPointsHome],Table2[GameDate], "&lt;=" &amp; $A106, Table2[HomeTeam], I$1)</f>
        <v>27</v>
      </c>
      <c r="J106" s="145">
        <f>SUMIFS(Table2[NewPointsAway],Table2[GameDate], "&lt;=" &amp; $A106, Table2[AwayTeam], J$1)+SUMIFS(Table2[NewPointsHome],Table2[GameDate], "&lt;=" &amp; $A106, Table2[HomeTeam], J$1)</f>
        <v>23</v>
      </c>
      <c r="K106" s="145">
        <f>SUMIFS(Table2[NewPointsAway],Table2[GameDate], "&lt;=" &amp; $A106, Table2[AwayTeam], K$1)+SUMIFS(Table2[NewPointsHome],Table2[GameDate], "&lt;=" &amp; $A106, Table2[HomeTeam], K$1)</f>
        <v>18</v>
      </c>
      <c r="L106" s="145">
        <f>SUMIFS(Table2[NewPointsAway],Table2[GameDate], "&lt;=" &amp; $A106, Table2[AwayTeam], L$1)+SUMIFS(Table2[NewPointsHome],Table2[GameDate], "&lt;=" &amp; $A106, Table2[HomeTeam], L$1)</f>
        <v>20</v>
      </c>
      <c r="M106" s="145">
        <f>SUMIFS(Table2[NewPointsAway],Table2[GameDate], "&lt;=" &amp; $A106, Table2[AwayTeam], M$1)+SUMIFS(Table2[NewPointsHome],Table2[GameDate], "&lt;=" &amp; $A106, Table2[HomeTeam], M$1)</f>
        <v>17</v>
      </c>
      <c r="N106" s="145">
        <f>SUMIFS(Table2[NewPointsAway],Table2[GameDate], "&lt;=" &amp; $A106, Table2[AwayTeam], N$1)+SUMIFS(Table2[NewPointsHome],Table2[GameDate], "&lt;=" &amp; $A106, Table2[HomeTeam], N$1)</f>
        <v>20</v>
      </c>
      <c r="O106" s="145">
        <f>SUMIFS(Table2[NewPointsAway],Table2[GameDate], "&lt;=" &amp; $A106, Table2[AwayTeam], O$1)+SUMIFS(Table2[NewPointsHome],Table2[GameDate], "&lt;=" &amp; $A106, Table2[HomeTeam], O$1)</f>
        <v>18</v>
      </c>
      <c r="P106" s="145">
        <f>SUMIFS(Table2[NewPointsAway],Table2[GameDate], "&lt;=" &amp; $A106, Table2[AwayTeam], P$1)+SUMIFS(Table2[NewPointsHome],Table2[GameDate], "&lt;=" &amp; $A106, Table2[HomeTeam], P$1)</f>
        <v>22</v>
      </c>
      <c r="Q106" s="145">
        <f>SUMIFS(Table2[NewPointsAway],Table2[GameDate], "&lt;=" &amp; $A106, Table2[AwayTeam], Q$1)+SUMIFS(Table2[NewPointsHome],Table2[GameDate], "&lt;=" &amp; $A106, Table2[HomeTeam], Q$1)</f>
        <v>23</v>
      </c>
      <c r="R106" s="145">
        <f>SUMIFS(Table2[NewPointsAway],Table2[GameDate], "&lt;=" &amp; $A106, Table2[AwayTeam], R$1)+SUMIFS(Table2[NewPointsHome],Table2[GameDate], "&lt;=" &amp; $A106, Table2[HomeTeam], R$1)</f>
        <v>14</v>
      </c>
      <c r="S106" s="145">
        <f>SUMIFS(Table2[NewPointsAway],Table2[GameDate], "&lt;=" &amp; $A106, Table2[AwayTeam], S$1)+SUMIFS(Table2[NewPointsHome],Table2[GameDate], "&lt;=" &amp; $A106, Table2[HomeTeam], S$1)</f>
        <v>18</v>
      </c>
      <c r="T106" s="145">
        <f>SUMIFS(Table2[NewPointsAway],Table2[GameDate], "&lt;=" &amp; $A106, Table2[AwayTeam], T$1)+SUMIFS(Table2[NewPointsHome],Table2[GameDate], "&lt;=" &amp; $A106, Table2[HomeTeam], T$1)</f>
        <v>20</v>
      </c>
      <c r="U106" s="145">
        <f>SUMIFS(Table2[NewPointsAway],Table2[GameDate], "&lt;=" &amp; $A106, Table2[AwayTeam], U$1)+SUMIFS(Table2[NewPointsHome],Table2[GameDate], "&lt;=" &amp; $A106, Table2[HomeTeam], U$1)</f>
        <v>20</v>
      </c>
      <c r="V106" s="145">
        <f>SUMIFS(Table2[NewPointsAway],Table2[GameDate], "&lt;=" &amp; $A106, Table2[AwayTeam], V$1)+SUMIFS(Table2[NewPointsHome],Table2[GameDate], "&lt;=" &amp; $A106, Table2[HomeTeam], V$1)</f>
        <v>19</v>
      </c>
      <c r="W106" s="145">
        <f>SUMIFS(Table2[NewPointsAway],Table2[GameDate], "&lt;=" &amp; $A106, Table2[AwayTeam], W$1)+SUMIFS(Table2[NewPointsHome],Table2[GameDate], "&lt;=" &amp; $A106, Table2[HomeTeam], W$1)</f>
        <v>21</v>
      </c>
      <c r="X106" s="145">
        <f>SUMIFS(Table2[NewPointsAway],Table2[GameDate], "&lt;=" &amp; $A106, Table2[AwayTeam], X$1)+SUMIFS(Table2[NewPointsHome],Table2[GameDate], "&lt;=" &amp; $A106, Table2[HomeTeam], X$1)</f>
        <v>19</v>
      </c>
      <c r="Y106" s="145">
        <f>SUMIFS(Table2[NewPointsAway],Table2[GameDate], "&lt;=" &amp; $A106, Table2[AwayTeam], Y$1)+SUMIFS(Table2[NewPointsHome],Table2[GameDate], "&lt;=" &amp; $A106, Table2[HomeTeam], Y$1)</f>
        <v>19</v>
      </c>
      <c r="Z106" s="145">
        <f>SUMIFS(Table2[NewPointsAway],Table2[GameDate], "&lt;=" &amp; $A106, Table2[AwayTeam], Z$1)+SUMIFS(Table2[NewPointsHome],Table2[GameDate], "&lt;=" &amp; $A106, Table2[HomeTeam], Z$1)</f>
        <v>15</v>
      </c>
      <c r="AA106" s="145">
        <f>SUMIFS(Table2[NewPointsAway],Table2[GameDate], "&lt;=" &amp; $A106, Table2[AwayTeam], AA$1)+SUMIFS(Table2[NewPointsHome],Table2[GameDate], "&lt;=" &amp; $A106, Table2[HomeTeam], AA$1)</f>
        <v>18</v>
      </c>
      <c r="AB106" s="145">
        <f>SUMIFS(Table2[NewPointsAway],Table2[GameDate], "&lt;=" &amp; $A106, Table2[AwayTeam], AB$1)+SUMIFS(Table2[NewPointsHome],Table2[GameDate], "&lt;=" &amp; $A106, Table2[HomeTeam], AB$1)</f>
        <v>17</v>
      </c>
      <c r="AC106" s="145">
        <f>SUMIFS(Table2[NewPointsAway],Table2[GameDate], "&lt;=" &amp; $A106, Table2[AwayTeam], AC$1)+SUMIFS(Table2[NewPointsHome],Table2[GameDate], "&lt;=" &amp; $A106, Table2[HomeTeam], AC$1)</f>
        <v>18</v>
      </c>
      <c r="AD106" s="145">
        <f>SUMIFS(Table2[NewPointsAway],Table2[GameDate], "&lt;=" &amp; $A106, Table2[AwayTeam], AD$1)+SUMIFS(Table2[NewPointsHome],Table2[GameDate], "&lt;=" &amp; $A106, Table2[HomeTeam], AD$1)</f>
        <v>17</v>
      </c>
      <c r="AE106" s="145">
        <f>SUMIFS(Table2[NewPointsAway],Table2[GameDate], "&lt;=" &amp; $A106, Table2[AwayTeam], AE$1)+SUMIFS(Table2[NewPointsHome],Table2[GameDate], "&lt;=" &amp; $A106, Table2[HomeTeam], AE$1)</f>
        <v>18</v>
      </c>
      <c r="AF106" s="145">
        <f>SUMIFS(Table2[NewPointsAway],Table2[GameDate], "&lt;=" &amp; $A106, Table2[AwayTeam], AF$1)+SUMIFS(Table2[NewPointsHome],Table2[GameDate], "&lt;=" &amp; $A106, Table2[HomeTeam], AF$1)</f>
        <v>20</v>
      </c>
      <c r="AG106" s="145">
        <f>SUMIFS(Table2[NewPointsAway],Table2[GameDate], "&lt;=" &amp; $A106, Table2[AwayTeam], AG$1)+SUMIFS(Table2[NewPointsHome],Table2[GameDate], "&lt;=" &amp; $A106, Table2[HomeTeam], AG$1)</f>
        <v>17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23</v>
      </c>
      <c r="C107" s="145">
        <f>SUMIFS(Table2[NewPointsAway],Table2[GameDate], "&lt;=" &amp; $A107, Table2[AwayTeam], C$1)+SUMIFS(Table2[NewPointsHome],Table2[GameDate], "&lt;=" &amp; $A107, Table2[HomeTeam], C$1)</f>
        <v>22</v>
      </c>
      <c r="D107" s="145">
        <f>SUMIFS(Table2[NewPointsAway],Table2[GameDate], "&lt;=" &amp; $A107, Table2[AwayTeam], D$1)+SUMIFS(Table2[NewPointsHome],Table2[GameDate], "&lt;=" &amp; $A107, Table2[HomeTeam], D$1)</f>
        <v>14</v>
      </c>
      <c r="E107" s="145">
        <f>SUMIFS(Table2[NewPointsAway],Table2[GameDate], "&lt;=" &amp; $A107, Table2[AwayTeam], E$1)+SUMIFS(Table2[NewPointsHome],Table2[GameDate], "&lt;=" &amp; $A107, Table2[HomeTeam], E$1)</f>
        <v>22</v>
      </c>
      <c r="F107" s="145">
        <f>SUMIFS(Table2[NewPointsAway],Table2[GameDate], "&lt;=" &amp; $A107, Table2[AwayTeam], F$1)+SUMIFS(Table2[NewPointsHome],Table2[GameDate], "&lt;=" &amp; $A107, Table2[HomeTeam], F$1)</f>
        <v>17</v>
      </c>
      <c r="G107" s="145">
        <f>SUMIFS(Table2[NewPointsAway],Table2[GameDate], "&lt;=" &amp; $A107, Table2[AwayTeam], G$1)+SUMIFS(Table2[NewPointsHome],Table2[GameDate], "&lt;=" &amp; $A107, Table2[HomeTeam], G$1)</f>
        <v>10</v>
      </c>
      <c r="H107" s="145">
        <f>SUMIFS(Table2[NewPointsAway],Table2[GameDate], "&lt;=" &amp; $A107, Table2[AwayTeam], H$1)+SUMIFS(Table2[NewPointsHome],Table2[GameDate], "&lt;=" &amp; $A107, Table2[HomeTeam], H$1)</f>
        <v>19</v>
      </c>
      <c r="I107" s="145">
        <f>SUMIFS(Table2[NewPointsAway],Table2[GameDate], "&lt;=" &amp; $A107, Table2[AwayTeam], I$1)+SUMIFS(Table2[NewPointsHome],Table2[GameDate], "&lt;=" &amp; $A107, Table2[HomeTeam], I$1)</f>
        <v>27</v>
      </c>
      <c r="J107" s="145">
        <f>SUMIFS(Table2[NewPointsAway],Table2[GameDate], "&lt;=" &amp; $A107, Table2[AwayTeam], J$1)+SUMIFS(Table2[NewPointsHome],Table2[GameDate], "&lt;=" &amp; $A107, Table2[HomeTeam], J$1)</f>
        <v>23</v>
      </c>
      <c r="K107" s="145">
        <f>SUMIFS(Table2[NewPointsAway],Table2[GameDate], "&lt;=" &amp; $A107, Table2[AwayTeam], K$1)+SUMIFS(Table2[NewPointsHome],Table2[GameDate], "&lt;=" &amp; $A107, Table2[HomeTeam], K$1)</f>
        <v>18</v>
      </c>
      <c r="L107" s="145">
        <f>SUMIFS(Table2[NewPointsAway],Table2[GameDate], "&lt;=" &amp; $A107, Table2[AwayTeam], L$1)+SUMIFS(Table2[NewPointsHome],Table2[GameDate], "&lt;=" &amp; $A107, Table2[HomeTeam], L$1)</f>
        <v>20</v>
      </c>
      <c r="M107" s="145">
        <f>SUMIFS(Table2[NewPointsAway],Table2[GameDate], "&lt;=" &amp; $A107, Table2[AwayTeam], M$1)+SUMIFS(Table2[NewPointsHome],Table2[GameDate], "&lt;=" &amp; $A107, Table2[HomeTeam], M$1)</f>
        <v>17</v>
      </c>
      <c r="N107" s="145">
        <f>SUMIFS(Table2[NewPointsAway],Table2[GameDate], "&lt;=" &amp; $A107, Table2[AwayTeam], N$1)+SUMIFS(Table2[NewPointsHome],Table2[GameDate], "&lt;=" &amp; $A107, Table2[HomeTeam], N$1)</f>
        <v>20</v>
      </c>
      <c r="O107" s="145">
        <f>SUMIFS(Table2[NewPointsAway],Table2[GameDate], "&lt;=" &amp; $A107, Table2[AwayTeam], O$1)+SUMIFS(Table2[NewPointsHome],Table2[GameDate], "&lt;=" &amp; $A107, Table2[HomeTeam], O$1)</f>
        <v>18</v>
      </c>
      <c r="P107" s="145">
        <f>SUMIFS(Table2[NewPointsAway],Table2[GameDate], "&lt;=" &amp; $A107, Table2[AwayTeam], P$1)+SUMIFS(Table2[NewPointsHome],Table2[GameDate], "&lt;=" &amp; $A107, Table2[HomeTeam], P$1)</f>
        <v>22</v>
      </c>
      <c r="Q107" s="145">
        <f>SUMIFS(Table2[NewPointsAway],Table2[GameDate], "&lt;=" &amp; $A107, Table2[AwayTeam], Q$1)+SUMIFS(Table2[NewPointsHome],Table2[GameDate], "&lt;=" &amp; $A107, Table2[HomeTeam], Q$1)</f>
        <v>23</v>
      </c>
      <c r="R107" s="145">
        <f>SUMIFS(Table2[NewPointsAway],Table2[GameDate], "&lt;=" &amp; $A107, Table2[AwayTeam], R$1)+SUMIFS(Table2[NewPointsHome],Table2[GameDate], "&lt;=" &amp; $A107, Table2[HomeTeam], R$1)</f>
        <v>14</v>
      </c>
      <c r="S107" s="145">
        <f>SUMIFS(Table2[NewPointsAway],Table2[GameDate], "&lt;=" &amp; $A107, Table2[AwayTeam], S$1)+SUMIFS(Table2[NewPointsHome],Table2[GameDate], "&lt;=" &amp; $A107, Table2[HomeTeam], S$1)</f>
        <v>18</v>
      </c>
      <c r="T107" s="145">
        <f>SUMIFS(Table2[NewPointsAway],Table2[GameDate], "&lt;=" &amp; $A107, Table2[AwayTeam], T$1)+SUMIFS(Table2[NewPointsHome],Table2[GameDate], "&lt;=" &amp; $A107, Table2[HomeTeam], T$1)</f>
        <v>20</v>
      </c>
      <c r="U107" s="145">
        <f>SUMIFS(Table2[NewPointsAway],Table2[GameDate], "&lt;=" &amp; $A107, Table2[AwayTeam], U$1)+SUMIFS(Table2[NewPointsHome],Table2[GameDate], "&lt;=" &amp; $A107, Table2[HomeTeam], U$1)</f>
        <v>20</v>
      </c>
      <c r="V107" s="145">
        <f>SUMIFS(Table2[NewPointsAway],Table2[GameDate], "&lt;=" &amp; $A107, Table2[AwayTeam], V$1)+SUMIFS(Table2[NewPointsHome],Table2[GameDate], "&lt;=" &amp; $A107, Table2[HomeTeam], V$1)</f>
        <v>19</v>
      </c>
      <c r="W107" s="145">
        <f>SUMIFS(Table2[NewPointsAway],Table2[GameDate], "&lt;=" &amp; $A107, Table2[AwayTeam], W$1)+SUMIFS(Table2[NewPointsHome],Table2[GameDate], "&lt;=" &amp; $A107, Table2[HomeTeam], W$1)</f>
        <v>21</v>
      </c>
      <c r="X107" s="145">
        <f>SUMIFS(Table2[NewPointsAway],Table2[GameDate], "&lt;=" &amp; $A107, Table2[AwayTeam], X$1)+SUMIFS(Table2[NewPointsHome],Table2[GameDate], "&lt;=" &amp; $A107, Table2[HomeTeam], X$1)</f>
        <v>19</v>
      </c>
      <c r="Y107" s="145">
        <f>SUMIFS(Table2[NewPointsAway],Table2[GameDate], "&lt;=" &amp; $A107, Table2[AwayTeam], Y$1)+SUMIFS(Table2[NewPointsHome],Table2[GameDate], "&lt;=" &amp; $A107, Table2[HomeTeam], Y$1)</f>
        <v>19</v>
      </c>
      <c r="Z107" s="145">
        <f>SUMIFS(Table2[NewPointsAway],Table2[GameDate], "&lt;=" &amp; $A107, Table2[AwayTeam], Z$1)+SUMIFS(Table2[NewPointsHome],Table2[GameDate], "&lt;=" &amp; $A107, Table2[HomeTeam], Z$1)</f>
        <v>15</v>
      </c>
      <c r="AA107" s="145">
        <f>SUMIFS(Table2[NewPointsAway],Table2[GameDate], "&lt;=" &amp; $A107, Table2[AwayTeam], AA$1)+SUMIFS(Table2[NewPointsHome],Table2[GameDate], "&lt;=" &amp; $A107, Table2[HomeTeam], AA$1)</f>
        <v>18</v>
      </c>
      <c r="AB107" s="145">
        <f>SUMIFS(Table2[NewPointsAway],Table2[GameDate], "&lt;=" &amp; $A107, Table2[AwayTeam], AB$1)+SUMIFS(Table2[NewPointsHome],Table2[GameDate], "&lt;=" &amp; $A107, Table2[HomeTeam], AB$1)</f>
        <v>17</v>
      </c>
      <c r="AC107" s="145">
        <f>SUMIFS(Table2[NewPointsAway],Table2[GameDate], "&lt;=" &amp; $A107, Table2[AwayTeam], AC$1)+SUMIFS(Table2[NewPointsHome],Table2[GameDate], "&lt;=" &amp; $A107, Table2[HomeTeam], AC$1)</f>
        <v>18</v>
      </c>
      <c r="AD107" s="145">
        <f>SUMIFS(Table2[NewPointsAway],Table2[GameDate], "&lt;=" &amp; $A107, Table2[AwayTeam], AD$1)+SUMIFS(Table2[NewPointsHome],Table2[GameDate], "&lt;=" &amp; $A107, Table2[HomeTeam], AD$1)</f>
        <v>17</v>
      </c>
      <c r="AE107" s="145">
        <f>SUMIFS(Table2[NewPointsAway],Table2[GameDate], "&lt;=" &amp; $A107, Table2[AwayTeam], AE$1)+SUMIFS(Table2[NewPointsHome],Table2[GameDate], "&lt;=" &amp; $A107, Table2[HomeTeam], AE$1)</f>
        <v>18</v>
      </c>
      <c r="AF107" s="145">
        <f>SUMIFS(Table2[NewPointsAway],Table2[GameDate], "&lt;=" &amp; $A107, Table2[AwayTeam], AF$1)+SUMIFS(Table2[NewPointsHome],Table2[GameDate], "&lt;=" &amp; $A107, Table2[HomeTeam], AF$1)</f>
        <v>20</v>
      </c>
      <c r="AG107" s="145">
        <f>SUMIFS(Table2[NewPointsAway],Table2[GameDate], "&lt;=" &amp; $A107, Table2[AwayTeam], AG$1)+SUMIFS(Table2[NewPointsHome],Table2[GameDate], "&lt;=" &amp; $A107, Table2[HomeTeam], AG$1)</f>
        <v>17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23</v>
      </c>
      <c r="C108" s="145">
        <f>SUMIFS(Table2[NewPointsAway],Table2[GameDate], "&lt;=" &amp; $A108, Table2[AwayTeam], C$1)+SUMIFS(Table2[NewPointsHome],Table2[GameDate], "&lt;=" &amp; $A108, Table2[HomeTeam], C$1)</f>
        <v>22</v>
      </c>
      <c r="D108" s="145">
        <f>SUMIFS(Table2[NewPointsAway],Table2[GameDate], "&lt;=" &amp; $A108, Table2[AwayTeam], D$1)+SUMIFS(Table2[NewPointsHome],Table2[GameDate], "&lt;=" &amp; $A108, Table2[HomeTeam], D$1)</f>
        <v>14</v>
      </c>
      <c r="E108" s="145">
        <f>SUMIFS(Table2[NewPointsAway],Table2[GameDate], "&lt;=" &amp; $A108, Table2[AwayTeam], E$1)+SUMIFS(Table2[NewPointsHome],Table2[GameDate], "&lt;=" &amp; $A108, Table2[HomeTeam], E$1)</f>
        <v>22</v>
      </c>
      <c r="F108" s="145">
        <f>SUMIFS(Table2[NewPointsAway],Table2[GameDate], "&lt;=" &amp; $A108, Table2[AwayTeam], F$1)+SUMIFS(Table2[NewPointsHome],Table2[GameDate], "&lt;=" &amp; $A108, Table2[HomeTeam], F$1)</f>
        <v>17</v>
      </c>
      <c r="G108" s="145">
        <f>SUMIFS(Table2[NewPointsAway],Table2[GameDate], "&lt;=" &amp; $A108, Table2[AwayTeam], G$1)+SUMIFS(Table2[NewPointsHome],Table2[GameDate], "&lt;=" &amp; $A108, Table2[HomeTeam], G$1)</f>
        <v>10</v>
      </c>
      <c r="H108" s="145">
        <f>SUMIFS(Table2[NewPointsAway],Table2[GameDate], "&lt;=" &amp; $A108, Table2[AwayTeam], H$1)+SUMIFS(Table2[NewPointsHome],Table2[GameDate], "&lt;=" &amp; $A108, Table2[HomeTeam], H$1)</f>
        <v>19</v>
      </c>
      <c r="I108" s="145">
        <f>SUMIFS(Table2[NewPointsAway],Table2[GameDate], "&lt;=" &amp; $A108, Table2[AwayTeam], I$1)+SUMIFS(Table2[NewPointsHome],Table2[GameDate], "&lt;=" &amp; $A108, Table2[HomeTeam], I$1)</f>
        <v>27</v>
      </c>
      <c r="J108" s="145">
        <f>SUMIFS(Table2[NewPointsAway],Table2[GameDate], "&lt;=" &amp; $A108, Table2[AwayTeam], J$1)+SUMIFS(Table2[NewPointsHome],Table2[GameDate], "&lt;=" &amp; $A108, Table2[HomeTeam], J$1)</f>
        <v>23</v>
      </c>
      <c r="K108" s="145">
        <f>SUMIFS(Table2[NewPointsAway],Table2[GameDate], "&lt;=" &amp; $A108, Table2[AwayTeam], K$1)+SUMIFS(Table2[NewPointsHome],Table2[GameDate], "&lt;=" &amp; $A108, Table2[HomeTeam], K$1)</f>
        <v>18</v>
      </c>
      <c r="L108" s="145">
        <f>SUMIFS(Table2[NewPointsAway],Table2[GameDate], "&lt;=" &amp; $A108, Table2[AwayTeam], L$1)+SUMIFS(Table2[NewPointsHome],Table2[GameDate], "&lt;=" &amp; $A108, Table2[HomeTeam], L$1)</f>
        <v>20</v>
      </c>
      <c r="M108" s="145">
        <f>SUMIFS(Table2[NewPointsAway],Table2[GameDate], "&lt;=" &amp; $A108, Table2[AwayTeam], M$1)+SUMIFS(Table2[NewPointsHome],Table2[GameDate], "&lt;=" &amp; $A108, Table2[HomeTeam], M$1)</f>
        <v>17</v>
      </c>
      <c r="N108" s="145">
        <f>SUMIFS(Table2[NewPointsAway],Table2[GameDate], "&lt;=" &amp; $A108, Table2[AwayTeam], N$1)+SUMIFS(Table2[NewPointsHome],Table2[GameDate], "&lt;=" &amp; $A108, Table2[HomeTeam], N$1)</f>
        <v>20</v>
      </c>
      <c r="O108" s="145">
        <f>SUMIFS(Table2[NewPointsAway],Table2[GameDate], "&lt;=" &amp; $A108, Table2[AwayTeam], O$1)+SUMIFS(Table2[NewPointsHome],Table2[GameDate], "&lt;=" &amp; $A108, Table2[HomeTeam], O$1)</f>
        <v>18</v>
      </c>
      <c r="P108" s="145">
        <f>SUMIFS(Table2[NewPointsAway],Table2[GameDate], "&lt;=" &amp; $A108, Table2[AwayTeam], P$1)+SUMIFS(Table2[NewPointsHome],Table2[GameDate], "&lt;=" &amp; $A108, Table2[HomeTeam], P$1)</f>
        <v>22</v>
      </c>
      <c r="Q108" s="145">
        <f>SUMIFS(Table2[NewPointsAway],Table2[GameDate], "&lt;=" &amp; $A108, Table2[AwayTeam], Q$1)+SUMIFS(Table2[NewPointsHome],Table2[GameDate], "&lt;=" &amp; $A108, Table2[HomeTeam], Q$1)</f>
        <v>23</v>
      </c>
      <c r="R108" s="145">
        <f>SUMIFS(Table2[NewPointsAway],Table2[GameDate], "&lt;=" &amp; $A108, Table2[AwayTeam], R$1)+SUMIFS(Table2[NewPointsHome],Table2[GameDate], "&lt;=" &amp; $A108, Table2[HomeTeam], R$1)</f>
        <v>14</v>
      </c>
      <c r="S108" s="145">
        <f>SUMIFS(Table2[NewPointsAway],Table2[GameDate], "&lt;=" &amp; $A108, Table2[AwayTeam], S$1)+SUMIFS(Table2[NewPointsHome],Table2[GameDate], "&lt;=" &amp; $A108, Table2[HomeTeam], S$1)</f>
        <v>18</v>
      </c>
      <c r="T108" s="145">
        <f>SUMIFS(Table2[NewPointsAway],Table2[GameDate], "&lt;=" &amp; $A108, Table2[AwayTeam], T$1)+SUMIFS(Table2[NewPointsHome],Table2[GameDate], "&lt;=" &amp; $A108, Table2[HomeTeam], T$1)</f>
        <v>20</v>
      </c>
      <c r="U108" s="145">
        <f>SUMIFS(Table2[NewPointsAway],Table2[GameDate], "&lt;=" &amp; $A108, Table2[AwayTeam], U$1)+SUMIFS(Table2[NewPointsHome],Table2[GameDate], "&lt;=" &amp; $A108, Table2[HomeTeam], U$1)</f>
        <v>20</v>
      </c>
      <c r="V108" s="145">
        <f>SUMIFS(Table2[NewPointsAway],Table2[GameDate], "&lt;=" &amp; $A108, Table2[AwayTeam], V$1)+SUMIFS(Table2[NewPointsHome],Table2[GameDate], "&lt;=" &amp; $A108, Table2[HomeTeam], V$1)</f>
        <v>19</v>
      </c>
      <c r="W108" s="145">
        <f>SUMIFS(Table2[NewPointsAway],Table2[GameDate], "&lt;=" &amp; $A108, Table2[AwayTeam], W$1)+SUMIFS(Table2[NewPointsHome],Table2[GameDate], "&lt;=" &amp; $A108, Table2[HomeTeam], W$1)</f>
        <v>21</v>
      </c>
      <c r="X108" s="145">
        <f>SUMIFS(Table2[NewPointsAway],Table2[GameDate], "&lt;=" &amp; $A108, Table2[AwayTeam], X$1)+SUMIFS(Table2[NewPointsHome],Table2[GameDate], "&lt;=" &amp; $A108, Table2[HomeTeam], X$1)</f>
        <v>19</v>
      </c>
      <c r="Y108" s="145">
        <f>SUMIFS(Table2[NewPointsAway],Table2[GameDate], "&lt;=" &amp; $A108, Table2[AwayTeam], Y$1)+SUMIFS(Table2[NewPointsHome],Table2[GameDate], "&lt;=" &amp; $A108, Table2[HomeTeam], Y$1)</f>
        <v>19</v>
      </c>
      <c r="Z108" s="145">
        <f>SUMIFS(Table2[NewPointsAway],Table2[GameDate], "&lt;=" &amp; $A108, Table2[AwayTeam], Z$1)+SUMIFS(Table2[NewPointsHome],Table2[GameDate], "&lt;=" &amp; $A108, Table2[HomeTeam], Z$1)</f>
        <v>15</v>
      </c>
      <c r="AA108" s="145">
        <f>SUMIFS(Table2[NewPointsAway],Table2[GameDate], "&lt;=" &amp; $A108, Table2[AwayTeam], AA$1)+SUMIFS(Table2[NewPointsHome],Table2[GameDate], "&lt;=" &amp; $A108, Table2[HomeTeam], AA$1)</f>
        <v>18</v>
      </c>
      <c r="AB108" s="145">
        <f>SUMIFS(Table2[NewPointsAway],Table2[GameDate], "&lt;=" &amp; $A108, Table2[AwayTeam], AB$1)+SUMIFS(Table2[NewPointsHome],Table2[GameDate], "&lt;=" &amp; $A108, Table2[HomeTeam], AB$1)</f>
        <v>17</v>
      </c>
      <c r="AC108" s="145">
        <f>SUMIFS(Table2[NewPointsAway],Table2[GameDate], "&lt;=" &amp; $A108, Table2[AwayTeam], AC$1)+SUMIFS(Table2[NewPointsHome],Table2[GameDate], "&lt;=" &amp; $A108, Table2[HomeTeam], AC$1)</f>
        <v>18</v>
      </c>
      <c r="AD108" s="145">
        <f>SUMIFS(Table2[NewPointsAway],Table2[GameDate], "&lt;=" &amp; $A108, Table2[AwayTeam], AD$1)+SUMIFS(Table2[NewPointsHome],Table2[GameDate], "&lt;=" &amp; $A108, Table2[HomeTeam], AD$1)</f>
        <v>17</v>
      </c>
      <c r="AE108" s="145">
        <f>SUMIFS(Table2[NewPointsAway],Table2[GameDate], "&lt;=" &amp; $A108, Table2[AwayTeam], AE$1)+SUMIFS(Table2[NewPointsHome],Table2[GameDate], "&lt;=" &amp; $A108, Table2[HomeTeam], AE$1)</f>
        <v>18</v>
      </c>
      <c r="AF108" s="145">
        <f>SUMIFS(Table2[NewPointsAway],Table2[GameDate], "&lt;=" &amp; $A108, Table2[AwayTeam], AF$1)+SUMIFS(Table2[NewPointsHome],Table2[GameDate], "&lt;=" &amp; $A108, Table2[HomeTeam], AF$1)</f>
        <v>20</v>
      </c>
      <c r="AG108" s="145">
        <f>SUMIFS(Table2[NewPointsAway],Table2[GameDate], "&lt;=" &amp; $A108, Table2[AwayTeam], AG$1)+SUMIFS(Table2[NewPointsHome],Table2[GameDate], "&lt;=" &amp; $A108, Table2[HomeTeam], AG$1)</f>
        <v>17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23</v>
      </c>
      <c r="C109" s="145">
        <f>SUMIFS(Table2[NewPointsAway],Table2[GameDate], "&lt;=" &amp; $A109, Table2[AwayTeam], C$1)+SUMIFS(Table2[NewPointsHome],Table2[GameDate], "&lt;=" &amp; $A109, Table2[HomeTeam], C$1)</f>
        <v>22</v>
      </c>
      <c r="D109" s="145">
        <f>SUMIFS(Table2[NewPointsAway],Table2[GameDate], "&lt;=" &amp; $A109, Table2[AwayTeam], D$1)+SUMIFS(Table2[NewPointsHome],Table2[GameDate], "&lt;=" &amp; $A109, Table2[HomeTeam], D$1)</f>
        <v>14</v>
      </c>
      <c r="E109" s="145">
        <f>SUMIFS(Table2[NewPointsAway],Table2[GameDate], "&lt;=" &amp; $A109, Table2[AwayTeam], E$1)+SUMIFS(Table2[NewPointsHome],Table2[GameDate], "&lt;=" &amp; $A109, Table2[HomeTeam], E$1)</f>
        <v>22</v>
      </c>
      <c r="F109" s="145">
        <f>SUMIFS(Table2[NewPointsAway],Table2[GameDate], "&lt;=" &amp; $A109, Table2[AwayTeam], F$1)+SUMIFS(Table2[NewPointsHome],Table2[GameDate], "&lt;=" &amp; $A109, Table2[HomeTeam], F$1)</f>
        <v>17</v>
      </c>
      <c r="G109" s="145">
        <f>SUMIFS(Table2[NewPointsAway],Table2[GameDate], "&lt;=" &amp; $A109, Table2[AwayTeam], G$1)+SUMIFS(Table2[NewPointsHome],Table2[GameDate], "&lt;=" &amp; $A109, Table2[HomeTeam], G$1)</f>
        <v>10</v>
      </c>
      <c r="H109" s="145">
        <f>SUMIFS(Table2[NewPointsAway],Table2[GameDate], "&lt;=" &amp; $A109, Table2[AwayTeam], H$1)+SUMIFS(Table2[NewPointsHome],Table2[GameDate], "&lt;=" &amp; $A109, Table2[HomeTeam], H$1)</f>
        <v>19</v>
      </c>
      <c r="I109" s="145">
        <f>SUMIFS(Table2[NewPointsAway],Table2[GameDate], "&lt;=" &amp; $A109, Table2[AwayTeam], I$1)+SUMIFS(Table2[NewPointsHome],Table2[GameDate], "&lt;=" &amp; $A109, Table2[HomeTeam], I$1)</f>
        <v>27</v>
      </c>
      <c r="J109" s="145">
        <f>SUMIFS(Table2[NewPointsAway],Table2[GameDate], "&lt;=" &amp; $A109, Table2[AwayTeam], J$1)+SUMIFS(Table2[NewPointsHome],Table2[GameDate], "&lt;=" &amp; $A109, Table2[HomeTeam], J$1)</f>
        <v>23</v>
      </c>
      <c r="K109" s="145">
        <f>SUMIFS(Table2[NewPointsAway],Table2[GameDate], "&lt;=" &amp; $A109, Table2[AwayTeam], K$1)+SUMIFS(Table2[NewPointsHome],Table2[GameDate], "&lt;=" &amp; $A109, Table2[HomeTeam], K$1)</f>
        <v>18</v>
      </c>
      <c r="L109" s="145">
        <f>SUMIFS(Table2[NewPointsAway],Table2[GameDate], "&lt;=" &amp; $A109, Table2[AwayTeam], L$1)+SUMIFS(Table2[NewPointsHome],Table2[GameDate], "&lt;=" &amp; $A109, Table2[HomeTeam], L$1)</f>
        <v>20</v>
      </c>
      <c r="M109" s="145">
        <f>SUMIFS(Table2[NewPointsAway],Table2[GameDate], "&lt;=" &amp; $A109, Table2[AwayTeam], M$1)+SUMIFS(Table2[NewPointsHome],Table2[GameDate], "&lt;=" &amp; $A109, Table2[HomeTeam], M$1)</f>
        <v>17</v>
      </c>
      <c r="N109" s="145">
        <f>SUMIFS(Table2[NewPointsAway],Table2[GameDate], "&lt;=" &amp; $A109, Table2[AwayTeam], N$1)+SUMIFS(Table2[NewPointsHome],Table2[GameDate], "&lt;=" &amp; $A109, Table2[HomeTeam], N$1)</f>
        <v>20</v>
      </c>
      <c r="O109" s="145">
        <f>SUMIFS(Table2[NewPointsAway],Table2[GameDate], "&lt;=" &amp; $A109, Table2[AwayTeam], O$1)+SUMIFS(Table2[NewPointsHome],Table2[GameDate], "&lt;=" &amp; $A109, Table2[HomeTeam], O$1)</f>
        <v>18</v>
      </c>
      <c r="P109" s="145">
        <f>SUMIFS(Table2[NewPointsAway],Table2[GameDate], "&lt;=" &amp; $A109, Table2[AwayTeam], P$1)+SUMIFS(Table2[NewPointsHome],Table2[GameDate], "&lt;=" &amp; $A109, Table2[HomeTeam], P$1)</f>
        <v>22</v>
      </c>
      <c r="Q109" s="145">
        <f>SUMIFS(Table2[NewPointsAway],Table2[GameDate], "&lt;=" &amp; $A109, Table2[AwayTeam], Q$1)+SUMIFS(Table2[NewPointsHome],Table2[GameDate], "&lt;=" &amp; $A109, Table2[HomeTeam], Q$1)</f>
        <v>23</v>
      </c>
      <c r="R109" s="145">
        <f>SUMIFS(Table2[NewPointsAway],Table2[GameDate], "&lt;=" &amp; $A109, Table2[AwayTeam], R$1)+SUMIFS(Table2[NewPointsHome],Table2[GameDate], "&lt;=" &amp; $A109, Table2[HomeTeam], R$1)</f>
        <v>14</v>
      </c>
      <c r="S109" s="145">
        <f>SUMIFS(Table2[NewPointsAway],Table2[GameDate], "&lt;=" &amp; $A109, Table2[AwayTeam], S$1)+SUMIFS(Table2[NewPointsHome],Table2[GameDate], "&lt;=" &amp; $A109, Table2[HomeTeam], S$1)</f>
        <v>18</v>
      </c>
      <c r="T109" s="145">
        <f>SUMIFS(Table2[NewPointsAway],Table2[GameDate], "&lt;=" &amp; $A109, Table2[AwayTeam], T$1)+SUMIFS(Table2[NewPointsHome],Table2[GameDate], "&lt;=" &amp; $A109, Table2[HomeTeam], T$1)</f>
        <v>20</v>
      </c>
      <c r="U109" s="145">
        <f>SUMIFS(Table2[NewPointsAway],Table2[GameDate], "&lt;=" &amp; $A109, Table2[AwayTeam], U$1)+SUMIFS(Table2[NewPointsHome],Table2[GameDate], "&lt;=" &amp; $A109, Table2[HomeTeam], U$1)</f>
        <v>20</v>
      </c>
      <c r="V109" s="145">
        <f>SUMIFS(Table2[NewPointsAway],Table2[GameDate], "&lt;=" &amp; $A109, Table2[AwayTeam], V$1)+SUMIFS(Table2[NewPointsHome],Table2[GameDate], "&lt;=" &amp; $A109, Table2[HomeTeam], V$1)</f>
        <v>19</v>
      </c>
      <c r="W109" s="145">
        <f>SUMIFS(Table2[NewPointsAway],Table2[GameDate], "&lt;=" &amp; $A109, Table2[AwayTeam], W$1)+SUMIFS(Table2[NewPointsHome],Table2[GameDate], "&lt;=" &amp; $A109, Table2[HomeTeam], W$1)</f>
        <v>21</v>
      </c>
      <c r="X109" s="145">
        <f>SUMIFS(Table2[NewPointsAway],Table2[GameDate], "&lt;=" &amp; $A109, Table2[AwayTeam], X$1)+SUMIFS(Table2[NewPointsHome],Table2[GameDate], "&lt;=" &amp; $A109, Table2[HomeTeam], X$1)</f>
        <v>19</v>
      </c>
      <c r="Y109" s="145">
        <f>SUMIFS(Table2[NewPointsAway],Table2[GameDate], "&lt;=" &amp; $A109, Table2[AwayTeam], Y$1)+SUMIFS(Table2[NewPointsHome],Table2[GameDate], "&lt;=" &amp; $A109, Table2[HomeTeam], Y$1)</f>
        <v>19</v>
      </c>
      <c r="Z109" s="145">
        <f>SUMIFS(Table2[NewPointsAway],Table2[GameDate], "&lt;=" &amp; $A109, Table2[AwayTeam], Z$1)+SUMIFS(Table2[NewPointsHome],Table2[GameDate], "&lt;=" &amp; $A109, Table2[HomeTeam], Z$1)</f>
        <v>15</v>
      </c>
      <c r="AA109" s="145">
        <f>SUMIFS(Table2[NewPointsAway],Table2[GameDate], "&lt;=" &amp; $A109, Table2[AwayTeam], AA$1)+SUMIFS(Table2[NewPointsHome],Table2[GameDate], "&lt;=" &amp; $A109, Table2[HomeTeam], AA$1)</f>
        <v>18</v>
      </c>
      <c r="AB109" s="145">
        <f>SUMIFS(Table2[NewPointsAway],Table2[GameDate], "&lt;=" &amp; $A109, Table2[AwayTeam], AB$1)+SUMIFS(Table2[NewPointsHome],Table2[GameDate], "&lt;=" &amp; $A109, Table2[HomeTeam], AB$1)</f>
        <v>17</v>
      </c>
      <c r="AC109" s="145">
        <f>SUMIFS(Table2[NewPointsAway],Table2[GameDate], "&lt;=" &amp; $A109, Table2[AwayTeam], AC$1)+SUMIFS(Table2[NewPointsHome],Table2[GameDate], "&lt;=" &amp; $A109, Table2[HomeTeam], AC$1)</f>
        <v>18</v>
      </c>
      <c r="AD109" s="145">
        <f>SUMIFS(Table2[NewPointsAway],Table2[GameDate], "&lt;=" &amp; $A109, Table2[AwayTeam], AD$1)+SUMIFS(Table2[NewPointsHome],Table2[GameDate], "&lt;=" &amp; $A109, Table2[HomeTeam], AD$1)</f>
        <v>17</v>
      </c>
      <c r="AE109" s="145">
        <f>SUMIFS(Table2[NewPointsAway],Table2[GameDate], "&lt;=" &amp; $A109, Table2[AwayTeam], AE$1)+SUMIFS(Table2[NewPointsHome],Table2[GameDate], "&lt;=" &amp; $A109, Table2[HomeTeam], AE$1)</f>
        <v>18</v>
      </c>
      <c r="AF109" s="145">
        <f>SUMIFS(Table2[NewPointsAway],Table2[GameDate], "&lt;=" &amp; $A109, Table2[AwayTeam], AF$1)+SUMIFS(Table2[NewPointsHome],Table2[GameDate], "&lt;=" &amp; $A109, Table2[HomeTeam], AF$1)</f>
        <v>20</v>
      </c>
      <c r="AG109" s="145">
        <f>SUMIFS(Table2[NewPointsAway],Table2[GameDate], "&lt;=" &amp; $A109, Table2[AwayTeam], AG$1)+SUMIFS(Table2[NewPointsHome],Table2[GameDate], "&lt;=" &amp; $A109, Table2[HomeTeam], AG$1)</f>
        <v>17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23</v>
      </c>
      <c r="C110" s="145">
        <f>SUMIFS(Table2[NewPointsAway],Table2[GameDate], "&lt;=" &amp; $A110, Table2[AwayTeam], C$1)+SUMIFS(Table2[NewPointsHome],Table2[GameDate], "&lt;=" &amp; $A110, Table2[HomeTeam], C$1)</f>
        <v>22</v>
      </c>
      <c r="D110" s="145">
        <f>SUMIFS(Table2[NewPointsAway],Table2[GameDate], "&lt;=" &amp; $A110, Table2[AwayTeam], D$1)+SUMIFS(Table2[NewPointsHome],Table2[GameDate], "&lt;=" &amp; $A110, Table2[HomeTeam], D$1)</f>
        <v>14</v>
      </c>
      <c r="E110" s="145">
        <f>SUMIFS(Table2[NewPointsAway],Table2[GameDate], "&lt;=" &amp; $A110, Table2[AwayTeam], E$1)+SUMIFS(Table2[NewPointsHome],Table2[GameDate], "&lt;=" &amp; $A110, Table2[HomeTeam], E$1)</f>
        <v>22</v>
      </c>
      <c r="F110" s="145">
        <f>SUMIFS(Table2[NewPointsAway],Table2[GameDate], "&lt;=" &amp; $A110, Table2[AwayTeam], F$1)+SUMIFS(Table2[NewPointsHome],Table2[GameDate], "&lt;=" &amp; $A110, Table2[HomeTeam], F$1)</f>
        <v>17</v>
      </c>
      <c r="G110" s="145">
        <f>SUMIFS(Table2[NewPointsAway],Table2[GameDate], "&lt;=" &amp; $A110, Table2[AwayTeam], G$1)+SUMIFS(Table2[NewPointsHome],Table2[GameDate], "&lt;=" &amp; $A110, Table2[HomeTeam], G$1)</f>
        <v>10</v>
      </c>
      <c r="H110" s="145">
        <f>SUMIFS(Table2[NewPointsAway],Table2[GameDate], "&lt;=" &amp; $A110, Table2[AwayTeam], H$1)+SUMIFS(Table2[NewPointsHome],Table2[GameDate], "&lt;=" &amp; $A110, Table2[HomeTeam], H$1)</f>
        <v>19</v>
      </c>
      <c r="I110" s="145">
        <f>SUMIFS(Table2[NewPointsAway],Table2[GameDate], "&lt;=" &amp; $A110, Table2[AwayTeam], I$1)+SUMIFS(Table2[NewPointsHome],Table2[GameDate], "&lt;=" &amp; $A110, Table2[HomeTeam], I$1)</f>
        <v>27</v>
      </c>
      <c r="J110" s="145">
        <f>SUMIFS(Table2[NewPointsAway],Table2[GameDate], "&lt;=" &amp; $A110, Table2[AwayTeam], J$1)+SUMIFS(Table2[NewPointsHome],Table2[GameDate], "&lt;=" &amp; $A110, Table2[HomeTeam], J$1)</f>
        <v>23</v>
      </c>
      <c r="K110" s="145">
        <f>SUMIFS(Table2[NewPointsAway],Table2[GameDate], "&lt;=" &amp; $A110, Table2[AwayTeam], K$1)+SUMIFS(Table2[NewPointsHome],Table2[GameDate], "&lt;=" &amp; $A110, Table2[HomeTeam], K$1)</f>
        <v>18</v>
      </c>
      <c r="L110" s="145">
        <f>SUMIFS(Table2[NewPointsAway],Table2[GameDate], "&lt;=" &amp; $A110, Table2[AwayTeam], L$1)+SUMIFS(Table2[NewPointsHome],Table2[GameDate], "&lt;=" &amp; $A110, Table2[HomeTeam], L$1)</f>
        <v>20</v>
      </c>
      <c r="M110" s="145">
        <f>SUMIFS(Table2[NewPointsAway],Table2[GameDate], "&lt;=" &amp; $A110, Table2[AwayTeam], M$1)+SUMIFS(Table2[NewPointsHome],Table2[GameDate], "&lt;=" &amp; $A110, Table2[HomeTeam], M$1)</f>
        <v>17</v>
      </c>
      <c r="N110" s="145">
        <f>SUMIFS(Table2[NewPointsAway],Table2[GameDate], "&lt;=" &amp; $A110, Table2[AwayTeam], N$1)+SUMIFS(Table2[NewPointsHome],Table2[GameDate], "&lt;=" &amp; $A110, Table2[HomeTeam], N$1)</f>
        <v>20</v>
      </c>
      <c r="O110" s="145">
        <f>SUMIFS(Table2[NewPointsAway],Table2[GameDate], "&lt;=" &amp; $A110, Table2[AwayTeam], O$1)+SUMIFS(Table2[NewPointsHome],Table2[GameDate], "&lt;=" &amp; $A110, Table2[HomeTeam], O$1)</f>
        <v>18</v>
      </c>
      <c r="P110" s="145">
        <f>SUMIFS(Table2[NewPointsAway],Table2[GameDate], "&lt;=" &amp; $A110, Table2[AwayTeam], P$1)+SUMIFS(Table2[NewPointsHome],Table2[GameDate], "&lt;=" &amp; $A110, Table2[HomeTeam], P$1)</f>
        <v>22</v>
      </c>
      <c r="Q110" s="145">
        <f>SUMIFS(Table2[NewPointsAway],Table2[GameDate], "&lt;=" &amp; $A110, Table2[AwayTeam], Q$1)+SUMIFS(Table2[NewPointsHome],Table2[GameDate], "&lt;=" &amp; $A110, Table2[HomeTeam], Q$1)</f>
        <v>23</v>
      </c>
      <c r="R110" s="145">
        <f>SUMIFS(Table2[NewPointsAway],Table2[GameDate], "&lt;=" &amp; $A110, Table2[AwayTeam], R$1)+SUMIFS(Table2[NewPointsHome],Table2[GameDate], "&lt;=" &amp; $A110, Table2[HomeTeam], R$1)</f>
        <v>14</v>
      </c>
      <c r="S110" s="145">
        <f>SUMIFS(Table2[NewPointsAway],Table2[GameDate], "&lt;=" &amp; $A110, Table2[AwayTeam], S$1)+SUMIFS(Table2[NewPointsHome],Table2[GameDate], "&lt;=" &amp; $A110, Table2[HomeTeam], S$1)</f>
        <v>18</v>
      </c>
      <c r="T110" s="145">
        <f>SUMIFS(Table2[NewPointsAway],Table2[GameDate], "&lt;=" &amp; $A110, Table2[AwayTeam], T$1)+SUMIFS(Table2[NewPointsHome],Table2[GameDate], "&lt;=" &amp; $A110, Table2[HomeTeam], T$1)</f>
        <v>20</v>
      </c>
      <c r="U110" s="145">
        <f>SUMIFS(Table2[NewPointsAway],Table2[GameDate], "&lt;=" &amp; $A110, Table2[AwayTeam], U$1)+SUMIFS(Table2[NewPointsHome],Table2[GameDate], "&lt;=" &amp; $A110, Table2[HomeTeam], U$1)</f>
        <v>20</v>
      </c>
      <c r="V110" s="145">
        <f>SUMIFS(Table2[NewPointsAway],Table2[GameDate], "&lt;=" &amp; $A110, Table2[AwayTeam], V$1)+SUMIFS(Table2[NewPointsHome],Table2[GameDate], "&lt;=" &amp; $A110, Table2[HomeTeam], V$1)</f>
        <v>19</v>
      </c>
      <c r="W110" s="145">
        <f>SUMIFS(Table2[NewPointsAway],Table2[GameDate], "&lt;=" &amp; $A110, Table2[AwayTeam], W$1)+SUMIFS(Table2[NewPointsHome],Table2[GameDate], "&lt;=" &amp; $A110, Table2[HomeTeam], W$1)</f>
        <v>21</v>
      </c>
      <c r="X110" s="145">
        <f>SUMIFS(Table2[NewPointsAway],Table2[GameDate], "&lt;=" &amp; $A110, Table2[AwayTeam], X$1)+SUMIFS(Table2[NewPointsHome],Table2[GameDate], "&lt;=" &amp; $A110, Table2[HomeTeam], X$1)</f>
        <v>19</v>
      </c>
      <c r="Y110" s="145">
        <f>SUMIFS(Table2[NewPointsAway],Table2[GameDate], "&lt;=" &amp; $A110, Table2[AwayTeam], Y$1)+SUMIFS(Table2[NewPointsHome],Table2[GameDate], "&lt;=" &amp; $A110, Table2[HomeTeam], Y$1)</f>
        <v>19</v>
      </c>
      <c r="Z110" s="145">
        <f>SUMIFS(Table2[NewPointsAway],Table2[GameDate], "&lt;=" &amp; $A110, Table2[AwayTeam], Z$1)+SUMIFS(Table2[NewPointsHome],Table2[GameDate], "&lt;=" &amp; $A110, Table2[HomeTeam], Z$1)</f>
        <v>15</v>
      </c>
      <c r="AA110" s="145">
        <f>SUMIFS(Table2[NewPointsAway],Table2[GameDate], "&lt;=" &amp; $A110, Table2[AwayTeam], AA$1)+SUMIFS(Table2[NewPointsHome],Table2[GameDate], "&lt;=" &amp; $A110, Table2[HomeTeam], AA$1)</f>
        <v>18</v>
      </c>
      <c r="AB110" s="145">
        <f>SUMIFS(Table2[NewPointsAway],Table2[GameDate], "&lt;=" &amp; $A110, Table2[AwayTeam], AB$1)+SUMIFS(Table2[NewPointsHome],Table2[GameDate], "&lt;=" &amp; $A110, Table2[HomeTeam], AB$1)</f>
        <v>17</v>
      </c>
      <c r="AC110" s="145">
        <f>SUMIFS(Table2[NewPointsAway],Table2[GameDate], "&lt;=" &amp; $A110, Table2[AwayTeam], AC$1)+SUMIFS(Table2[NewPointsHome],Table2[GameDate], "&lt;=" &amp; $A110, Table2[HomeTeam], AC$1)</f>
        <v>18</v>
      </c>
      <c r="AD110" s="145">
        <f>SUMIFS(Table2[NewPointsAway],Table2[GameDate], "&lt;=" &amp; $A110, Table2[AwayTeam], AD$1)+SUMIFS(Table2[NewPointsHome],Table2[GameDate], "&lt;=" &amp; $A110, Table2[HomeTeam], AD$1)</f>
        <v>17</v>
      </c>
      <c r="AE110" s="145">
        <f>SUMIFS(Table2[NewPointsAway],Table2[GameDate], "&lt;=" &amp; $A110, Table2[AwayTeam], AE$1)+SUMIFS(Table2[NewPointsHome],Table2[GameDate], "&lt;=" &amp; $A110, Table2[HomeTeam], AE$1)</f>
        <v>18</v>
      </c>
      <c r="AF110" s="145">
        <f>SUMIFS(Table2[NewPointsAway],Table2[GameDate], "&lt;=" &amp; $A110, Table2[AwayTeam], AF$1)+SUMIFS(Table2[NewPointsHome],Table2[GameDate], "&lt;=" &amp; $A110, Table2[HomeTeam], AF$1)</f>
        <v>20</v>
      </c>
      <c r="AG110" s="145">
        <f>SUMIFS(Table2[NewPointsAway],Table2[GameDate], "&lt;=" &amp; $A110, Table2[AwayTeam], AG$1)+SUMIFS(Table2[NewPointsHome],Table2[GameDate], "&lt;=" &amp; $A110, Table2[HomeTeam], AG$1)</f>
        <v>17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23</v>
      </c>
      <c r="C111" s="145">
        <f>SUMIFS(Table2[NewPointsAway],Table2[GameDate], "&lt;=" &amp; $A111, Table2[AwayTeam], C$1)+SUMIFS(Table2[NewPointsHome],Table2[GameDate], "&lt;=" &amp; $A111, Table2[HomeTeam], C$1)</f>
        <v>22</v>
      </c>
      <c r="D111" s="145">
        <f>SUMIFS(Table2[NewPointsAway],Table2[GameDate], "&lt;=" &amp; $A111, Table2[AwayTeam], D$1)+SUMIFS(Table2[NewPointsHome],Table2[GameDate], "&lt;=" &amp; $A111, Table2[HomeTeam], D$1)</f>
        <v>14</v>
      </c>
      <c r="E111" s="145">
        <f>SUMIFS(Table2[NewPointsAway],Table2[GameDate], "&lt;=" &amp; $A111, Table2[AwayTeam], E$1)+SUMIFS(Table2[NewPointsHome],Table2[GameDate], "&lt;=" &amp; $A111, Table2[HomeTeam], E$1)</f>
        <v>22</v>
      </c>
      <c r="F111" s="145">
        <f>SUMIFS(Table2[NewPointsAway],Table2[GameDate], "&lt;=" &amp; $A111, Table2[AwayTeam], F$1)+SUMIFS(Table2[NewPointsHome],Table2[GameDate], "&lt;=" &amp; $A111, Table2[HomeTeam], F$1)</f>
        <v>17</v>
      </c>
      <c r="G111" s="145">
        <f>SUMIFS(Table2[NewPointsAway],Table2[GameDate], "&lt;=" &amp; $A111, Table2[AwayTeam], G$1)+SUMIFS(Table2[NewPointsHome],Table2[GameDate], "&lt;=" &amp; $A111, Table2[HomeTeam], G$1)</f>
        <v>10</v>
      </c>
      <c r="H111" s="145">
        <f>SUMIFS(Table2[NewPointsAway],Table2[GameDate], "&lt;=" &amp; $A111, Table2[AwayTeam], H$1)+SUMIFS(Table2[NewPointsHome],Table2[GameDate], "&lt;=" &amp; $A111, Table2[HomeTeam], H$1)</f>
        <v>19</v>
      </c>
      <c r="I111" s="145">
        <f>SUMIFS(Table2[NewPointsAway],Table2[GameDate], "&lt;=" &amp; $A111, Table2[AwayTeam], I$1)+SUMIFS(Table2[NewPointsHome],Table2[GameDate], "&lt;=" &amp; $A111, Table2[HomeTeam], I$1)</f>
        <v>27</v>
      </c>
      <c r="J111" s="145">
        <f>SUMIFS(Table2[NewPointsAway],Table2[GameDate], "&lt;=" &amp; $A111, Table2[AwayTeam], J$1)+SUMIFS(Table2[NewPointsHome],Table2[GameDate], "&lt;=" &amp; $A111, Table2[HomeTeam], J$1)</f>
        <v>23</v>
      </c>
      <c r="K111" s="145">
        <f>SUMIFS(Table2[NewPointsAway],Table2[GameDate], "&lt;=" &amp; $A111, Table2[AwayTeam], K$1)+SUMIFS(Table2[NewPointsHome],Table2[GameDate], "&lt;=" &amp; $A111, Table2[HomeTeam], K$1)</f>
        <v>18</v>
      </c>
      <c r="L111" s="145">
        <f>SUMIFS(Table2[NewPointsAway],Table2[GameDate], "&lt;=" &amp; $A111, Table2[AwayTeam], L$1)+SUMIFS(Table2[NewPointsHome],Table2[GameDate], "&lt;=" &amp; $A111, Table2[HomeTeam], L$1)</f>
        <v>20</v>
      </c>
      <c r="M111" s="145">
        <f>SUMIFS(Table2[NewPointsAway],Table2[GameDate], "&lt;=" &amp; $A111, Table2[AwayTeam], M$1)+SUMIFS(Table2[NewPointsHome],Table2[GameDate], "&lt;=" &amp; $A111, Table2[HomeTeam], M$1)</f>
        <v>17</v>
      </c>
      <c r="N111" s="145">
        <f>SUMIFS(Table2[NewPointsAway],Table2[GameDate], "&lt;=" &amp; $A111, Table2[AwayTeam], N$1)+SUMIFS(Table2[NewPointsHome],Table2[GameDate], "&lt;=" &amp; $A111, Table2[HomeTeam], N$1)</f>
        <v>20</v>
      </c>
      <c r="O111" s="145">
        <f>SUMIFS(Table2[NewPointsAway],Table2[GameDate], "&lt;=" &amp; $A111, Table2[AwayTeam], O$1)+SUMIFS(Table2[NewPointsHome],Table2[GameDate], "&lt;=" &amp; $A111, Table2[HomeTeam], O$1)</f>
        <v>18</v>
      </c>
      <c r="P111" s="145">
        <f>SUMIFS(Table2[NewPointsAway],Table2[GameDate], "&lt;=" &amp; $A111, Table2[AwayTeam], P$1)+SUMIFS(Table2[NewPointsHome],Table2[GameDate], "&lt;=" &amp; $A111, Table2[HomeTeam], P$1)</f>
        <v>22</v>
      </c>
      <c r="Q111" s="145">
        <f>SUMIFS(Table2[NewPointsAway],Table2[GameDate], "&lt;=" &amp; $A111, Table2[AwayTeam], Q$1)+SUMIFS(Table2[NewPointsHome],Table2[GameDate], "&lt;=" &amp; $A111, Table2[HomeTeam], Q$1)</f>
        <v>23</v>
      </c>
      <c r="R111" s="145">
        <f>SUMIFS(Table2[NewPointsAway],Table2[GameDate], "&lt;=" &amp; $A111, Table2[AwayTeam], R$1)+SUMIFS(Table2[NewPointsHome],Table2[GameDate], "&lt;=" &amp; $A111, Table2[HomeTeam], R$1)</f>
        <v>14</v>
      </c>
      <c r="S111" s="145">
        <f>SUMIFS(Table2[NewPointsAway],Table2[GameDate], "&lt;=" &amp; $A111, Table2[AwayTeam], S$1)+SUMIFS(Table2[NewPointsHome],Table2[GameDate], "&lt;=" &amp; $A111, Table2[HomeTeam], S$1)</f>
        <v>18</v>
      </c>
      <c r="T111" s="145">
        <f>SUMIFS(Table2[NewPointsAway],Table2[GameDate], "&lt;=" &amp; $A111, Table2[AwayTeam], T$1)+SUMIFS(Table2[NewPointsHome],Table2[GameDate], "&lt;=" &amp; $A111, Table2[HomeTeam], T$1)</f>
        <v>20</v>
      </c>
      <c r="U111" s="145">
        <f>SUMIFS(Table2[NewPointsAway],Table2[GameDate], "&lt;=" &amp; $A111, Table2[AwayTeam], U$1)+SUMIFS(Table2[NewPointsHome],Table2[GameDate], "&lt;=" &amp; $A111, Table2[HomeTeam], U$1)</f>
        <v>20</v>
      </c>
      <c r="V111" s="145">
        <f>SUMIFS(Table2[NewPointsAway],Table2[GameDate], "&lt;=" &amp; $A111, Table2[AwayTeam], V$1)+SUMIFS(Table2[NewPointsHome],Table2[GameDate], "&lt;=" &amp; $A111, Table2[HomeTeam], V$1)</f>
        <v>19</v>
      </c>
      <c r="W111" s="145">
        <f>SUMIFS(Table2[NewPointsAway],Table2[GameDate], "&lt;=" &amp; $A111, Table2[AwayTeam], W$1)+SUMIFS(Table2[NewPointsHome],Table2[GameDate], "&lt;=" &amp; $A111, Table2[HomeTeam], W$1)</f>
        <v>21</v>
      </c>
      <c r="X111" s="145">
        <f>SUMIFS(Table2[NewPointsAway],Table2[GameDate], "&lt;=" &amp; $A111, Table2[AwayTeam], X$1)+SUMIFS(Table2[NewPointsHome],Table2[GameDate], "&lt;=" &amp; $A111, Table2[HomeTeam], X$1)</f>
        <v>19</v>
      </c>
      <c r="Y111" s="145">
        <f>SUMIFS(Table2[NewPointsAway],Table2[GameDate], "&lt;=" &amp; $A111, Table2[AwayTeam], Y$1)+SUMIFS(Table2[NewPointsHome],Table2[GameDate], "&lt;=" &amp; $A111, Table2[HomeTeam], Y$1)</f>
        <v>19</v>
      </c>
      <c r="Z111" s="145">
        <f>SUMIFS(Table2[NewPointsAway],Table2[GameDate], "&lt;=" &amp; $A111, Table2[AwayTeam], Z$1)+SUMIFS(Table2[NewPointsHome],Table2[GameDate], "&lt;=" &amp; $A111, Table2[HomeTeam], Z$1)</f>
        <v>15</v>
      </c>
      <c r="AA111" s="145">
        <f>SUMIFS(Table2[NewPointsAway],Table2[GameDate], "&lt;=" &amp; $A111, Table2[AwayTeam], AA$1)+SUMIFS(Table2[NewPointsHome],Table2[GameDate], "&lt;=" &amp; $A111, Table2[HomeTeam], AA$1)</f>
        <v>18</v>
      </c>
      <c r="AB111" s="145">
        <f>SUMIFS(Table2[NewPointsAway],Table2[GameDate], "&lt;=" &amp; $A111, Table2[AwayTeam], AB$1)+SUMIFS(Table2[NewPointsHome],Table2[GameDate], "&lt;=" &amp; $A111, Table2[HomeTeam], AB$1)</f>
        <v>17</v>
      </c>
      <c r="AC111" s="145">
        <f>SUMIFS(Table2[NewPointsAway],Table2[GameDate], "&lt;=" &amp; $A111, Table2[AwayTeam], AC$1)+SUMIFS(Table2[NewPointsHome],Table2[GameDate], "&lt;=" &amp; $A111, Table2[HomeTeam], AC$1)</f>
        <v>18</v>
      </c>
      <c r="AD111" s="145">
        <f>SUMIFS(Table2[NewPointsAway],Table2[GameDate], "&lt;=" &amp; $A111, Table2[AwayTeam], AD$1)+SUMIFS(Table2[NewPointsHome],Table2[GameDate], "&lt;=" &amp; $A111, Table2[HomeTeam], AD$1)</f>
        <v>17</v>
      </c>
      <c r="AE111" s="145">
        <f>SUMIFS(Table2[NewPointsAway],Table2[GameDate], "&lt;=" &amp; $A111, Table2[AwayTeam], AE$1)+SUMIFS(Table2[NewPointsHome],Table2[GameDate], "&lt;=" &amp; $A111, Table2[HomeTeam], AE$1)</f>
        <v>18</v>
      </c>
      <c r="AF111" s="145">
        <f>SUMIFS(Table2[NewPointsAway],Table2[GameDate], "&lt;=" &amp; $A111, Table2[AwayTeam], AF$1)+SUMIFS(Table2[NewPointsHome],Table2[GameDate], "&lt;=" &amp; $A111, Table2[HomeTeam], AF$1)</f>
        <v>20</v>
      </c>
      <c r="AG111" s="145">
        <f>SUMIFS(Table2[NewPointsAway],Table2[GameDate], "&lt;=" &amp; $A111, Table2[AwayTeam], AG$1)+SUMIFS(Table2[NewPointsHome],Table2[GameDate], "&lt;=" &amp; $A111, Table2[HomeTeam], AG$1)</f>
        <v>17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23</v>
      </c>
      <c r="C112" s="145">
        <f>SUMIFS(Table2[NewPointsAway],Table2[GameDate], "&lt;=" &amp; $A112, Table2[AwayTeam], C$1)+SUMIFS(Table2[NewPointsHome],Table2[GameDate], "&lt;=" &amp; $A112, Table2[HomeTeam], C$1)</f>
        <v>22</v>
      </c>
      <c r="D112" s="145">
        <f>SUMIFS(Table2[NewPointsAway],Table2[GameDate], "&lt;=" &amp; $A112, Table2[AwayTeam], D$1)+SUMIFS(Table2[NewPointsHome],Table2[GameDate], "&lt;=" &amp; $A112, Table2[HomeTeam], D$1)</f>
        <v>14</v>
      </c>
      <c r="E112" s="145">
        <f>SUMIFS(Table2[NewPointsAway],Table2[GameDate], "&lt;=" &amp; $A112, Table2[AwayTeam], E$1)+SUMIFS(Table2[NewPointsHome],Table2[GameDate], "&lt;=" &amp; $A112, Table2[HomeTeam], E$1)</f>
        <v>22</v>
      </c>
      <c r="F112" s="145">
        <f>SUMIFS(Table2[NewPointsAway],Table2[GameDate], "&lt;=" &amp; $A112, Table2[AwayTeam], F$1)+SUMIFS(Table2[NewPointsHome],Table2[GameDate], "&lt;=" &amp; $A112, Table2[HomeTeam], F$1)</f>
        <v>17</v>
      </c>
      <c r="G112" s="145">
        <f>SUMIFS(Table2[NewPointsAway],Table2[GameDate], "&lt;=" &amp; $A112, Table2[AwayTeam], G$1)+SUMIFS(Table2[NewPointsHome],Table2[GameDate], "&lt;=" &amp; $A112, Table2[HomeTeam], G$1)</f>
        <v>10</v>
      </c>
      <c r="H112" s="145">
        <f>SUMIFS(Table2[NewPointsAway],Table2[GameDate], "&lt;=" &amp; $A112, Table2[AwayTeam], H$1)+SUMIFS(Table2[NewPointsHome],Table2[GameDate], "&lt;=" &amp; $A112, Table2[HomeTeam], H$1)</f>
        <v>19</v>
      </c>
      <c r="I112" s="145">
        <f>SUMIFS(Table2[NewPointsAway],Table2[GameDate], "&lt;=" &amp; $A112, Table2[AwayTeam], I$1)+SUMIFS(Table2[NewPointsHome],Table2[GameDate], "&lt;=" &amp; $A112, Table2[HomeTeam], I$1)</f>
        <v>27</v>
      </c>
      <c r="J112" s="145">
        <f>SUMIFS(Table2[NewPointsAway],Table2[GameDate], "&lt;=" &amp; $A112, Table2[AwayTeam], J$1)+SUMIFS(Table2[NewPointsHome],Table2[GameDate], "&lt;=" &amp; $A112, Table2[HomeTeam], J$1)</f>
        <v>23</v>
      </c>
      <c r="K112" s="145">
        <f>SUMIFS(Table2[NewPointsAway],Table2[GameDate], "&lt;=" &amp; $A112, Table2[AwayTeam], K$1)+SUMIFS(Table2[NewPointsHome],Table2[GameDate], "&lt;=" &amp; $A112, Table2[HomeTeam], K$1)</f>
        <v>18</v>
      </c>
      <c r="L112" s="145">
        <f>SUMIFS(Table2[NewPointsAway],Table2[GameDate], "&lt;=" &amp; $A112, Table2[AwayTeam], L$1)+SUMIFS(Table2[NewPointsHome],Table2[GameDate], "&lt;=" &amp; $A112, Table2[HomeTeam], L$1)</f>
        <v>20</v>
      </c>
      <c r="M112" s="145">
        <f>SUMIFS(Table2[NewPointsAway],Table2[GameDate], "&lt;=" &amp; $A112, Table2[AwayTeam], M$1)+SUMIFS(Table2[NewPointsHome],Table2[GameDate], "&lt;=" &amp; $A112, Table2[HomeTeam], M$1)</f>
        <v>17</v>
      </c>
      <c r="N112" s="145">
        <f>SUMIFS(Table2[NewPointsAway],Table2[GameDate], "&lt;=" &amp; $A112, Table2[AwayTeam], N$1)+SUMIFS(Table2[NewPointsHome],Table2[GameDate], "&lt;=" &amp; $A112, Table2[HomeTeam], N$1)</f>
        <v>20</v>
      </c>
      <c r="O112" s="145">
        <f>SUMIFS(Table2[NewPointsAway],Table2[GameDate], "&lt;=" &amp; $A112, Table2[AwayTeam], O$1)+SUMIFS(Table2[NewPointsHome],Table2[GameDate], "&lt;=" &amp; $A112, Table2[HomeTeam], O$1)</f>
        <v>18</v>
      </c>
      <c r="P112" s="145">
        <f>SUMIFS(Table2[NewPointsAway],Table2[GameDate], "&lt;=" &amp; $A112, Table2[AwayTeam], P$1)+SUMIFS(Table2[NewPointsHome],Table2[GameDate], "&lt;=" &amp; $A112, Table2[HomeTeam], P$1)</f>
        <v>22</v>
      </c>
      <c r="Q112" s="145">
        <f>SUMIFS(Table2[NewPointsAway],Table2[GameDate], "&lt;=" &amp; $A112, Table2[AwayTeam], Q$1)+SUMIFS(Table2[NewPointsHome],Table2[GameDate], "&lt;=" &amp; $A112, Table2[HomeTeam], Q$1)</f>
        <v>23</v>
      </c>
      <c r="R112" s="145">
        <f>SUMIFS(Table2[NewPointsAway],Table2[GameDate], "&lt;=" &amp; $A112, Table2[AwayTeam], R$1)+SUMIFS(Table2[NewPointsHome],Table2[GameDate], "&lt;=" &amp; $A112, Table2[HomeTeam], R$1)</f>
        <v>14</v>
      </c>
      <c r="S112" s="145">
        <f>SUMIFS(Table2[NewPointsAway],Table2[GameDate], "&lt;=" &amp; $A112, Table2[AwayTeam], S$1)+SUMIFS(Table2[NewPointsHome],Table2[GameDate], "&lt;=" &amp; $A112, Table2[HomeTeam], S$1)</f>
        <v>18</v>
      </c>
      <c r="T112" s="145">
        <f>SUMIFS(Table2[NewPointsAway],Table2[GameDate], "&lt;=" &amp; $A112, Table2[AwayTeam], T$1)+SUMIFS(Table2[NewPointsHome],Table2[GameDate], "&lt;=" &amp; $A112, Table2[HomeTeam], T$1)</f>
        <v>20</v>
      </c>
      <c r="U112" s="145">
        <f>SUMIFS(Table2[NewPointsAway],Table2[GameDate], "&lt;=" &amp; $A112, Table2[AwayTeam], U$1)+SUMIFS(Table2[NewPointsHome],Table2[GameDate], "&lt;=" &amp; $A112, Table2[HomeTeam], U$1)</f>
        <v>20</v>
      </c>
      <c r="V112" s="145">
        <f>SUMIFS(Table2[NewPointsAway],Table2[GameDate], "&lt;=" &amp; $A112, Table2[AwayTeam], V$1)+SUMIFS(Table2[NewPointsHome],Table2[GameDate], "&lt;=" &amp; $A112, Table2[HomeTeam], V$1)</f>
        <v>19</v>
      </c>
      <c r="W112" s="145">
        <f>SUMIFS(Table2[NewPointsAway],Table2[GameDate], "&lt;=" &amp; $A112, Table2[AwayTeam], W$1)+SUMIFS(Table2[NewPointsHome],Table2[GameDate], "&lt;=" &amp; $A112, Table2[HomeTeam], W$1)</f>
        <v>21</v>
      </c>
      <c r="X112" s="145">
        <f>SUMIFS(Table2[NewPointsAway],Table2[GameDate], "&lt;=" &amp; $A112, Table2[AwayTeam], X$1)+SUMIFS(Table2[NewPointsHome],Table2[GameDate], "&lt;=" &amp; $A112, Table2[HomeTeam], X$1)</f>
        <v>19</v>
      </c>
      <c r="Y112" s="145">
        <f>SUMIFS(Table2[NewPointsAway],Table2[GameDate], "&lt;=" &amp; $A112, Table2[AwayTeam], Y$1)+SUMIFS(Table2[NewPointsHome],Table2[GameDate], "&lt;=" &amp; $A112, Table2[HomeTeam], Y$1)</f>
        <v>19</v>
      </c>
      <c r="Z112" s="145">
        <f>SUMIFS(Table2[NewPointsAway],Table2[GameDate], "&lt;=" &amp; $A112, Table2[AwayTeam], Z$1)+SUMIFS(Table2[NewPointsHome],Table2[GameDate], "&lt;=" &amp; $A112, Table2[HomeTeam], Z$1)</f>
        <v>15</v>
      </c>
      <c r="AA112" s="145">
        <f>SUMIFS(Table2[NewPointsAway],Table2[GameDate], "&lt;=" &amp; $A112, Table2[AwayTeam], AA$1)+SUMIFS(Table2[NewPointsHome],Table2[GameDate], "&lt;=" &amp; $A112, Table2[HomeTeam], AA$1)</f>
        <v>18</v>
      </c>
      <c r="AB112" s="145">
        <f>SUMIFS(Table2[NewPointsAway],Table2[GameDate], "&lt;=" &amp; $A112, Table2[AwayTeam], AB$1)+SUMIFS(Table2[NewPointsHome],Table2[GameDate], "&lt;=" &amp; $A112, Table2[HomeTeam], AB$1)</f>
        <v>17</v>
      </c>
      <c r="AC112" s="145">
        <f>SUMIFS(Table2[NewPointsAway],Table2[GameDate], "&lt;=" &amp; $A112, Table2[AwayTeam], AC$1)+SUMIFS(Table2[NewPointsHome],Table2[GameDate], "&lt;=" &amp; $A112, Table2[HomeTeam], AC$1)</f>
        <v>18</v>
      </c>
      <c r="AD112" s="145">
        <f>SUMIFS(Table2[NewPointsAway],Table2[GameDate], "&lt;=" &amp; $A112, Table2[AwayTeam], AD$1)+SUMIFS(Table2[NewPointsHome],Table2[GameDate], "&lt;=" &amp; $A112, Table2[HomeTeam], AD$1)</f>
        <v>17</v>
      </c>
      <c r="AE112" s="145">
        <f>SUMIFS(Table2[NewPointsAway],Table2[GameDate], "&lt;=" &amp; $A112, Table2[AwayTeam], AE$1)+SUMIFS(Table2[NewPointsHome],Table2[GameDate], "&lt;=" &amp; $A112, Table2[HomeTeam], AE$1)</f>
        <v>18</v>
      </c>
      <c r="AF112" s="145">
        <f>SUMIFS(Table2[NewPointsAway],Table2[GameDate], "&lt;=" &amp; $A112, Table2[AwayTeam], AF$1)+SUMIFS(Table2[NewPointsHome],Table2[GameDate], "&lt;=" &amp; $A112, Table2[HomeTeam], AF$1)</f>
        <v>20</v>
      </c>
      <c r="AG112" s="145">
        <f>SUMIFS(Table2[NewPointsAway],Table2[GameDate], "&lt;=" &amp; $A112, Table2[AwayTeam], AG$1)+SUMIFS(Table2[NewPointsHome],Table2[GameDate], "&lt;=" &amp; $A112, Table2[HomeTeam], AG$1)</f>
        <v>17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23</v>
      </c>
      <c r="C113" s="145">
        <f>SUMIFS(Table2[NewPointsAway],Table2[GameDate], "&lt;=" &amp; $A113, Table2[AwayTeam], C$1)+SUMIFS(Table2[NewPointsHome],Table2[GameDate], "&lt;=" &amp; $A113, Table2[HomeTeam], C$1)</f>
        <v>22</v>
      </c>
      <c r="D113" s="145">
        <f>SUMIFS(Table2[NewPointsAway],Table2[GameDate], "&lt;=" &amp; $A113, Table2[AwayTeam], D$1)+SUMIFS(Table2[NewPointsHome],Table2[GameDate], "&lt;=" &amp; $A113, Table2[HomeTeam], D$1)</f>
        <v>14</v>
      </c>
      <c r="E113" s="145">
        <f>SUMIFS(Table2[NewPointsAway],Table2[GameDate], "&lt;=" &amp; $A113, Table2[AwayTeam], E$1)+SUMIFS(Table2[NewPointsHome],Table2[GameDate], "&lt;=" &amp; $A113, Table2[HomeTeam], E$1)</f>
        <v>22</v>
      </c>
      <c r="F113" s="145">
        <f>SUMIFS(Table2[NewPointsAway],Table2[GameDate], "&lt;=" &amp; $A113, Table2[AwayTeam], F$1)+SUMIFS(Table2[NewPointsHome],Table2[GameDate], "&lt;=" &amp; $A113, Table2[HomeTeam], F$1)</f>
        <v>17</v>
      </c>
      <c r="G113" s="145">
        <f>SUMIFS(Table2[NewPointsAway],Table2[GameDate], "&lt;=" &amp; $A113, Table2[AwayTeam], G$1)+SUMIFS(Table2[NewPointsHome],Table2[GameDate], "&lt;=" &amp; $A113, Table2[HomeTeam], G$1)</f>
        <v>10</v>
      </c>
      <c r="H113" s="145">
        <f>SUMIFS(Table2[NewPointsAway],Table2[GameDate], "&lt;=" &amp; $A113, Table2[AwayTeam], H$1)+SUMIFS(Table2[NewPointsHome],Table2[GameDate], "&lt;=" &amp; $A113, Table2[HomeTeam], H$1)</f>
        <v>19</v>
      </c>
      <c r="I113" s="145">
        <f>SUMIFS(Table2[NewPointsAway],Table2[GameDate], "&lt;=" &amp; $A113, Table2[AwayTeam], I$1)+SUMIFS(Table2[NewPointsHome],Table2[GameDate], "&lt;=" &amp; $A113, Table2[HomeTeam], I$1)</f>
        <v>27</v>
      </c>
      <c r="J113" s="145">
        <f>SUMIFS(Table2[NewPointsAway],Table2[GameDate], "&lt;=" &amp; $A113, Table2[AwayTeam], J$1)+SUMIFS(Table2[NewPointsHome],Table2[GameDate], "&lt;=" &amp; $A113, Table2[HomeTeam], J$1)</f>
        <v>23</v>
      </c>
      <c r="K113" s="145">
        <f>SUMIFS(Table2[NewPointsAway],Table2[GameDate], "&lt;=" &amp; $A113, Table2[AwayTeam], K$1)+SUMIFS(Table2[NewPointsHome],Table2[GameDate], "&lt;=" &amp; $A113, Table2[HomeTeam], K$1)</f>
        <v>18</v>
      </c>
      <c r="L113" s="145">
        <f>SUMIFS(Table2[NewPointsAway],Table2[GameDate], "&lt;=" &amp; $A113, Table2[AwayTeam], L$1)+SUMIFS(Table2[NewPointsHome],Table2[GameDate], "&lt;=" &amp; $A113, Table2[HomeTeam], L$1)</f>
        <v>20</v>
      </c>
      <c r="M113" s="145">
        <f>SUMIFS(Table2[NewPointsAway],Table2[GameDate], "&lt;=" &amp; $A113, Table2[AwayTeam], M$1)+SUMIFS(Table2[NewPointsHome],Table2[GameDate], "&lt;=" &amp; $A113, Table2[HomeTeam], M$1)</f>
        <v>17</v>
      </c>
      <c r="N113" s="145">
        <f>SUMIFS(Table2[NewPointsAway],Table2[GameDate], "&lt;=" &amp; $A113, Table2[AwayTeam], N$1)+SUMIFS(Table2[NewPointsHome],Table2[GameDate], "&lt;=" &amp; $A113, Table2[HomeTeam], N$1)</f>
        <v>20</v>
      </c>
      <c r="O113" s="145">
        <f>SUMIFS(Table2[NewPointsAway],Table2[GameDate], "&lt;=" &amp; $A113, Table2[AwayTeam], O$1)+SUMIFS(Table2[NewPointsHome],Table2[GameDate], "&lt;=" &amp; $A113, Table2[HomeTeam], O$1)</f>
        <v>18</v>
      </c>
      <c r="P113" s="145">
        <f>SUMIFS(Table2[NewPointsAway],Table2[GameDate], "&lt;=" &amp; $A113, Table2[AwayTeam], P$1)+SUMIFS(Table2[NewPointsHome],Table2[GameDate], "&lt;=" &amp; $A113, Table2[HomeTeam], P$1)</f>
        <v>22</v>
      </c>
      <c r="Q113" s="145">
        <f>SUMIFS(Table2[NewPointsAway],Table2[GameDate], "&lt;=" &amp; $A113, Table2[AwayTeam], Q$1)+SUMIFS(Table2[NewPointsHome],Table2[GameDate], "&lt;=" &amp; $A113, Table2[HomeTeam], Q$1)</f>
        <v>23</v>
      </c>
      <c r="R113" s="145">
        <f>SUMIFS(Table2[NewPointsAway],Table2[GameDate], "&lt;=" &amp; $A113, Table2[AwayTeam], R$1)+SUMIFS(Table2[NewPointsHome],Table2[GameDate], "&lt;=" &amp; $A113, Table2[HomeTeam], R$1)</f>
        <v>14</v>
      </c>
      <c r="S113" s="145">
        <f>SUMIFS(Table2[NewPointsAway],Table2[GameDate], "&lt;=" &amp; $A113, Table2[AwayTeam], S$1)+SUMIFS(Table2[NewPointsHome],Table2[GameDate], "&lt;=" &amp; $A113, Table2[HomeTeam], S$1)</f>
        <v>18</v>
      </c>
      <c r="T113" s="145">
        <f>SUMIFS(Table2[NewPointsAway],Table2[GameDate], "&lt;=" &amp; $A113, Table2[AwayTeam], T$1)+SUMIFS(Table2[NewPointsHome],Table2[GameDate], "&lt;=" &amp; $A113, Table2[HomeTeam], T$1)</f>
        <v>20</v>
      </c>
      <c r="U113" s="145">
        <f>SUMIFS(Table2[NewPointsAway],Table2[GameDate], "&lt;=" &amp; $A113, Table2[AwayTeam], U$1)+SUMIFS(Table2[NewPointsHome],Table2[GameDate], "&lt;=" &amp; $A113, Table2[HomeTeam], U$1)</f>
        <v>20</v>
      </c>
      <c r="V113" s="145">
        <f>SUMIFS(Table2[NewPointsAway],Table2[GameDate], "&lt;=" &amp; $A113, Table2[AwayTeam], V$1)+SUMIFS(Table2[NewPointsHome],Table2[GameDate], "&lt;=" &amp; $A113, Table2[HomeTeam], V$1)</f>
        <v>19</v>
      </c>
      <c r="W113" s="145">
        <f>SUMIFS(Table2[NewPointsAway],Table2[GameDate], "&lt;=" &amp; $A113, Table2[AwayTeam], W$1)+SUMIFS(Table2[NewPointsHome],Table2[GameDate], "&lt;=" &amp; $A113, Table2[HomeTeam], W$1)</f>
        <v>21</v>
      </c>
      <c r="X113" s="145">
        <f>SUMIFS(Table2[NewPointsAway],Table2[GameDate], "&lt;=" &amp; $A113, Table2[AwayTeam], X$1)+SUMIFS(Table2[NewPointsHome],Table2[GameDate], "&lt;=" &amp; $A113, Table2[HomeTeam], X$1)</f>
        <v>19</v>
      </c>
      <c r="Y113" s="145">
        <f>SUMIFS(Table2[NewPointsAway],Table2[GameDate], "&lt;=" &amp; $A113, Table2[AwayTeam], Y$1)+SUMIFS(Table2[NewPointsHome],Table2[GameDate], "&lt;=" &amp; $A113, Table2[HomeTeam], Y$1)</f>
        <v>19</v>
      </c>
      <c r="Z113" s="145">
        <f>SUMIFS(Table2[NewPointsAway],Table2[GameDate], "&lt;=" &amp; $A113, Table2[AwayTeam], Z$1)+SUMIFS(Table2[NewPointsHome],Table2[GameDate], "&lt;=" &amp; $A113, Table2[HomeTeam], Z$1)</f>
        <v>15</v>
      </c>
      <c r="AA113" s="145">
        <f>SUMIFS(Table2[NewPointsAway],Table2[GameDate], "&lt;=" &amp; $A113, Table2[AwayTeam], AA$1)+SUMIFS(Table2[NewPointsHome],Table2[GameDate], "&lt;=" &amp; $A113, Table2[HomeTeam], AA$1)</f>
        <v>18</v>
      </c>
      <c r="AB113" s="145">
        <f>SUMIFS(Table2[NewPointsAway],Table2[GameDate], "&lt;=" &amp; $A113, Table2[AwayTeam], AB$1)+SUMIFS(Table2[NewPointsHome],Table2[GameDate], "&lt;=" &amp; $A113, Table2[HomeTeam], AB$1)</f>
        <v>17</v>
      </c>
      <c r="AC113" s="145">
        <f>SUMIFS(Table2[NewPointsAway],Table2[GameDate], "&lt;=" &amp; $A113, Table2[AwayTeam], AC$1)+SUMIFS(Table2[NewPointsHome],Table2[GameDate], "&lt;=" &amp; $A113, Table2[HomeTeam], AC$1)</f>
        <v>18</v>
      </c>
      <c r="AD113" s="145">
        <f>SUMIFS(Table2[NewPointsAway],Table2[GameDate], "&lt;=" &amp; $A113, Table2[AwayTeam], AD$1)+SUMIFS(Table2[NewPointsHome],Table2[GameDate], "&lt;=" &amp; $A113, Table2[HomeTeam], AD$1)</f>
        <v>17</v>
      </c>
      <c r="AE113" s="145">
        <f>SUMIFS(Table2[NewPointsAway],Table2[GameDate], "&lt;=" &amp; $A113, Table2[AwayTeam], AE$1)+SUMIFS(Table2[NewPointsHome],Table2[GameDate], "&lt;=" &amp; $A113, Table2[HomeTeam], AE$1)</f>
        <v>18</v>
      </c>
      <c r="AF113" s="145">
        <f>SUMIFS(Table2[NewPointsAway],Table2[GameDate], "&lt;=" &amp; $A113, Table2[AwayTeam], AF$1)+SUMIFS(Table2[NewPointsHome],Table2[GameDate], "&lt;=" &amp; $A113, Table2[HomeTeam], AF$1)</f>
        <v>20</v>
      </c>
      <c r="AG113" s="145">
        <f>SUMIFS(Table2[NewPointsAway],Table2[GameDate], "&lt;=" &amp; $A113, Table2[AwayTeam], AG$1)+SUMIFS(Table2[NewPointsHome],Table2[GameDate], "&lt;=" &amp; $A113, Table2[HomeTeam], AG$1)</f>
        <v>17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23</v>
      </c>
      <c r="C114" s="145">
        <f>SUMIFS(Table2[NewPointsAway],Table2[GameDate], "&lt;=" &amp; $A114, Table2[AwayTeam], C$1)+SUMIFS(Table2[NewPointsHome],Table2[GameDate], "&lt;=" &amp; $A114, Table2[HomeTeam], C$1)</f>
        <v>22</v>
      </c>
      <c r="D114" s="145">
        <f>SUMIFS(Table2[NewPointsAway],Table2[GameDate], "&lt;=" &amp; $A114, Table2[AwayTeam], D$1)+SUMIFS(Table2[NewPointsHome],Table2[GameDate], "&lt;=" &amp; $A114, Table2[HomeTeam], D$1)</f>
        <v>14</v>
      </c>
      <c r="E114" s="145">
        <f>SUMIFS(Table2[NewPointsAway],Table2[GameDate], "&lt;=" &amp; $A114, Table2[AwayTeam], E$1)+SUMIFS(Table2[NewPointsHome],Table2[GameDate], "&lt;=" &amp; $A114, Table2[HomeTeam], E$1)</f>
        <v>22</v>
      </c>
      <c r="F114" s="145">
        <f>SUMIFS(Table2[NewPointsAway],Table2[GameDate], "&lt;=" &amp; $A114, Table2[AwayTeam], F$1)+SUMIFS(Table2[NewPointsHome],Table2[GameDate], "&lt;=" &amp; $A114, Table2[HomeTeam], F$1)</f>
        <v>17</v>
      </c>
      <c r="G114" s="145">
        <f>SUMIFS(Table2[NewPointsAway],Table2[GameDate], "&lt;=" &amp; $A114, Table2[AwayTeam], G$1)+SUMIFS(Table2[NewPointsHome],Table2[GameDate], "&lt;=" &amp; $A114, Table2[HomeTeam], G$1)</f>
        <v>10</v>
      </c>
      <c r="H114" s="145">
        <f>SUMIFS(Table2[NewPointsAway],Table2[GameDate], "&lt;=" &amp; $A114, Table2[AwayTeam], H$1)+SUMIFS(Table2[NewPointsHome],Table2[GameDate], "&lt;=" &amp; $A114, Table2[HomeTeam], H$1)</f>
        <v>19</v>
      </c>
      <c r="I114" s="145">
        <f>SUMIFS(Table2[NewPointsAway],Table2[GameDate], "&lt;=" &amp; $A114, Table2[AwayTeam], I$1)+SUMIFS(Table2[NewPointsHome],Table2[GameDate], "&lt;=" &amp; $A114, Table2[HomeTeam], I$1)</f>
        <v>27</v>
      </c>
      <c r="J114" s="145">
        <f>SUMIFS(Table2[NewPointsAway],Table2[GameDate], "&lt;=" &amp; $A114, Table2[AwayTeam], J$1)+SUMIFS(Table2[NewPointsHome],Table2[GameDate], "&lt;=" &amp; $A114, Table2[HomeTeam], J$1)</f>
        <v>23</v>
      </c>
      <c r="K114" s="145">
        <f>SUMIFS(Table2[NewPointsAway],Table2[GameDate], "&lt;=" &amp; $A114, Table2[AwayTeam], K$1)+SUMIFS(Table2[NewPointsHome],Table2[GameDate], "&lt;=" &amp; $A114, Table2[HomeTeam], K$1)</f>
        <v>18</v>
      </c>
      <c r="L114" s="145">
        <f>SUMIFS(Table2[NewPointsAway],Table2[GameDate], "&lt;=" &amp; $A114, Table2[AwayTeam], L$1)+SUMIFS(Table2[NewPointsHome],Table2[GameDate], "&lt;=" &amp; $A114, Table2[HomeTeam], L$1)</f>
        <v>20</v>
      </c>
      <c r="M114" s="145">
        <f>SUMIFS(Table2[NewPointsAway],Table2[GameDate], "&lt;=" &amp; $A114, Table2[AwayTeam], M$1)+SUMIFS(Table2[NewPointsHome],Table2[GameDate], "&lt;=" &amp; $A114, Table2[HomeTeam], M$1)</f>
        <v>17</v>
      </c>
      <c r="N114" s="145">
        <f>SUMIFS(Table2[NewPointsAway],Table2[GameDate], "&lt;=" &amp; $A114, Table2[AwayTeam], N$1)+SUMIFS(Table2[NewPointsHome],Table2[GameDate], "&lt;=" &amp; $A114, Table2[HomeTeam], N$1)</f>
        <v>20</v>
      </c>
      <c r="O114" s="145">
        <f>SUMIFS(Table2[NewPointsAway],Table2[GameDate], "&lt;=" &amp; $A114, Table2[AwayTeam], O$1)+SUMIFS(Table2[NewPointsHome],Table2[GameDate], "&lt;=" &amp; $A114, Table2[HomeTeam], O$1)</f>
        <v>18</v>
      </c>
      <c r="P114" s="145">
        <f>SUMIFS(Table2[NewPointsAway],Table2[GameDate], "&lt;=" &amp; $A114, Table2[AwayTeam], P$1)+SUMIFS(Table2[NewPointsHome],Table2[GameDate], "&lt;=" &amp; $A114, Table2[HomeTeam], P$1)</f>
        <v>22</v>
      </c>
      <c r="Q114" s="145">
        <f>SUMIFS(Table2[NewPointsAway],Table2[GameDate], "&lt;=" &amp; $A114, Table2[AwayTeam], Q$1)+SUMIFS(Table2[NewPointsHome],Table2[GameDate], "&lt;=" &amp; $A114, Table2[HomeTeam], Q$1)</f>
        <v>23</v>
      </c>
      <c r="R114" s="145">
        <f>SUMIFS(Table2[NewPointsAway],Table2[GameDate], "&lt;=" &amp; $A114, Table2[AwayTeam], R$1)+SUMIFS(Table2[NewPointsHome],Table2[GameDate], "&lt;=" &amp; $A114, Table2[HomeTeam], R$1)</f>
        <v>14</v>
      </c>
      <c r="S114" s="145">
        <f>SUMIFS(Table2[NewPointsAway],Table2[GameDate], "&lt;=" &amp; $A114, Table2[AwayTeam], S$1)+SUMIFS(Table2[NewPointsHome],Table2[GameDate], "&lt;=" &amp; $A114, Table2[HomeTeam], S$1)</f>
        <v>18</v>
      </c>
      <c r="T114" s="145">
        <f>SUMIFS(Table2[NewPointsAway],Table2[GameDate], "&lt;=" &amp; $A114, Table2[AwayTeam], T$1)+SUMIFS(Table2[NewPointsHome],Table2[GameDate], "&lt;=" &amp; $A114, Table2[HomeTeam], T$1)</f>
        <v>20</v>
      </c>
      <c r="U114" s="145">
        <f>SUMIFS(Table2[NewPointsAway],Table2[GameDate], "&lt;=" &amp; $A114, Table2[AwayTeam], U$1)+SUMIFS(Table2[NewPointsHome],Table2[GameDate], "&lt;=" &amp; $A114, Table2[HomeTeam], U$1)</f>
        <v>20</v>
      </c>
      <c r="V114" s="145">
        <f>SUMIFS(Table2[NewPointsAway],Table2[GameDate], "&lt;=" &amp; $A114, Table2[AwayTeam], V$1)+SUMIFS(Table2[NewPointsHome],Table2[GameDate], "&lt;=" &amp; $A114, Table2[HomeTeam], V$1)</f>
        <v>19</v>
      </c>
      <c r="W114" s="145">
        <f>SUMIFS(Table2[NewPointsAway],Table2[GameDate], "&lt;=" &amp; $A114, Table2[AwayTeam], W$1)+SUMIFS(Table2[NewPointsHome],Table2[GameDate], "&lt;=" &amp; $A114, Table2[HomeTeam], W$1)</f>
        <v>21</v>
      </c>
      <c r="X114" s="145">
        <f>SUMIFS(Table2[NewPointsAway],Table2[GameDate], "&lt;=" &amp; $A114, Table2[AwayTeam], X$1)+SUMIFS(Table2[NewPointsHome],Table2[GameDate], "&lt;=" &amp; $A114, Table2[HomeTeam], X$1)</f>
        <v>19</v>
      </c>
      <c r="Y114" s="145">
        <f>SUMIFS(Table2[NewPointsAway],Table2[GameDate], "&lt;=" &amp; $A114, Table2[AwayTeam], Y$1)+SUMIFS(Table2[NewPointsHome],Table2[GameDate], "&lt;=" &amp; $A114, Table2[HomeTeam], Y$1)</f>
        <v>19</v>
      </c>
      <c r="Z114" s="145">
        <f>SUMIFS(Table2[NewPointsAway],Table2[GameDate], "&lt;=" &amp; $A114, Table2[AwayTeam], Z$1)+SUMIFS(Table2[NewPointsHome],Table2[GameDate], "&lt;=" &amp; $A114, Table2[HomeTeam], Z$1)</f>
        <v>15</v>
      </c>
      <c r="AA114" s="145">
        <f>SUMIFS(Table2[NewPointsAway],Table2[GameDate], "&lt;=" &amp; $A114, Table2[AwayTeam], AA$1)+SUMIFS(Table2[NewPointsHome],Table2[GameDate], "&lt;=" &amp; $A114, Table2[HomeTeam], AA$1)</f>
        <v>18</v>
      </c>
      <c r="AB114" s="145">
        <f>SUMIFS(Table2[NewPointsAway],Table2[GameDate], "&lt;=" &amp; $A114, Table2[AwayTeam], AB$1)+SUMIFS(Table2[NewPointsHome],Table2[GameDate], "&lt;=" &amp; $A114, Table2[HomeTeam], AB$1)</f>
        <v>17</v>
      </c>
      <c r="AC114" s="145">
        <f>SUMIFS(Table2[NewPointsAway],Table2[GameDate], "&lt;=" &amp; $A114, Table2[AwayTeam], AC$1)+SUMIFS(Table2[NewPointsHome],Table2[GameDate], "&lt;=" &amp; $A114, Table2[HomeTeam], AC$1)</f>
        <v>18</v>
      </c>
      <c r="AD114" s="145">
        <f>SUMIFS(Table2[NewPointsAway],Table2[GameDate], "&lt;=" &amp; $A114, Table2[AwayTeam], AD$1)+SUMIFS(Table2[NewPointsHome],Table2[GameDate], "&lt;=" &amp; $A114, Table2[HomeTeam], AD$1)</f>
        <v>17</v>
      </c>
      <c r="AE114" s="145">
        <f>SUMIFS(Table2[NewPointsAway],Table2[GameDate], "&lt;=" &amp; $A114, Table2[AwayTeam], AE$1)+SUMIFS(Table2[NewPointsHome],Table2[GameDate], "&lt;=" &amp; $A114, Table2[HomeTeam], AE$1)</f>
        <v>18</v>
      </c>
      <c r="AF114" s="145">
        <f>SUMIFS(Table2[NewPointsAway],Table2[GameDate], "&lt;=" &amp; $A114, Table2[AwayTeam], AF$1)+SUMIFS(Table2[NewPointsHome],Table2[GameDate], "&lt;=" &amp; $A114, Table2[HomeTeam], AF$1)</f>
        <v>20</v>
      </c>
      <c r="AG114" s="145">
        <f>SUMIFS(Table2[NewPointsAway],Table2[GameDate], "&lt;=" &amp; $A114, Table2[AwayTeam], AG$1)+SUMIFS(Table2[NewPointsHome],Table2[GameDate], "&lt;=" &amp; $A114, Table2[HomeTeam], AG$1)</f>
        <v>17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23</v>
      </c>
      <c r="C115" s="145">
        <f>SUMIFS(Table2[NewPointsAway],Table2[GameDate], "&lt;=" &amp; $A115, Table2[AwayTeam], C$1)+SUMIFS(Table2[NewPointsHome],Table2[GameDate], "&lt;=" &amp; $A115, Table2[HomeTeam], C$1)</f>
        <v>22</v>
      </c>
      <c r="D115" s="145">
        <f>SUMIFS(Table2[NewPointsAway],Table2[GameDate], "&lt;=" &amp; $A115, Table2[AwayTeam], D$1)+SUMIFS(Table2[NewPointsHome],Table2[GameDate], "&lt;=" &amp; $A115, Table2[HomeTeam], D$1)</f>
        <v>14</v>
      </c>
      <c r="E115" s="145">
        <f>SUMIFS(Table2[NewPointsAway],Table2[GameDate], "&lt;=" &amp; $A115, Table2[AwayTeam], E$1)+SUMIFS(Table2[NewPointsHome],Table2[GameDate], "&lt;=" &amp; $A115, Table2[HomeTeam], E$1)</f>
        <v>22</v>
      </c>
      <c r="F115" s="145">
        <f>SUMIFS(Table2[NewPointsAway],Table2[GameDate], "&lt;=" &amp; $A115, Table2[AwayTeam], F$1)+SUMIFS(Table2[NewPointsHome],Table2[GameDate], "&lt;=" &amp; $A115, Table2[HomeTeam], F$1)</f>
        <v>17</v>
      </c>
      <c r="G115" s="145">
        <f>SUMIFS(Table2[NewPointsAway],Table2[GameDate], "&lt;=" &amp; $A115, Table2[AwayTeam], G$1)+SUMIFS(Table2[NewPointsHome],Table2[GameDate], "&lt;=" &amp; $A115, Table2[HomeTeam], G$1)</f>
        <v>10</v>
      </c>
      <c r="H115" s="145">
        <f>SUMIFS(Table2[NewPointsAway],Table2[GameDate], "&lt;=" &amp; $A115, Table2[AwayTeam], H$1)+SUMIFS(Table2[NewPointsHome],Table2[GameDate], "&lt;=" &amp; $A115, Table2[HomeTeam], H$1)</f>
        <v>19</v>
      </c>
      <c r="I115" s="145">
        <f>SUMIFS(Table2[NewPointsAway],Table2[GameDate], "&lt;=" &amp; $A115, Table2[AwayTeam], I$1)+SUMIFS(Table2[NewPointsHome],Table2[GameDate], "&lt;=" &amp; $A115, Table2[HomeTeam], I$1)</f>
        <v>27</v>
      </c>
      <c r="J115" s="145">
        <f>SUMIFS(Table2[NewPointsAway],Table2[GameDate], "&lt;=" &amp; $A115, Table2[AwayTeam], J$1)+SUMIFS(Table2[NewPointsHome],Table2[GameDate], "&lt;=" &amp; $A115, Table2[HomeTeam], J$1)</f>
        <v>23</v>
      </c>
      <c r="K115" s="145">
        <f>SUMIFS(Table2[NewPointsAway],Table2[GameDate], "&lt;=" &amp; $A115, Table2[AwayTeam], K$1)+SUMIFS(Table2[NewPointsHome],Table2[GameDate], "&lt;=" &amp; $A115, Table2[HomeTeam], K$1)</f>
        <v>18</v>
      </c>
      <c r="L115" s="145">
        <f>SUMIFS(Table2[NewPointsAway],Table2[GameDate], "&lt;=" &amp; $A115, Table2[AwayTeam], L$1)+SUMIFS(Table2[NewPointsHome],Table2[GameDate], "&lt;=" &amp; $A115, Table2[HomeTeam], L$1)</f>
        <v>20</v>
      </c>
      <c r="M115" s="145">
        <f>SUMIFS(Table2[NewPointsAway],Table2[GameDate], "&lt;=" &amp; $A115, Table2[AwayTeam], M$1)+SUMIFS(Table2[NewPointsHome],Table2[GameDate], "&lt;=" &amp; $A115, Table2[HomeTeam], M$1)</f>
        <v>17</v>
      </c>
      <c r="N115" s="145">
        <f>SUMIFS(Table2[NewPointsAway],Table2[GameDate], "&lt;=" &amp; $A115, Table2[AwayTeam], N$1)+SUMIFS(Table2[NewPointsHome],Table2[GameDate], "&lt;=" &amp; $A115, Table2[HomeTeam], N$1)</f>
        <v>20</v>
      </c>
      <c r="O115" s="145">
        <f>SUMIFS(Table2[NewPointsAway],Table2[GameDate], "&lt;=" &amp; $A115, Table2[AwayTeam], O$1)+SUMIFS(Table2[NewPointsHome],Table2[GameDate], "&lt;=" &amp; $A115, Table2[HomeTeam], O$1)</f>
        <v>18</v>
      </c>
      <c r="P115" s="145">
        <f>SUMIFS(Table2[NewPointsAway],Table2[GameDate], "&lt;=" &amp; $A115, Table2[AwayTeam], P$1)+SUMIFS(Table2[NewPointsHome],Table2[GameDate], "&lt;=" &amp; $A115, Table2[HomeTeam], P$1)</f>
        <v>22</v>
      </c>
      <c r="Q115" s="145">
        <f>SUMIFS(Table2[NewPointsAway],Table2[GameDate], "&lt;=" &amp; $A115, Table2[AwayTeam], Q$1)+SUMIFS(Table2[NewPointsHome],Table2[GameDate], "&lt;=" &amp; $A115, Table2[HomeTeam], Q$1)</f>
        <v>23</v>
      </c>
      <c r="R115" s="145">
        <f>SUMIFS(Table2[NewPointsAway],Table2[GameDate], "&lt;=" &amp; $A115, Table2[AwayTeam], R$1)+SUMIFS(Table2[NewPointsHome],Table2[GameDate], "&lt;=" &amp; $A115, Table2[HomeTeam], R$1)</f>
        <v>14</v>
      </c>
      <c r="S115" s="145">
        <f>SUMIFS(Table2[NewPointsAway],Table2[GameDate], "&lt;=" &amp; $A115, Table2[AwayTeam], S$1)+SUMIFS(Table2[NewPointsHome],Table2[GameDate], "&lt;=" &amp; $A115, Table2[HomeTeam], S$1)</f>
        <v>18</v>
      </c>
      <c r="T115" s="145">
        <f>SUMIFS(Table2[NewPointsAway],Table2[GameDate], "&lt;=" &amp; $A115, Table2[AwayTeam], T$1)+SUMIFS(Table2[NewPointsHome],Table2[GameDate], "&lt;=" &amp; $A115, Table2[HomeTeam], T$1)</f>
        <v>20</v>
      </c>
      <c r="U115" s="145">
        <f>SUMIFS(Table2[NewPointsAway],Table2[GameDate], "&lt;=" &amp; $A115, Table2[AwayTeam], U$1)+SUMIFS(Table2[NewPointsHome],Table2[GameDate], "&lt;=" &amp; $A115, Table2[HomeTeam], U$1)</f>
        <v>20</v>
      </c>
      <c r="V115" s="145">
        <f>SUMIFS(Table2[NewPointsAway],Table2[GameDate], "&lt;=" &amp; $A115, Table2[AwayTeam], V$1)+SUMIFS(Table2[NewPointsHome],Table2[GameDate], "&lt;=" &amp; $A115, Table2[HomeTeam], V$1)</f>
        <v>19</v>
      </c>
      <c r="W115" s="145">
        <f>SUMIFS(Table2[NewPointsAway],Table2[GameDate], "&lt;=" &amp; $A115, Table2[AwayTeam], W$1)+SUMIFS(Table2[NewPointsHome],Table2[GameDate], "&lt;=" &amp; $A115, Table2[HomeTeam], W$1)</f>
        <v>21</v>
      </c>
      <c r="X115" s="145">
        <f>SUMIFS(Table2[NewPointsAway],Table2[GameDate], "&lt;=" &amp; $A115, Table2[AwayTeam], X$1)+SUMIFS(Table2[NewPointsHome],Table2[GameDate], "&lt;=" &amp; $A115, Table2[HomeTeam], X$1)</f>
        <v>19</v>
      </c>
      <c r="Y115" s="145">
        <f>SUMIFS(Table2[NewPointsAway],Table2[GameDate], "&lt;=" &amp; $A115, Table2[AwayTeam], Y$1)+SUMIFS(Table2[NewPointsHome],Table2[GameDate], "&lt;=" &amp; $A115, Table2[HomeTeam], Y$1)</f>
        <v>19</v>
      </c>
      <c r="Z115" s="145">
        <f>SUMIFS(Table2[NewPointsAway],Table2[GameDate], "&lt;=" &amp; $A115, Table2[AwayTeam], Z$1)+SUMIFS(Table2[NewPointsHome],Table2[GameDate], "&lt;=" &amp; $A115, Table2[HomeTeam], Z$1)</f>
        <v>15</v>
      </c>
      <c r="AA115" s="145">
        <f>SUMIFS(Table2[NewPointsAway],Table2[GameDate], "&lt;=" &amp; $A115, Table2[AwayTeam], AA$1)+SUMIFS(Table2[NewPointsHome],Table2[GameDate], "&lt;=" &amp; $A115, Table2[HomeTeam], AA$1)</f>
        <v>18</v>
      </c>
      <c r="AB115" s="145">
        <f>SUMIFS(Table2[NewPointsAway],Table2[GameDate], "&lt;=" &amp; $A115, Table2[AwayTeam], AB$1)+SUMIFS(Table2[NewPointsHome],Table2[GameDate], "&lt;=" &amp; $A115, Table2[HomeTeam], AB$1)</f>
        <v>17</v>
      </c>
      <c r="AC115" s="145">
        <f>SUMIFS(Table2[NewPointsAway],Table2[GameDate], "&lt;=" &amp; $A115, Table2[AwayTeam], AC$1)+SUMIFS(Table2[NewPointsHome],Table2[GameDate], "&lt;=" &amp; $A115, Table2[HomeTeam], AC$1)</f>
        <v>18</v>
      </c>
      <c r="AD115" s="145">
        <f>SUMIFS(Table2[NewPointsAway],Table2[GameDate], "&lt;=" &amp; $A115, Table2[AwayTeam], AD$1)+SUMIFS(Table2[NewPointsHome],Table2[GameDate], "&lt;=" &amp; $A115, Table2[HomeTeam], AD$1)</f>
        <v>17</v>
      </c>
      <c r="AE115" s="145">
        <f>SUMIFS(Table2[NewPointsAway],Table2[GameDate], "&lt;=" &amp; $A115, Table2[AwayTeam], AE$1)+SUMIFS(Table2[NewPointsHome],Table2[GameDate], "&lt;=" &amp; $A115, Table2[HomeTeam], AE$1)</f>
        <v>18</v>
      </c>
      <c r="AF115" s="145">
        <f>SUMIFS(Table2[NewPointsAway],Table2[GameDate], "&lt;=" &amp; $A115, Table2[AwayTeam], AF$1)+SUMIFS(Table2[NewPointsHome],Table2[GameDate], "&lt;=" &amp; $A115, Table2[HomeTeam], AF$1)</f>
        <v>20</v>
      </c>
      <c r="AG115" s="145">
        <f>SUMIFS(Table2[NewPointsAway],Table2[GameDate], "&lt;=" &amp; $A115, Table2[AwayTeam], AG$1)+SUMIFS(Table2[NewPointsHome],Table2[GameDate], "&lt;=" &amp; $A115, Table2[HomeTeam], AG$1)</f>
        <v>17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23</v>
      </c>
      <c r="C116" s="145">
        <f>SUMIFS(Table2[NewPointsAway],Table2[GameDate], "&lt;=" &amp; $A116, Table2[AwayTeam], C$1)+SUMIFS(Table2[NewPointsHome],Table2[GameDate], "&lt;=" &amp; $A116, Table2[HomeTeam], C$1)</f>
        <v>22</v>
      </c>
      <c r="D116" s="145">
        <f>SUMIFS(Table2[NewPointsAway],Table2[GameDate], "&lt;=" &amp; $A116, Table2[AwayTeam], D$1)+SUMIFS(Table2[NewPointsHome],Table2[GameDate], "&lt;=" &amp; $A116, Table2[HomeTeam], D$1)</f>
        <v>14</v>
      </c>
      <c r="E116" s="145">
        <f>SUMIFS(Table2[NewPointsAway],Table2[GameDate], "&lt;=" &amp; $A116, Table2[AwayTeam], E$1)+SUMIFS(Table2[NewPointsHome],Table2[GameDate], "&lt;=" &amp; $A116, Table2[HomeTeam], E$1)</f>
        <v>22</v>
      </c>
      <c r="F116" s="145">
        <f>SUMIFS(Table2[NewPointsAway],Table2[GameDate], "&lt;=" &amp; $A116, Table2[AwayTeam], F$1)+SUMIFS(Table2[NewPointsHome],Table2[GameDate], "&lt;=" &amp; $A116, Table2[HomeTeam], F$1)</f>
        <v>17</v>
      </c>
      <c r="G116" s="145">
        <f>SUMIFS(Table2[NewPointsAway],Table2[GameDate], "&lt;=" &amp; $A116, Table2[AwayTeam], G$1)+SUMIFS(Table2[NewPointsHome],Table2[GameDate], "&lt;=" &amp; $A116, Table2[HomeTeam], G$1)</f>
        <v>10</v>
      </c>
      <c r="H116" s="145">
        <f>SUMIFS(Table2[NewPointsAway],Table2[GameDate], "&lt;=" &amp; $A116, Table2[AwayTeam], H$1)+SUMIFS(Table2[NewPointsHome],Table2[GameDate], "&lt;=" &amp; $A116, Table2[HomeTeam], H$1)</f>
        <v>19</v>
      </c>
      <c r="I116" s="145">
        <f>SUMIFS(Table2[NewPointsAway],Table2[GameDate], "&lt;=" &amp; $A116, Table2[AwayTeam], I$1)+SUMIFS(Table2[NewPointsHome],Table2[GameDate], "&lt;=" &amp; $A116, Table2[HomeTeam], I$1)</f>
        <v>27</v>
      </c>
      <c r="J116" s="145">
        <f>SUMIFS(Table2[NewPointsAway],Table2[GameDate], "&lt;=" &amp; $A116, Table2[AwayTeam], J$1)+SUMIFS(Table2[NewPointsHome],Table2[GameDate], "&lt;=" &amp; $A116, Table2[HomeTeam], J$1)</f>
        <v>23</v>
      </c>
      <c r="K116" s="145">
        <f>SUMIFS(Table2[NewPointsAway],Table2[GameDate], "&lt;=" &amp; $A116, Table2[AwayTeam], K$1)+SUMIFS(Table2[NewPointsHome],Table2[GameDate], "&lt;=" &amp; $A116, Table2[HomeTeam], K$1)</f>
        <v>18</v>
      </c>
      <c r="L116" s="145">
        <f>SUMIFS(Table2[NewPointsAway],Table2[GameDate], "&lt;=" &amp; $A116, Table2[AwayTeam], L$1)+SUMIFS(Table2[NewPointsHome],Table2[GameDate], "&lt;=" &amp; $A116, Table2[HomeTeam], L$1)</f>
        <v>20</v>
      </c>
      <c r="M116" s="145">
        <f>SUMIFS(Table2[NewPointsAway],Table2[GameDate], "&lt;=" &amp; $A116, Table2[AwayTeam], M$1)+SUMIFS(Table2[NewPointsHome],Table2[GameDate], "&lt;=" &amp; $A116, Table2[HomeTeam], M$1)</f>
        <v>17</v>
      </c>
      <c r="N116" s="145">
        <f>SUMIFS(Table2[NewPointsAway],Table2[GameDate], "&lt;=" &amp; $A116, Table2[AwayTeam], N$1)+SUMIFS(Table2[NewPointsHome],Table2[GameDate], "&lt;=" &amp; $A116, Table2[HomeTeam], N$1)</f>
        <v>20</v>
      </c>
      <c r="O116" s="145">
        <f>SUMIFS(Table2[NewPointsAway],Table2[GameDate], "&lt;=" &amp; $A116, Table2[AwayTeam], O$1)+SUMIFS(Table2[NewPointsHome],Table2[GameDate], "&lt;=" &amp; $A116, Table2[HomeTeam], O$1)</f>
        <v>18</v>
      </c>
      <c r="P116" s="145">
        <f>SUMIFS(Table2[NewPointsAway],Table2[GameDate], "&lt;=" &amp; $A116, Table2[AwayTeam], P$1)+SUMIFS(Table2[NewPointsHome],Table2[GameDate], "&lt;=" &amp; $A116, Table2[HomeTeam], P$1)</f>
        <v>22</v>
      </c>
      <c r="Q116" s="145">
        <f>SUMIFS(Table2[NewPointsAway],Table2[GameDate], "&lt;=" &amp; $A116, Table2[AwayTeam], Q$1)+SUMIFS(Table2[NewPointsHome],Table2[GameDate], "&lt;=" &amp; $A116, Table2[HomeTeam], Q$1)</f>
        <v>23</v>
      </c>
      <c r="R116" s="145">
        <f>SUMIFS(Table2[NewPointsAway],Table2[GameDate], "&lt;=" &amp; $A116, Table2[AwayTeam], R$1)+SUMIFS(Table2[NewPointsHome],Table2[GameDate], "&lt;=" &amp; $A116, Table2[HomeTeam], R$1)</f>
        <v>14</v>
      </c>
      <c r="S116" s="145">
        <f>SUMIFS(Table2[NewPointsAway],Table2[GameDate], "&lt;=" &amp; $A116, Table2[AwayTeam], S$1)+SUMIFS(Table2[NewPointsHome],Table2[GameDate], "&lt;=" &amp; $A116, Table2[HomeTeam], S$1)</f>
        <v>18</v>
      </c>
      <c r="T116" s="145">
        <f>SUMIFS(Table2[NewPointsAway],Table2[GameDate], "&lt;=" &amp; $A116, Table2[AwayTeam], T$1)+SUMIFS(Table2[NewPointsHome],Table2[GameDate], "&lt;=" &amp; $A116, Table2[HomeTeam], T$1)</f>
        <v>20</v>
      </c>
      <c r="U116" s="145">
        <f>SUMIFS(Table2[NewPointsAway],Table2[GameDate], "&lt;=" &amp; $A116, Table2[AwayTeam], U$1)+SUMIFS(Table2[NewPointsHome],Table2[GameDate], "&lt;=" &amp; $A116, Table2[HomeTeam], U$1)</f>
        <v>20</v>
      </c>
      <c r="V116" s="145">
        <f>SUMIFS(Table2[NewPointsAway],Table2[GameDate], "&lt;=" &amp; $A116, Table2[AwayTeam], V$1)+SUMIFS(Table2[NewPointsHome],Table2[GameDate], "&lt;=" &amp; $A116, Table2[HomeTeam], V$1)</f>
        <v>19</v>
      </c>
      <c r="W116" s="145">
        <f>SUMIFS(Table2[NewPointsAway],Table2[GameDate], "&lt;=" &amp; $A116, Table2[AwayTeam], W$1)+SUMIFS(Table2[NewPointsHome],Table2[GameDate], "&lt;=" &amp; $A116, Table2[HomeTeam], W$1)</f>
        <v>21</v>
      </c>
      <c r="X116" s="145">
        <f>SUMIFS(Table2[NewPointsAway],Table2[GameDate], "&lt;=" &amp; $A116, Table2[AwayTeam], X$1)+SUMIFS(Table2[NewPointsHome],Table2[GameDate], "&lt;=" &amp; $A116, Table2[HomeTeam], X$1)</f>
        <v>19</v>
      </c>
      <c r="Y116" s="145">
        <f>SUMIFS(Table2[NewPointsAway],Table2[GameDate], "&lt;=" &amp; $A116, Table2[AwayTeam], Y$1)+SUMIFS(Table2[NewPointsHome],Table2[GameDate], "&lt;=" &amp; $A116, Table2[HomeTeam], Y$1)</f>
        <v>19</v>
      </c>
      <c r="Z116" s="145">
        <f>SUMIFS(Table2[NewPointsAway],Table2[GameDate], "&lt;=" &amp; $A116, Table2[AwayTeam], Z$1)+SUMIFS(Table2[NewPointsHome],Table2[GameDate], "&lt;=" &amp; $A116, Table2[HomeTeam], Z$1)</f>
        <v>15</v>
      </c>
      <c r="AA116" s="145">
        <f>SUMIFS(Table2[NewPointsAway],Table2[GameDate], "&lt;=" &amp; $A116, Table2[AwayTeam], AA$1)+SUMIFS(Table2[NewPointsHome],Table2[GameDate], "&lt;=" &amp; $A116, Table2[HomeTeam], AA$1)</f>
        <v>18</v>
      </c>
      <c r="AB116" s="145">
        <f>SUMIFS(Table2[NewPointsAway],Table2[GameDate], "&lt;=" &amp; $A116, Table2[AwayTeam], AB$1)+SUMIFS(Table2[NewPointsHome],Table2[GameDate], "&lt;=" &amp; $A116, Table2[HomeTeam], AB$1)</f>
        <v>17</v>
      </c>
      <c r="AC116" s="145">
        <f>SUMIFS(Table2[NewPointsAway],Table2[GameDate], "&lt;=" &amp; $A116, Table2[AwayTeam], AC$1)+SUMIFS(Table2[NewPointsHome],Table2[GameDate], "&lt;=" &amp; $A116, Table2[HomeTeam], AC$1)</f>
        <v>18</v>
      </c>
      <c r="AD116" s="145">
        <f>SUMIFS(Table2[NewPointsAway],Table2[GameDate], "&lt;=" &amp; $A116, Table2[AwayTeam], AD$1)+SUMIFS(Table2[NewPointsHome],Table2[GameDate], "&lt;=" &amp; $A116, Table2[HomeTeam], AD$1)</f>
        <v>17</v>
      </c>
      <c r="AE116" s="145">
        <f>SUMIFS(Table2[NewPointsAway],Table2[GameDate], "&lt;=" &amp; $A116, Table2[AwayTeam], AE$1)+SUMIFS(Table2[NewPointsHome],Table2[GameDate], "&lt;=" &amp; $A116, Table2[HomeTeam], AE$1)</f>
        <v>18</v>
      </c>
      <c r="AF116" s="145">
        <f>SUMIFS(Table2[NewPointsAway],Table2[GameDate], "&lt;=" &amp; $A116, Table2[AwayTeam], AF$1)+SUMIFS(Table2[NewPointsHome],Table2[GameDate], "&lt;=" &amp; $A116, Table2[HomeTeam], AF$1)</f>
        <v>20</v>
      </c>
      <c r="AG116" s="145">
        <f>SUMIFS(Table2[NewPointsAway],Table2[GameDate], "&lt;=" &amp; $A116, Table2[AwayTeam], AG$1)+SUMIFS(Table2[NewPointsHome],Table2[GameDate], "&lt;=" &amp; $A116, Table2[HomeTeam], AG$1)</f>
        <v>17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23</v>
      </c>
      <c r="C117" s="145">
        <f>SUMIFS(Table2[NewPointsAway],Table2[GameDate], "&lt;=" &amp; $A117, Table2[AwayTeam], C$1)+SUMIFS(Table2[NewPointsHome],Table2[GameDate], "&lt;=" &amp; $A117, Table2[HomeTeam], C$1)</f>
        <v>22</v>
      </c>
      <c r="D117" s="145">
        <f>SUMIFS(Table2[NewPointsAway],Table2[GameDate], "&lt;=" &amp; $A117, Table2[AwayTeam], D$1)+SUMIFS(Table2[NewPointsHome],Table2[GameDate], "&lt;=" &amp; $A117, Table2[HomeTeam], D$1)</f>
        <v>14</v>
      </c>
      <c r="E117" s="145">
        <f>SUMIFS(Table2[NewPointsAway],Table2[GameDate], "&lt;=" &amp; $A117, Table2[AwayTeam], E$1)+SUMIFS(Table2[NewPointsHome],Table2[GameDate], "&lt;=" &amp; $A117, Table2[HomeTeam], E$1)</f>
        <v>22</v>
      </c>
      <c r="F117" s="145">
        <f>SUMIFS(Table2[NewPointsAway],Table2[GameDate], "&lt;=" &amp; $A117, Table2[AwayTeam], F$1)+SUMIFS(Table2[NewPointsHome],Table2[GameDate], "&lt;=" &amp; $A117, Table2[HomeTeam], F$1)</f>
        <v>17</v>
      </c>
      <c r="G117" s="145">
        <f>SUMIFS(Table2[NewPointsAway],Table2[GameDate], "&lt;=" &amp; $A117, Table2[AwayTeam], G$1)+SUMIFS(Table2[NewPointsHome],Table2[GameDate], "&lt;=" &amp; $A117, Table2[HomeTeam], G$1)</f>
        <v>10</v>
      </c>
      <c r="H117" s="145">
        <f>SUMIFS(Table2[NewPointsAway],Table2[GameDate], "&lt;=" &amp; $A117, Table2[AwayTeam], H$1)+SUMIFS(Table2[NewPointsHome],Table2[GameDate], "&lt;=" &amp; $A117, Table2[HomeTeam], H$1)</f>
        <v>19</v>
      </c>
      <c r="I117" s="145">
        <f>SUMIFS(Table2[NewPointsAway],Table2[GameDate], "&lt;=" &amp; $A117, Table2[AwayTeam], I$1)+SUMIFS(Table2[NewPointsHome],Table2[GameDate], "&lt;=" &amp; $A117, Table2[HomeTeam], I$1)</f>
        <v>27</v>
      </c>
      <c r="J117" s="145">
        <f>SUMIFS(Table2[NewPointsAway],Table2[GameDate], "&lt;=" &amp; $A117, Table2[AwayTeam], J$1)+SUMIFS(Table2[NewPointsHome],Table2[GameDate], "&lt;=" &amp; $A117, Table2[HomeTeam], J$1)</f>
        <v>23</v>
      </c>
      <c r="K117" s="145">
        <f>SUMIFS(Table2[NewPointsAway],Table2[GameDate], "&lt;=" &amp; $A117, Table2[AwayTeam], K$1)+SUMIFS(Table2[NewPointsHome],Table2[GameDate], "&lt;=" &amp; $A117, Table2[HomeTeam], K$1)</f>
        <v>18</v>
      </c>
      <c r="L117" s="145">
        <f>SUMIFS(Table2[NewPointsAway],Table2[GameDate], "&lt;=" &amp; $A117, Table2[AwayTeam], L$1)+SUMIFS(Table2[NewPointsHome],Table2[GameDate], "&lt;=" &amp; $A117, Table2[HomeTeam], L$1)</f>
        <v>20</v>
      </c>
      <c r="M117" s="145">
        <f>SUMIFS(Table2[NewPointsAway],Table2[GameDate], "&lt;=" &amp; $A117, Table2[AwayTeam], M$1)+SUMIFS(Table2[NewPointsHome],Table2[GameDate], "&lt;=" &amp; $A117, Table2[HomeTeam], M$1)</f>
        <v>17</v>
      </c>
      <c r="N117" s="145">
        <f>SUMIFS(Table2[NewPointsAway],Table2[GameDate], "&lt;=" &amp; $A117, Table2[AwayTeam], N$1)+SUMIFS(Table2[NewPointsHome],Table2[GameDate], "&lt;=" &amp; $A117, Table2[HomeTeam], N$1)</f>
        <v>20</v>
      </c>
      <c r="O117" s="145">
        <f>SUMIFS(Table2[NewPointsAway],Table2[GameDate], "&lt;=" &amp; $A117, Table2[AwayTeam], O$1)+SUMIFS(Table2[NewPointsHome],Table2[GameDate], "&lt;=" &amp; $A117, Table2[HomeTeam], O$1)</f>
        <v>18</v>
      </c>
      <c r="P117" s="145">
        <f>SUMIFS(Table2[NewPointsAway],Table2[GameDate], "&lt;=" &amp; $A117, Table2[AwayTeam], P$1)+SUMIFS(Table2[NewPointsHome],Table2[GameDate], "&lt;=" &amp; $A117, Table2[HomeTeam], P$1)</f>
        <v>22</v>
      </c>
      <c r="Q117" s="145">
        <f>SUMIFS(Table2[NewPointsAway],Table2[GameDate], "&lt;=" &amp; $A117, Table2[AwayTeam], Q$1)+SUMIFS(Table2[NewPointsHome],Table2[GameDate], "&lt;=" &amp; $A117, Table2[HomeTeam], Q$1)</f>
        <v>23</v>
      </c>
      <c r="R117" s="145">
        <f>SUMIFS(Table2[NewPointsAway],Table2[GameDate], "&lt;=" &amp; $A117, Table2[AwayTeam], R$1)+SUMIFS(Table2[NewPointsHome],Table2[GameDate], "&lt;=" &amp; $A117, Table2[HomeTeam], R$1)</f>
        <v>14</v>
      </c>
      <c r="S117" s="145">
        <f>SUMIFS(Table2[NewPointsAway],Table2[GameDate], "&lt;=" &amp; $A117, Table2[AwayTeam], S$1)+SUMIFS(Table2[NewPointsHome],Table2[GameDate], "&lt;=" &amp; $A117, Table2[HomeTeam], S$1)</f>
        <v>18</v>
      </c>
      <c r="T117" s="145">
        <f>SUMIFS(Table2[NewPointsAway],Table2[GameDate], "&lt;=" &amp; $A117, Table2[AwayTeam], T$1)+SUMIFS(Table2[NewPointsHome],Table2[GameDate], "&lt;=" &amp; $A117, Table2[HomeTeam], T$1)</f>
        <v>20</v>
      </c>
      <c r="U117" s="145">
        <f>SUMIFS(Table2[NewPointsAway],Table2[GameDate], "&lt;=" &amp; $A117, Table2[AwayTeam], U$1)+SUMIFS(Table2[NewPointsHome],Table2[GameDate], "&lt;=" &amp; $A117, Table2[HomeTeam], U$1)</f>
        <v>20</v>
      </c>
      <c r="V117" s="145">
        <f>SUMIFS(Table2[NewPointsAway],Table2[GameDate], "&lt;=" &amp; $A117, Table2[AwayTeam], V$1)+SUMIFS(Table2[NewPointsHome],Table2[GameDate], "&lt;=" &amp; $A117, Table2[HomeTeam], V$1)</f>
        <v>19</v>
      </c>
      <c r="W117" s="145">
        <f>SUMIFS(Table2[NewPointsAway],Table2[GameDate], "&lt;=" &amp; $A117, Table2[AwayTeam], W$1)+SUMIFS(Table2[NewPointsHome],Table2[GameDate], "&lt;=" &amp; $A117, Table2[HomeTeam], W$1)</f>
        <v>21</v>
      </c>
      <c r="X117" s="145">
        <f>SUMIFS(Table2[NewPointsAway],Table2[GameDate], "&lt;=" &amp; $A117, Table2[AwayTeam], X$1)+SUMIFS(Table2[NewPointsHome],Table2[GameDate], "&lt;=" &amp; $A117, Table2[HomeTeam], X$1)</f>
        <v>19</v>
      </c>
      <c r="Y117" s="145">
        <f>SUMIFS(Table2[NewPointsAway],Table2[GameDate], "&lt;=" &amp; $A117, Table2[AwayTeam], Y$1)+SUMIFS(Table2[NewPointsHome],Table2[GameDate], "&lt;=" &amp; $A117, Table2[HomeTeam], Y$1)</f>
        <v>19</v>
      </c>
      <c r="Z117" s="145">
        <f>SUMIFS(Table2[NewPointsAway],Table2[GameDate], "&lt;=" &amp; $A117, Table2[AwayTeam], Z$1)+SUMIFS(Table2[NewPointsHome],Table2[GameDate], "&lt;=" &amp; $A117, Table2[HomeTeam], Z$1)</f>
        <v>15</v>
      </c>
      <c r="AA117" s="145">
        <f>SUMIFS(Table2[NewPointsAway],Table2[GameDate], "&lt;=" &amp; $A117, Table2[AwayTeam], AA$1)+SUMIFS(Table2[NewPointsHome],Table2[GameDate], "&lt;=" &amp; $A117, Table2[HomeTeam], AA$1)</f>
        <v>18</v>
      </c>
      <c r="AB117" s="145">
        <f>SUMIFS(Table2[NewPointsAway],Table2[GameDate], "&lt;=" &amp; $A117, Table2[AwayTeam], AB$1)+SUMIFS(Table2[NewPointsHome],Table2[GameDate], "&lt;=" &amp; $A117, Table2[HomeTeam], AB$1)</f>
        <v>17</v>
      </c>
      <c r="AC117" s="145">
        <f>SUMIFS(Table2[NewPointsAway],Table2[GameDate], "&lt;=" &amp; $A117, Table2[AwayTeam], AC$1)+SUMIFS(Table2[NewPointsHome],Table2[GameDate], "&lt;=" &amp; $A117, Table2[HomeTeam], AC$1)</f>
        <v>18</v>
      </c>
      <c r="AD117" s="145">
        <f>SUMIFS(Table2[NewPointsAway],Table2[GameDate], "&lt;=" &amp; $A117, Table2[AwayTeam], AD$1)+SUMIFS(Table2[NewPointsHome],Table2[GameDate], "&lt;=" &amp; $A117, Table2[HomeTeam], AD$1)</f>
        <v>17</v>
      </c>
      <c r="AE117" s="145">
        <f>SUMIFS(Table2[NewPointsAway],Table2[GameDate], "&lt;=" &amp; $A117, Table2[AwayTeam], AE$1)+SUMIFS(Table2[NewPointsHome],Table2[GameDate], "&lt;=" &amp; $A117, Table2[HomeTeam], AE$1)</f>
        <v>18</v>
      </c>
      <c r="AF117" s="145">
        <f>SUMIFS(Table2[NewPointsAway],Table2[GameDate], "&lt;=" &amp; $A117, Table2[AwayTeam], AF$1)+SUMIFS(Table2[NewPointsHome],Table2[GameDate], "&lt;=" &amp; $A117, Table2[HomeTeam], AF$1)</f>
        <v>20</v>
      </c>
      <c r="AG117" s="145">
        <f>SUMIFS(Table2[NewPointsAway],Table2[GameDate], "&lt;=" &amp; $A117, Table2[AwayTeam], AG$1)+SUMIFS(Table2[NewPointsHome],Table2[GameDate], "&lt;=" &amp; $A117, Table2[HomeTeam], AG$1)</f>
        <v>17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23</v>
      </c>
      <c r="C118" s="145">
        <f>SUMIFS(Table2[NewPointsAway],Table2[GameDate], "&lt;=" &amp; $A118, Table2[AwayTeam], C$1)+SUMIFS(Table2[NewPointsHome],Table2[GameDate], "&lt;=" &amp; $A118, Table2[HomeTeam], C$1)</f>
        <v>22</v>
      </c>
      <c r="D118" s="145">
        <f>SUMIFS(Table2[NewPointsAway],Table2[GameDate], "&lt;=" &amp; $A118, Table2[AwayTeam], D$1)+SUMIFS(Table2[NewPointsHome],Table2[GameDate], "&lt;=" &amp; $A118, Table2[HomeTeam], D$1)</f>
        <v>14</v>
      </c>
      <c r="E118" s="145">
        <f>SUMIFS(Table2[NewPointsAway],Table2[GameDate], "&lt;=" &amp; $A118, Table2[AwayTeam], E$1)+SUMIFS(Table2[NewPointsHome],Table2[GameDate], "&lt;=" &amp; $A118, Table2[HomeTeam], E$1)</f>
        <v>22</v>
      </c>
      <c r="F118" s="145">
        <f>SUMIFS(Table2[NewPointsAway],Table2[GameDate], "&lt;=" &amp; $A118, Table2[AwayTeam], F$1)+SUMIFS(Table2[NewPointsHome],Table2[GameDate], "&lt;=" &amp; $A118, Table2[HomeTeam], F$1)</f>
        <v>17</v>
      </c>
      <c r="G118" s="145">
        <f>SUMIFS(Table2[NewPointsAway],Table2[GameDate], "&lt;=" &amp; $A118, Table2[AwayTeam], G$1)+SUMIFS(Table2[NewPointsHome],Table2[GameDate], "&lt;=" &amp; $A118, Table2[HomeTeam], G$1)</f>
        <v>10</v>
      </c>
      <c r="H118" s="145">
        <f>SUMIFS(Table2[NewPointsAway],Table2[GameDate], "&lt;=" &amp; $A118, Table2[AwayTeam], H$1)+SUMIFS(Table2[NewPointsHome],Table2[GameDate], "&lt;=" &amp; $A118, Table2[HomeTeam], H$1)</f>
        <v>19</v>
      </c>
      <c r="I118" s="145">
        <f>SUMIFS(Table2[NewPointsAway],Table2[GameDate], "&lt;=" &amp; $A118, Table2[AwayTeam], I$1)+SUMIFS(Table2[NewPointsHome],Table2[GameDate], "&lt;=" &amp; $A118, Table2[HomeTeam], I$1)</f>
        <v>27</v>
      </c>
      <c r="J118" s="145">
        <f>SUMIFS(Table2[NewPointsAway],Table2[GameDate], "&lt;=" &amp; $A118, Table2[AwayTeam], J$1)+SUMIFS(Table2[NewPointsHome],Table2[GameDate], "&lt;=" &amp; $A118, Table2[HomeTeam], J$1)</f>
        <v>23</v>
      </c>
      <c r="K118" s="145">
        <f>SUMIFS(Table2[NewPointsAway],Table2[GameDate], "&lt;=" &amp; $A118, Table2[AwayTeam], K$1)+SUMIFS(Table2[NewPointsHome],Table2[GameDate], "&lt;=" &amp; $A118, Table2[HomeTeam], K$1)</f>
        <v>18</v>
      </c>
      <c r="L118" s="145">
        <f>SUMIFS(Table2[NewPointsAway],Table2[GameDate], "&lt;=" &amp; $A118, Table2[AwayTeam], L$1)+SUMIFS(Table2[NewPointsHome],Table2[GameDate], "&lt;=" &amp; $A118, Table2[HomeTeam], L$1)</f>
        <v>20</v>
      </c>
      <c r="M118" s="145">
        <f>SUMIFS(Table2[NewPointsAway],Table2[GameDate], "&lt;=" &amp; $A118, Table2[AwayTeam], M$1)+SUMIFS(Table2[NewPointsHome],Table2[GameDate], "&lt;=" &amp; $A118, Table2[HomeTeam], M$1)</f>
        <v>17</v>
      </c>
      <c r="N118" s="145">
        <f>SUMIFS(Table2[NewPointsAway],Table2[GameDate], "&lt;=" &amp; $A118, Table2[AwayTeam], N$1)+SUMIFS(Table2[NewPointsHome],Table2[GameDate], "&lt;=" &amp; $A118, Table2[HomeTeam], N$1)</f>
        <v>20</v>
      </c>
      <c r="O118" s="145">
        <f>SUMIFS(Table2[NewPointsAway],Table2[GameDate], "&lt;=" &amp; $A118, Table2[AwayTeam], O$1)+SUMIFS(Table2[NewPointsHome],Table2[GameDate], "&lt;=" &amp; $A118, Table2[HomeTeam], O$1)</f>
        <v>18</v>
      </c>
      <c r="P118" s="145">
        <f>SUMIFS(Table2[NewPointsAway],Table2[GameDate], "&lt;=" &amp; $A118, Table2[AwayTeam], P$1)+SUMIFS(Table2[NewPointsHome],Table2[GameDate], "&lt;=" &amp; $A118, Table2[HomeTeam], P$1)</f>
        <v>22</v>
      </c>
      <c r="Q118" s="145">
        <f>SUMIFS(Table2[NewPointsAway],Table2[GameDate], "&lt;=" &amp; $A118, Table2[AwayTeam], Q$1)+SUMIFS(Table2[NewPointsHome],Table2[GameDate], "&lt;=" &amp; $A118, Table2[HomeTeam], Q$1)</f>
        <v>23</v>
      </c>
      <c r="R118" s="145">
        <f>SUMIFS(Table2[NewPointsAway],Table2[GameDate], "&lt;=" &amp; $A118, Table2[AwayTeam], R$1)+SUMIFS(Table2[NewPointsHome],Table2[GameDate], "&lt;=" &amp; $A118, Table2[HomeTeam], R$1)</f>
        <v>14</v>
      </c>
      <c r="S118" s="145">
        <f>SUMIFS(Table2[NewPointsAway],Table2[GameDate], "&lt;=" &amp; $A118, Table2[AwayTeam], S$1)+SUMIFS(Table2[NewPointsHome],Table2[GameDate], "&lt;=" &amp; $A118, Table2[HomeTeam], S$1)</f>
        <v>18</v>
      </c>
      <c r="T118" s="145">
        <f>SUMIFS(Table2[NewPointsAway],Table2[GameDate], "&lt;=" &amp; $A118, Table2[AwayTeam], T$1)+SUMIFS(Table2[NewPointsHome],Table2[GameDate], "&lt;=" &amp; $A118, Table2[HomeTeam], T$1)</f>
        <v>20</v>
      </c>
      <c r="U118" s="145">
        <f>SUMIFS(Table2[NewPointsAway],Table2[GameDate], "&lt;=" &amp; $A118, Table2[AwayTeam], U$1)+SUMIFS(Table2[NewPointsHome],Table2[GameDate], "&lt;=" &amp; $A118, Table2[HomeTeam], U$1)</f>
        <v>20</v>
      </c>
      <c r="V118" s="145">
        <f>SUMIFS(Table2[NewPointsAway],Table2[GameDate], "&lt;=" &amp; $A118, Table2[AwayTeam], V$1)+SUMIFS(Table2[NewPointsHome],Table2[GameDate], "&lt;=" &amp; $A118, Table2[HomeTeam], V$1)</f>
        <v>19</v>
      </c>
      <c r="W118" s="145">
        <f>SUMIFS(Table2[NewPointsAway],Table2[GameDate], "&lt;=" &amp; $A118, Table2[AwayTeam], W$1)+SUMIFS(Table2[NewPointsHome],Table2[GameDate], "&lt;=" &amp; $A118, Table2[HomeTeam], W$1)</f>
        <v>21</v>
      </c>
      <c r="X118" s="145">
        <f>SUMIFS(Table2[NewPointsAway],Table2[GameDate], "&lt;=" &amp; $A118, Table2[AwayTeam], X$1)+SUMIFS(Table2[NewPointsHome],Table2[GameDate], "&lt;=" &amp; $A118, Table2[HomeTeam], X$1)</f>
        <v>19</v>
      </c>
      <c r="Y118" s="145">
        <f>SUMIFS(Table2[NewPointsAway],Table2[GameDate], "&lt;=" &amp; $A118, Table2[AwayTeam], Y$1)+SUMIFS(Table2[NewPointsHome],Table2[GameDate], "&lt;=" &amp; $A118, Table2[HomeTeam], Y$1)</f>
        <v>19</v>
      </c>
      <c r="Z118" s="145">
        <f>SUMIFS(Table2[NewPointsAway],Table2[GameDate], "&lt;=" &amp; $A118, Table2[AwayTeam], Z$1)+SUMIFS(Table2[NewPointsHome],Table2[GameDate], "&lt;=" &amp; $A118, Table2[HomeTeam], Z$1)</f>
        <v>15</v>
      </c>
      <c r="AA118" s="145">
        <f>SUMIFS(Table2[NewPointsAway],Table2[GameDate], "&lt;=" &amp; $A118, Table2[AwayTeam], AA$1)+SUMIFS(Table2[NewPointsHome],Table2[GameDate], "&lt;=" &amp; $A118, Table2[HomeTeam], AA$1)</f>
        <v>18</v>
      </c>
      <c r="AB118" s="145">
        <f>SUMIFS(Table2[NewPointsAway],Table2[GameDate], "&lt;=" &amp; $A118, Table2[AwayTeam], AB$1)+SUMIFS(Table2[NewPointsHome],Table2[GameDate], "&lt;=" &amp; $A118, Table2[HomeTeam], AB$1)</f>
        <v>17</v>
      </c>
      <c r="AC118" s="145">
        <f>SUMIFS(Table2[NewPointsAway],Table2[GameDate], "&lt;=" &amp; $A118, Table2[AwayTeam], AC$1)+SUMIFS(Table2[NewPointsHome],Table2[GameDate], "&lt;=" &amp; $A118, Table2[HomeTeam], AC$1)</f>
        <v>18</v>
      </c>
      <c r="AD118" s="145">
        <f>SUMIFS(Table2[NewPointsAway],Table2[GameDate], "&lt;=" &amp; $A118, Table2[AwayTeam], AD$1)+SUMIFS(Table2[NewPointsHome],Table2[GameDate], "&lt;=" &amp; $A118, Table2[HomeTeam], AD$1)</f>
        <v>17</v>
      </c>
      <c r="AE118" s="145">
        <f>SUMIFS(Table2[NewPointsAway],Table2[GameDate], "&lt;=" &amp; $A118, Table2[AwayTeam], AE$1)+SUMIFS(Table2[NewPointsHome],Table2[GameDate], "&lt;=" &amp; $A118, Table2[HomeTeam], AE$1)</f>
        <v>18</v>
      </c>
      <c r="AF118" s="145">
        <f>SUMIFS(Table2[NewPointsAway],Table2[GameDate], "&lt;=" &amp; $A118, Table2[AwayTeam], AF$1)+SUMIFS(Table2[NewPointsHome],Table2[GameDate], "&lt;=" &amp; $A118, Table2[HomeTeam], AF$1)</f>
        <v>20</v>
      </c>
      <c r="AG118" s="145">
        <f>SUMIFS(Table2[NewPointsAway],Table2[GameDate], "&lt;=" &amp; $A118, Table2[AwayTeam], AG$1)+SUMIFS(Table2[NewPointsHome],Table2[GameDate], "&lt;=" &amp; $A118, Table2[HomeTeam], AG$1)</f>
        <v>17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23</v>
      </c>
      <c r="C119" s="145">
        <f>SUMIFS(Table2[NewPointsAway],Table2[GameDate], "&lt;=" &amp; $A119, Table2[AwayTeam], C$1)+SUMIFS(Table2[NewPointsHome],Table2[GameDate], "&lt;=" &amp; $A119, Table2[HomeTeam], C$1)</f>
        <v>22</v>
      </c>
      <c r="D119" s="145">
        <f>SUMIFS(Table2[NewPointsAway],Table2[GameDate], "&lt;=" &amp; $A119, Table2[AwayTeam], D$1)+SUMIFS(Table2[NewPointsHome],Table2[GameDate], "&lt;=" &amp; $A119, Table2[HomeTeam], D$1)</f>
        <v>14</v>
      </c>
      <c r="E119" s="145">
        <f>SUMIFS(Table2[NewPointsAway],Table2[GameDate], "&lt;=" &amp; $A119, Table2[AwayTeam], E$1)+SUMIFS(Table2[NewPointsHome],Table2[GameDate], "&lt;=" &amp; $A119, Table2[HomeTeam], E$1)</f>
        <v>22</v>
      </c>
      <c r="F119" s="145">
        <f>SUMIFS(Table2[NewPointsAway],Table2[GameDate], "&lt;=" &amp; $A119, Table2[AwayTeam], F$1)+SUMIFS(Table2[NewPointsHome],Table2[GameDate], "&lt;=" &amp; $A119, Table2[HomeTeam], F$1)</f>
        <v>17</v>
      </c>
      <c r="G119" s="145">
        <f>SUMIFS(Table2[NewPointsAway],Table2[GameDate], "&lt;=" &amp; $A119, Table2[AwayTeam], G$1)+SUMIFS(Table2[NewPointsHome],Table2[GameDate], "&lt;=" &amp; $A119, Table2[HomeTeam], G$1)</f>
        <v>10</v>
      </c>
      <c r="H119" s="145">
        <f>SUMIFS(Table2[NewPointsAway],Table2[GameDate], "&lt;=" &amp; $A119, Table2[AwayTeam], H$1)+SUMIFS(Table2[NewPointsHome],Table2[GameDate], "&lt;=" &amp; $A119, Table2[HomeTeam], H$1)</f>
        <v>19</v>
      </c>
      <c r="I119" s="145">
        <f>SUMIFS(Table2[NewPointsAway],Table2[GameDate], "&lt;=" &amp; $A119, Table2[AwayTeam], I$1)+SUMIFS(Table2[NewPointsHome],Table2[GameDate], "&lt;=" &amp; $A119, Table2[HomeTeam], I$1)</f>
        <v>27</v>
      </c>
      <c r="J119" s="145">
        <f>SUMIFS(Table2[NewPointsAway],Table2[GameDate], "&lt;=" &amp; $A119, Table2[AwayTeam], J$1)+SUMIFS(Table2[NewPointsHome],Table2[GameDate], "&lt;=" &amp; $A119, Table2[HomeTeam], J$1)</f>
        <v>23</v>
      </c>
      <c r="K119" s="145">
        <f>SUMIFS(Table2[NewPointsAway],Table2[GameDate], "&lt;=" &amp; $A119, Table2[AwayTeam], K$1)+SUMIFS(Table2[NewPointsHome],Table2[GameDate], "&lt;=" &amp; $A119, Table2[HomeTeam], K$1)</f>
        <v>18</v>
      </c>
      <c r="L119" s="145">
        <f>SUMIFS(Table2[NewPointsAway],Table2[GameDate], "&lt;=" &amp; $A119, Table2[AwayTeam], L$1)+SUMIFS(Table2[NewPointsHome],Table2[GameDate], "&lt;=" &amp; $A119, Table2[HomeTeam], L$1)</f>
        <v>20</v>
      </c>
      <c r="M119" s="145">
        <f>SUMIFS(Table2[NewPointsAway],Table2[GameDate], "&lt;=" &amp; $A119, Table2[AwayTeam], M$1)+SUMIFS(Table2[NewPointsHome],Table2[GameDate], "&lt;=" &amp; $A119, Table2[HomeTeam], M$1)</f>
        <v>17</v>
      </c>
      <c r="N119" s="145">
        <f>SUMIFS(Table2[NewPointsAway],Table2[GameDate], "&lt;=" &amp; $A119, Table2[AwayTeam], N$1)+SUMIFS(Table2[NewPointsHome],Table2[GameDate], "&lt;=" &amp; $A119, Table2[HomeTeam], N$1)</f>
        <v>20</v>
      </c>
      <c r="O119" s="145">
        <f>SUMIFS(Table2[NewPointsAway],Table2[GameDate], "&lt;=" &amp; $A119, Table2[AwayTeam], O$1)+SUMIFS(Table2[NewPointsHome],Table2[GameDate], "&lt;=" &amp; $A119, Table2[HomeTeam], O$1)</f>
        <v>18</v>
      </c>
      <c r="P119" s="145">
        <f>SUMIFS(Table2[NewPointsAway],Table2[GameDate], "&lt;=" &amp; $A119, Table2[AwayTeam], P$1)+SUMIFS(Table2[NewPointsHome],Table2[GameDate], "&lt;=" &amp; $A119, Table2[HomeTeam], P$1)</f>
        <v>22</v>
      </c>
      <c r="Q119" s="145">
        <f>SUMIFS(Table2[NewPointsAway],Table2[GameDate], "&lt;=" &amp; $A119, Table2[AwayTeam], Q$1)+SUMIFS(Table2[NewPointsHome],Table2[GameDate], "&lt;=" &amp; $A119, Table2[HomeTeam], Q$1)</f>
        <v>23</v>
      </c>
      <c r="R119" s="145">
        <f>SUMIFS(Table2[NewPointsAway],Table2[GameDate], "&lt;=" &amp; $A119, Table2[AwayTeam], R$1)+SUMIFS(Table2[NewPointsHome],Table2[GameDate], "&lt;=" &amp; $A119, Table2[HomeTeam], R$1)</f>
        <v>14</v>
      </c>
      <c r="S119" s="145">
        <f>SUMIFS(Table2[NewPointsAway],Table2[GameDate], "&lt;=" &amp; $A119, Table2[AwayTeam], S$1)+SUMIFS(Table2[NewPointsHome],Table2[GameDate], "&lt;=" &amp; $A119, Table2[HomeTeam], S$1)</f>
        <v>18</v>
      </c>
      <c r="T119" s="145">
        <f>SUMIFS(Table2[NewPointsAway],Table2[GameDate], "&lt;=" &amp; $A119, Table2[AwayTeam], T$1)+SUMIFS(Table2[NewPointsHome],Table2[GameDate], "&lt;=" &amp; $A119, Table2[HomeTeam], T$1)</f>
        <v>20</v>
      </c>
      <c r="U119" s="145">
        <f>SUMIFS(Table2[NewPointsAway],Table2[GameDate], "&lt;=" &amp; $A119, Table2[AwayTeam], U$1)+SUMIFS(Table2[NewPointsHome],Table2[GameDate], "&lt;=" &amp; $A119, Table2[HomeTeam], U$1)</f>
        <v>20</v>
      </c>
      <c r="V119" s="145">
        <f>SUMIFS(Table2[NewPointsAway],Table2[GameDate], "&lt;=" &amp; $A119, Table2[AwayTeam], V$1)+SUMIFS(Table2[NewPointsHome],Table2[GameDate], "&lt;=" &amp; $A119, Table2[HomeTeam], V$1)</f>
        <v>19</v>
      </c>
      <c r="W119" s="145">
        <f>SUMIFS(Table2[NewPointsAway],Table2[GameDate], "&lt;=" &amp; $A119, Table2[AwayTeam], W$1)+SUMIFS(Table2[NewPointsHome],Table2[GameDate], "&lt;=" &amp; $A119, Table2[HomeTeam], W$1)</f>
        <v>21</v>
      </c>
      <c r="X119" s="145">
        <f>SUMIFS(Table2[NewPointsAway],Table2[GameDate], "&lt;=" &amp; $A119, Table2[AwayTeam], X$1)+SUMIFS(Table2[NewPointsHome],Table2[GameDate], "&lt;=" &amp; $A119, Table2[HomeTeam], X$1)</f>
        <v>19</v>
      </c>
      <c r="Y119" s="145">
        <f>SUMIFS(Table2[NewPointsAway],Table2[GameDate], "&lt;=" &amp; $A119, Table2[AwayTeam], Y$1)+SUMIFS(Table2[NewPointsHome],Table2[GameDate], "&lt;=" &amp; $A119, Table2[HomeTeam], Y$1)</f>
        <v>19</v>
      </c>
      <c r="Z119" s="145">
        <f>SUMIFS(Table2[NewPointsAway],Table2[GameDate], "&lt;=" &amp; $A119, Table2[AwayTeam], Z$1)+SUMIFS(Table2[NewPointsHome],Table2[GameDate], "&lt;=" &amp; $A119, Table2[HomeTeam], Z$1)</f>
        <v>15</v>
      </c>
      <c r="AA119" s="145">
        <f>SUMIFS(Table2[NewPointsAway],Table2[GameDate], "&lt;=" &amp; $A119, Table2[AwayTeam], AA$1)+SUMIFS(Table2[NewPointsHome],Table2[GameDate], "&lt;=" &amp; $A119, Table2[HomeTeam], AA$1)</f>
        <v>18</v>
      </c>
      <c r="AB119" s="145">
        <f>SUMIFS(Table2[NewPointsAway],Table2[GameDate], "&lt;=" &amp; $A119, Table2[AwayTeam], AB$1)+SUMIFS(Table2[NewPointsHome],Table2[GameDate], "&lt;=" &amp; $A119, Table2[HomeTeam], AB$1)</f>
        <v>17</v>
      </c>
      <c r="AC119" s="145">
        <f>SUMIFS(Table2[NewPointsAway],Table2[GameDate], "&lt;=" &amp; $A119, Table2[AwayTeam], AC$1)+SUMIFS(Table2[NewPointsHome],Table2[GameDate], "&lt;=" &amp; $A119, Table2[HomeTeam], AC$1)</f>
        <v>18</v>
      </c>
      <c r="AD119" s="145">
        <f>SUMIFS(Table2[NewPointsAway],Table2[GameDate], "&lt;=" &amp; $A119, Table2[AwayTeam], AD$1)+SUMIFS(Table2[NewPointsHome],Table2[GameDate], "&lt;=" &amp; $A119, Table2[HomeTeam], AD$1)</f>
        <v>17</v>
      </c>
      <c r="AE119" s="145">
        <f>SUMIFS(Table2[NewPointsAway],Table2[GameDate], "&lt;=" &amp; $A119, Table2[AwayTeam], AE$1)+SUMIFS(Table2[NewPointsHome],Table2[GameDate], "&lt;=" &amp; $A119, Table2[HomeTeam], AE$1)</f>
        <v>18</v>
      </c>
      <c r="AF119" s="145">
        <f>SUMIFS(Table2[NewPointsAway],Table2[GameDate], "&lt;=" &amp; $A119, Table2[AwayTeam], AF$1)+SUMIFS(Table2[NewPointsHome],Table2[GameDate], "&lt;=" &amp; $A119, Table2[HomeTeam], AF$1)</f>
        <v>20</v>
      </c>
      <c r="AG119" s="145">
        <f>SUMIFS(Table2[NewPointsAway],Table2[GameDate], "&lt;=" &amp; $A119, Table2[AwayTeam], AG$1)+SUMIFS(Table2[NewPointsHome],Table2[GameDate], "&lt;=" &amp; $A119, Table2[HomeTeam], AG$1)</f>
        <v>17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23</v>
      </c>
      <c r="C120" s="145">
        <f>SUMIFS(Table2[NewPointsAway],Table2[GameDate], "&lt;=" &amp; $A120, Table2[AwayTeam], C$1)+SUMIFS(Table2[NewPointsHome],Table2[GameDate], "&lt;=" &amp; $A120, Table2[HomeTeam], C$1)</f>
        <v>22</v>
      </c>
      <c r="D120" s="145">
        <f>SUMIFS(Table2[NewPointsAway],Table2[GameDate], "&lt;=" &amp; $A120, Table2[AwayTeam], D$1)+SUMIFS(Table2[NewPointsHome],Table2[GameDate], "&lt;=" &amp; $A120, Table2[HomeTeam], D$1)</f>
        <v>14</v>
      </c>
      <c r="E120" s="145">
        <f>SUMIFS(Table2[NewPointsAway],Table2[GameDate], "&lt;=" &amp; $A120, Table2[AwayTeam], E$1)+SUMIFS(Table2[NewPointsHome],Table2[GameDate], "&lt;=" &amp; $A120, Table2[HomeTeam], E$1)</f>
        <v>22</v>
      </c>
      <c r="F120" s="145">
        <f>SUMIFS(Table2[NewPointsAway],Table2[GameDate], "&lt;=" &amp; $A120, Table2[AwayTeam], F$1)+SUMIFS(Table2[NewPointsHome],Table2[GameDate], "&lt;=" &amp; $A120, Table2[HomeTeam], F$1)</f>
        <v>17</v>
      </c>
      <c r="G120" s="145">
        <f>SUMIFS(Table2[NewPointsAway],Table2[GameDate], "&lt;=" &amp; $A120, Table2[AwayTeam], G$1)+SUMIFS(Table2[NewPointsHome],Table2[GameDate], "&lt;=" &amp; $A120, Table2[HomeTeam], G$1)</f>
        <v>10</v>
      </c>
      <c r="H120" s="145">
        <f>SUMIFS(Table2[NewPointsAway],Table2[GameDate], "&lt;=" &amp; $A120, Table2[AwayTeam], H$1)+SUMIFS(Table2[NewPointsHome],Table2[GameDate], "&lt;=" &amp; $A120, Table2[HomeTeam], H$1)</f>
        <v>19</v>
      </c>
      <c r="I120" s="145">
        <f>SUMIFS(Table2[NewPointsAway],Table2[GameDate], "&lt;=" &amp; $A120, Table2[AwayTeam], I$1)+SUMIFS(Table2[NewPointsHome],Table2[GameDate], "&lt;=" &amp; $A120, Table2[HomeTeam], I$1)</f>
        <v>27</v>
      </c>
      <c r="J120" s="145">
        <f>SUMIFS(Table2[NewPointsAway],Table2[GameDate], "&lt;=" &amp; $A120, Table2[AwayTeam], J$1)+SUMIFS(Table2[NewPointsHome],Table2[GameDate], "&lt;=" &amp; $A120, Table2[HomeTeam], J$1)</f>
        <v>23</v>
      </c>
      <c r="K120" s="145">
        <f>SUMIFS(Table2[NewPointsAway],Table2[GameDate], "&lt;=" &amp; $A120, Table2[AwayTeam], K$1)+SUMIFS(Table2[NewPointsHome],Table2[GameDate], "&lt;=" &amp; $A120, Table2[HomeTeam], K$1)</f>
        <v>18</v>
      </c>
      <c r="L120" s="145">
        <f>SUMIFS(Table2[NewPointsAway],Table2[GameDate], "&lt;=" &amp; $A120, Table2[AwayTeam], L$1)+SUMIFS(Table2[NewPointsHome],Table2[GameDate], "&lt;=" &amp; $A120, Table2[HomeTeam], L$1)</f>
        <v>20</v>
      </c>
      <c r="M120" s="145">
        <f>SUMIFS(Table2[NewPointsAway],Table2[GameDate], "&lt;=" &amp; $A120, Table2[AwayTeam], M$1)+SUMIFS(Table2[NewPointsHome],Table2[GameDate], "&lt;=" &amp; $A120, Table2[HomeTeam], M$1)</f>
        <v>17</v>
      </c>
      <c r="N120" s="145">
        <f>SUMIFS(Table2[NewPointsAway],Table2[GameDate], "&lt;=" &amp; $A120, Table2[AwayTeam], N$1)+SUMIFS(Table2[NewPointsHome],Table2[GameDate], "&lt;=" &amp; $A120, Table2[HomeTeam], N$1)</f>
        <v>20</v>
      </c>
      <c r="O120" s="145">
        <f>SUMIFS(Table2[NewPointsAway],Table2[GameDate], "&lt;=" &amp; $A120, Table2[AwayTeam], O$1)+SUMIFS(Table2[NewPointsHome],Table2[GameDate], "&lt;=" &amp; $A120, Table2[HomeTeam], O$1)</f>
        <v>18</v>
      </c>
      <c r="P120" s="145">
        <f>SUMIFS(Table2[NewPointsAway],Table2[GameDate], "&lt;=" &amp; $A120, Table2[AwayTeam], P$1)+SUMIFS(Table2[NewPointsHome],Table2[GameDate], "&lt;=" &amp; $A120, Table2[HomeTeam], P$1)</f>
        <v>22</v>
      </c>
      <c r="Q120" s="145">
        <f>SUMIFS(Table2[NewPointsAway],Table2[GameDate], "&lt;=" &amp; $A120, Table2[AwayTeam], Q$1)+SUMIFS(Table2[NewPointsHome],Table2[GameDate], "&lt;=" &amp; $A120, Table2[HomeTeam], Q$1)</f>
        <v>23</v>
      </c>
      <c r="R120" s="145">
        <f>SUMIFS(Table2[NewPointsAway],Table2[GameDate], "&lt;=" &amp; $A120, Table2[AwayTeam], R$1)+SUMIFS(Table2[NewPointsHome],Table2[GameDate], "&lt;=" &amp; $A120, Table2[HomeTeam], R$1)</f>
        <v>14</v>
      </c>
      <c r="S120" s="145">
        <f>SUMIFS(Table2[NewPointsAway],Table2[GameDate], "&lt;=" &amp; $A120, Table2[AwayTeam], S$1)+SUMIFS(Table2[NewPointsHome],Table2[GameDate], "&lt;=" &amp; $A120, Table2[HomeTeam], S$1)</f>
        <v>18</v>
      </c>
      <c r="T120" s="145">
        <f>SUMIFS(Table2[NewPointsAway],Table2[GameDate], "&lt;=" &amp; $A120, Table2[AwayTeam], T$1)+SUMIFS(Table2[NewPointsHome],Table2[GameDate], "&lt;=" &amp; $A120, Table2[HomeTeam], T$1)</f>
        <v>20</v>
      </c>
      <c r="U120" s="145">
        <f>SUMIFS(Table2[NewPointsAway],Table2[GameDate], "&lt;=" &amp; $A120, Table2[AwayTeam], U$1)+SUMIFS(Table2[NewPointsHome],Table2[GameDate], "&lt;=" &amp; $A120, Table2[HomeTeam], U$1)</f>
        <v>20</v>
      </c>
      <c r="V120" s="145">
        <f>SUMIFS(Table2[NewPointsAway],Table2[GameDate], "&lt;=" &amp; $A120, Table2[AwayTeam], V$1)+SUMIFS(Table2[NewPointsHome],Table2[GameDate], "&lt;=" &amp; $A120, Table2[HomeTeam], V$1)</f>
        <v>19</v>
      </c>
      <c r="W120" s="145">
        <f>SUMIFS(Table2[NewPointsAway],Table2[GameDate], "&lt;=" &amp; $A120, Table2[AwayTeam], W$1)+SUMIFS(Table2[NewPointsHome],Table2[GameDate], "&lt;=" &amp; $A120, Table2[HomeTeam], W$1)</f>
        <v>21</v>
      </c>
      <c r="X120" s="145">
        <f>SUMIFS(Table2[NewPointsAway],Table2[GameDate], "&lt;=" &amp; $A120, Table2[AwayTeam], X$1)+SUMIFS(Table2[NewPointsHome],Table2[GameDate], "&lt;=" &amp; $A120, Table2[HomeTeam], X$1)</f>
        <v>19</v>
      </c>
      <c r="Y120" s="145">
        <f>SUMIFS(Table2[NewPointsAway],Table2[GameDate], "&lt;=" &amp; $A120, Table2[AwayTeam], Y$1)+SUMIFS(Table2[NewPointsHome],Table2[GameDate], "&lt;=" &amp; $A120, Table2[HomeTeam], Y$1)</f>
        <v>19</v>
      </c>
      <c r="Z120" s="145">
        <f>SUMIFS(Table2[NewPointsAway],Table2[GameDate], "&lt;=" &amp; $A120, Table2[AwayTeam], Z$1)+SUMIFS(Table2[NewPointsHome],Table2[GameDate], "&lt;=" &amp; $A120, Table2[HomeTeam], Z$1)</f>
        <v>15</v>
      </c>
      <c r="AA120" s="145">
        <f>SUMIFS(Table2[NewPointsAway],Table2[GameDate], "&lt;=" &amp; $A120, Table2[AwayTeam], AA$1)+SUMIFS(Table2[NewPointsHome],Table2[GameDate], "&lt;=" &amp; $A120, Table2[HomeTeam], AA$1)</f>
        <v>18</v>
      </c>
      <c r="AB120" s="145">
        <f>SUMIFS(Table2[NewPointsAway],Table2[GameDate], "&lt;=" &amp; $A120, Table2[AwayTeam], AB$1)+SUMIFS(Table2[NewPointsHome],Table2[GameDate], "&lt;=" &amp; $A120, Table2[HomeTeam], AB$1)</f>
        <v>17</v>
      </c>
      <c r="AC120" s="145">
        <f>SUMIFS(Table2[NewPointsAway],Table2[GameDate], "&lt;=" &amp; $A120, Table2[AwayTeam], AC$1)+SUMIFS(Table2[NewPointsHome],Table2[GameDate], "&lt;=" &amp; $A120, Table2[HomeTeam], AC$1)</f>
        <v>18</v>
      </c>
      <c r="AD120" s="145">
        <f>SUMIFS(Table2[NewPointsAway],Table2[GameDate], "&lt;=" &amp; $A120, Table2[AwayTeam], AD$1)+SUMIFS(Table2[NewPointsHome],Table2[GameDate], "&lt;=" &amp; $A120, Table2[HomeTeam], AD$1)</f>
        <v>17</v>
      </c>
      <c r="AE120" s="145">
        <f>SUMIFS(Table2[NewPointsAway],Table2[GameDate], "&lt;=" &amp; $A120, Table2[AwayTeam], AE$1)+SUMIFS(Table2[NewPointsHome],Table2[GameDate], "&lt;=" &amp; $A120, Table2[HomeTeam], AE$1)</f>
        <v>18</v>
      </c>
      <c r="AF120" s="145">
        <f>SUMIFS(Table2[NewPointsAway],Table2[GameDate], "&lt;=" &amp; $A120, Table2[AwayTeam], AF$1)+SUMIFS(Table2[NewPointsHome],Table2[GameDate], "&lt;=" &amp; $A120, Table2[HomeTeam], AF$1)</f>
        <v>20</v>
      </c>
      <c r="AG120" s="145">
        <f>SUMIFS(Table2[NewPointsAway],Table2[GameDate], "&lt;=" &amp; $A120, Table2[AwayTeam], AG$1)+SUMIFS(Table2[NewPointsHome],Table2[GameDate], "&lt;=" &amp; $A120, Table2[HomeTeam], AG$1)</f>
        <v>17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23</v>
      </c>
      <c r="C121" s="145">
        <f>SUMIFS(Table2[NewPointsAway],Table2[GameDate], "&lt;=" &amp; $A121, Table2[AwayTeam], C$1)+SUMIFS(Table2[NewPointsHome],Table2[GameDate], "&lt;=" &amp; $A121, Table2[HomeTeam], C$1)</f>
        <v>22</v>
      </c>
      <c r="D121" s="145">
        <f>SUMIFS(Table2[NewPointsAway],Table2[GameDate], "&lt;=" &amp; $A121, Table2[AwayTeam], D$1)+SUMIFS(Table2[NewPointsHome],Table2[GameDate], "&lt;=" &amp; $A121, Table2[HomeTeam], D$1)</f>
        <v>14</v>
      </c>
      <c r="E121" s="145">
        <f>SUMIFS(Table2[NewPointsAway],Table2[GameDate], "&lt;=" &amp; $A121, Table2[AwayTeam], E$1)+SUMIFS(Table2[NewPointsHome],Table2[GameDate], "&lt;=" &amp; $A121, Table2[HomeTeam], E$1)</f>
        <v>22</v>
      </c>
      <c r="F121" s="145">
        <f>SUMIFS(Table2[NewPointsAway],Table2[GameDate], "&lt;=" &amp; $A121, Table2[AwayTeam], F$1)+SUMIFS(Table2[NewPointsHome],Table2[GameDate], "&lt;=" &amp; $A121, Table2[HomeTeam], F$1)</f>
        <v>17</v>
      </c>
      <c r="G121" s="145">
        <f>SUMIFS(Table2[NewPointsAway],Table2[GameDate], "&lt;=" &amp; $A121, Table2[AwayTeam], G$1)+SUMIFS(Table2[NewPointsHome],Table2[GameDate], "&lt;=" &amp; $A121, Table2[HomeTeam], G$1)</f>
        <v>10</v>
      </c>
      <c r="H121" s="145">
        <f>SUMIFS(Table2[NewPointsAway],Table2[GameDate], "&lt;=" &amp; $A121, Table2[AwayTeam], H$1)+SUMIFS(Table2[NewPointsHome],Table2[GameDate], "&lt;=" &amp; $A121, Table2[HomeTeam], H$1)</f>
        <v>19</v>
      </c>
      <c r="I121" s="145">
        <f>SUMIFS(Table2[NewPointsAway],Table2[GameDate], "&lt;=" &amp; $A121, Table2[AwayTeam], I$1)+SUMIFS(Table2[NewPointsHome],Table2[GameDate], "&lt;=" &amp; $A121, Table2[HomeTeam], I$1)</f>
        <v>27</v>
      </c>
      <c r="J121" s="145">
        <f>SUMIFS(Table2[NewPointsAway],Table2[GameDate], "&lt;=" &amp; $A121, Table2[AwayTeam], J$1)+SUMIFS(Table2[NewPointsHome],Table2[GameDate], "&lt;=" &amp; $A121, Table2[HomeTeam], J$1)</f>
        <v>23</v>
      </c>
      <c r="K121" s="145">
        <f>SUMIFS(Table2[NewPointsAway],Table2[GameDate], "&lt;=" &amp; $A121, Table2[AwayTeam], K$1)+SUMIFS(Table2[NewPointsHome],Table2[GameDate], "&lt;=" &amp; $A121, Table2[HomeTeam], K$1)</f>
        <v>18</v>
      </c>
      <c r="L121" s="145">
        <f>SUMIFS(Table2[NewPointsAway],Table2[GameDate], "&lt;=" &amp; $A121, Table2[AwayTeam], L$1)+SUMIFS(Table2[NewPointsHome],Table2[GameDate], "&lt;=" &amp; $A121, Table2[HomeTeam], L$1)</f>
        <v>20</v>
      </c>
      <c r="M121" s="145">
        <f>SUMIFS(Table2[NewPointsAway],Table2[GameDate], "&lt;=" &amp; $A121, Table2[AwayTeam], M$1)+SUMIFS(Table2[NewPointsHome],Table2[GameDate], "&lt;=" &amp; $A121, Table2[HomeTeam], M$1)</f>
        <v>17</v>
      </c>
      <c r="N121" s="145">
        <f>SUMIFS(Table2[NewPointsAway],Table2[GameDate], "&lt;=" &amp; $A121, Table2[AwayTeam], N$1)+SUMIFS(Table2[NewPointsHome],Table2[GameDate], "&lt;=" &amp; $A121, Table2[HomeTeam], N$1)</f>
        <v>20</v>
      </c>
      <c r="O121" s="145">
        <f>SUMIFS(Table2[NewPointsAway],Table2[GameDate], "&lt;=" &amp; $A121, Table2[AwayTeam], O$1)+SUMIFS(Table2[NewPointsHome],Table2[GameDate], "&lt;=" &amp; $A121, Table2[HomeTeam], O$1)</f>
        <v>18</v>
      </c>
      <c r="P121" s="145">
        <f>SUMIFS(Table2[NewPointsAway],Table2[GameDate], "&lt;=" &amp; $A121, Table2[AwayTeam], P$1)+SUMIFS(Table2[NewPointsHome],Table2[GameDate], "&lt;=" &amp; $A121, Table2[HomeTeam], P$1)</f>
        <v>22</v>
      </c>
      <c r="Q121" s="145">
        <f>SUMIFS(Table2[NewPointsAway],Table2[GameDate], "&lt;=" &amp; $A121, Table2[AwayTeam], Q$1)+SUMIFS(Table2[NewPointsHome],Table2[GameDate], "&lt;=" &amp; $A121, Table2[HomeTeam], Q$1)</f>
        <v>23</v>
      </c>
      <c r="R121" s="145">
        <f>SUMIFS(Table2[NewPointsAway],Table2[GameDate], "&lt;=" &amp; $A121, Table2[AwayTeam], R$1)+SUMIFS(Table2[NewPointsHome],Table2[GameDate], "&lt;=" &amp; $A121, Table2[HomeTeam], R$1)</f>
        <v>14</v>
      </c>
      <c r="S121" s="145">
        <f>SUMIFS(Table2[NewPointsAway],Table2[GameDate], "&lt;=" &amp; $A121, Table2[AwayTeam], S$1)+SUMIFS(Table2[NewPointsHome],Table2[GameDate], "&lt;=" &amp; $A121, Table2[HomeTeam], S$1)</f>
        <v>18</v>
      </c>
      <c r="T121" s="145">
        <f>SUMIFS(Table2[NewPointsAway],Table2[GameDate], "&lt;=" &amp; $A121, Table2[AwayTeam], T$1)+SUMIFS(Table2[NewPointsHome],Table2[GameDate], "&lt;=" &amp; $A121, Table2[HomeTeam], T$1)</f>
        <v>20</v>
      </c>
      <c r="U121" s="145">
        <f>SUMIFS(Table2[NewPointsAway],Table2[GameDate], "&lt;=" &amp; $A121, Table2[AwayTeam], U$1)+SUMIFS(Table2[NewPointsHome],Table2[GameDate], "&lt;=" &amp; $A121, Table2[HomeTeam], U$1)</f>
        <v>20</v>
      </c>
      <c r="V121" s="145">
        <f>SUMIFS(Table2[NewPointsAway],Table2[GameDate], "&lt;=" &amp; $A121, Table2[AwayTeam], V$1)+SUMIFS(Table2[NewPointsHome],Table2[GameDate], "&lt;=" &amp; $A121, Table2[HomeTeam], V$1)</f>
        <v>19</v>
      </c>
      <c r="W121" s="145">
        <f>SUMIFS(Table2[NewPointsAway],Table2[GameDate], "&lt;=" &amp; $A121, Table2[AwayTeam], W$1)+SUMIFS(Table2[NewPointsHome],Table2[GameDate], "&lt;=" &amp; $A121, Table2[HomeTeam], W$1)</f>
        <v>21</v>
      </c>
      <c r="X121" s="145">
        <f>SUMIFS(Table2[NewPointsAway],Table2[GameDate], "&lt;=" &amp; $A121, Table2[AwayTeam], X$1)+SUMIFS(Table2[NewPointsHome],Table2[GameDate], "&lt;=" &amp; $A121, Table2[HomeTeam], X$1)</f>
        <v>19</v>
      </c>
      <c r="Y121" s="145">
        <f>SUMIFS(Table2[NewPointsAway],Table2[GameDate], "&lt;=" &amp; $A121, Table2[AwayTeam], Y$1)+SUMIFS(Table2[NewPointsHome],Table2[GameDate], "&lt;=" &amp; $A121, Table2[HomeTeam], Y$1)</f>
        <v>19</v>
      </c>
      <c r="Z121" s="145">
        <f>SUMIFS(Table2[NewPointsAway],Table2[GameDate], "&lt;=" &amp; $A121, Table2[AwayTeam], Z$1)+SUMIFS(Table2[NewPointsHome],Table2[GameDate], "&lt;=" &amp; $A121, Table2[HomeTeam], Z$1)</f>
        <v>15</v>
      </c>
      <c r="AA121" s="145">
        <f>SUMIFS(Table2[NewPointsAway],Table2[GameDate], "&lt;=" &amp; $A121, Table2[AwayTeam], AA$1)+SUMIFS(Table2[NewPointsHome],Table2[GameDate], "&lt;=" &amp; $A121, Table2[HomeTeam], AA$1)</f>
        <v>18</v>
      </c>
      <c r="AB121" s="145">
        <f>SUMIFS(Table2[NewPointsAway],Table2[GameDate], "&lt;=" &amp; $A121, Table2[AwayTeam], AB$1)+SUMIFS(Table2[NewPointsHome],Table2[GameDate], "&lt;=" &amp; $A121, Table2[HomeTeam], AB$1)</f>
        <v>17</v>
      </c>
      <c r="AC121" s="145">
        <f>SUMIFS(Table2[NewPointsAway],Table2[GameDate], "&lt;=" &amp; $A121, Table2[AwayTeam], AC$1)+SUMIFS(Table2[NewPointsHome],Table2[GameDate], "&lt;=" &amp; $A121, Table2[HomeTeam], AC$1)</f>
        <v>18</v>
      </c>
      <c r="AD121" s="145">
        <f>SUMIFS(Table2[NewPointsAway],Table2[GameDate], "&lt;=" &amp; $A121, Table2[AwayTeam], AD$1)+SUMIFS(Table2[NewPointsHome],Table2[GameDate], "&lt;=" &amp; $A121, Table2[HomeTeam], AD$1)</f>
        <v>17</v>
      </c>
      <c r="AE121" s="145">
        <f>SUMIFS(Table2[NewPointsAway],Table2[GameDate], "&lt;=" &amp; $A121, Table2[AwayTeam], AE$1)+SUMIFS(Table2[NewPointsHome],Table2[GameDate], "&lt;=" &amp; $A121, Table2[HomeTeam], AE$1)</f>
        <v>18</v>
      </c>
      <c r="AF121" s="145">
        <f>SUMIFS(Table2[NewPointsAway],Table2[GameDate], "&lt;=" &amp; $A121, Table2[AwayTeam], AF$1)+SUMIFS(Table2[NewPointsHome],Table2[GameDate], "&lt;=" &amp; $A121, Table2[HomeTeam], AF$1)</f>
        <v>20</v>
      </c>
      <c r="AG121" s="145">
        <f>SUMIFS(Table2[NewPointsAway],Table2[GameDate], "&lt;=" &amp; $A121, Table2[AwayTeam], AG$1)+SUMIFS(Table2[NewPointsHome],Table2[GameDate], "&lt;=" &amp; $A121, Table2[HomeTeam], AG$1)</f>
        <v>17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23</v>
      </c>
      <c r="C122" s="145">
        <f>SUMIFS(Table2[NewPointsAway],Table2[GameDate], "&lt;=" &amp; $A122, Table2[AwayTeam], C$1)+SUMIFS(Table2[NewPointsHome],Table2[GameDate], "&lt;=" &amp; $A122, Table2[HomeTeam], C$1)</f>
        <v>22</v>
      </c>
      <c r="D122" s="145">
        <f>SUMIFS(Table2[NewPointsAway],Table2[GameDate], "&lt;=" &amp; $A122, Table2[AwayTeam], D$1)+SUMIFS(Table2[NewPointsHome],Table2[GameDate], "&lt;=" &amp; $A122, Table2[HomeTeam], D$1)</f>
        <v>14</v>
      </c>
      <c r="E122" s="145">
        <f>SUMIFS(Table2[NewPointsAway],Table2[GameDate], "&lt;=" &amp; $A122, Table2[AwayTeam], E$1)+SUMIFS(Table2[NewPointsHome],Table2[GameDate], "&lt;=" &amp; $A122, Table2[HomeTeam], E$1)</f>
        <v>22</v>
      </c>
      <c r="F122" s="145">
        <f>SUMIFS(Table2[NewPointsAway],Table2[GameDate], "&lt;=" &amp; $A122, Table2[AwayTeam], F$1)+SUMIFS(Table2[NewPointsHome],Table2[GameDate], "&lt;=" &amp; $A122, Table2[HomeTeam], F$1)</f>
        <v>17</v>
      </c>
      <c r="G122" s="145">
        <f>SUMIFS(Table2[NewPointsAway],Table2[GameDate], "&lt;=" &amp; $A122, Table2[AwayTeam], G$1)+SUMIFS(Table2[NewPointsHome],Table2[GameDate], "&lt;=" &amp; $A122, Table2[HomeTeam], G$1)</f>
        <v>10</v>
      </c>
      <c r="H122" s="145">
        <f>SUMIFS(Table2[NewPointsAway],Table2[GameDate], "&lt;=" &amp; $A122, Table2[AwayTeam], H$1)+SUMIFS(Table2[NewPointsHome],Table2[GameDate], "&lt;=" &amp; $A122, Table2[HomeTeam], H$1)</f>
        <v>19</v>
      </c>
      <c r="I122" s="145">
        <f>SUMIFS(Table2[NewPointsAway],Table2[GameDate], "&lt;=" &amp; $A122, Table2[AwayTeam], I$1)+SUMIFS(Table2[NewPointsHome],Table2[GameDate], "&lt;=" &amp; $A122, Table2[HomeTeam], I$1)</f>
        <v>27</v>
      </c>
      <c r="J122" s="145">
        <f>SUMIFS(Table2[NewPointsAway],Table2[GameDate], "&lt;=" &amp; $A122, Table2[AwayTeam], J$1)+SUMIFS(Table2[NewPointsHome],Table2[GameDate], "&lt;=" &amp; $A122, Table2[HomeTeam], J$1)</f>
        <v>23</v>
      </c>
      <c r="K122" s="145">
        <f>SUMIFS(Table2[NewPointsAway],Table2[GameDate], "&lt;=" &amp; $A122, Table2[AwayTeam], K$1)+SUMIFS(Table2[NewPointsHome],Table2[GameDate], "&lt;=" &amp; $A122, Table2[HomeTeam], K$1)</f>
        <v>18</v>
      </c>
      <c r="L122" s="145">
        <f>SUMIFS(Table2[NewPointsAway],Table2[GameDate], "&lt;=" &amp; $A122, Table2[AwayTeam], L$1)+SUMIFS(Table2[NewPointsHome],Table2[GameDate], "&lt;=" &amp; $A122, Table2[HomeTeam], L$1)</f>
        <v>20</v>
      </c>
      <c r="M122" s="145">
        <f>SUMIFS(Table2[NewPointsAway],Table2[GameDate], "&lt;=" &amp; $A122, Table2[AwayTeam], M$1)+SUMIFS(Table2[NewPointsHome],Table2[GameDate], "&lt;=" &amp; $A122, Table2[HomeTeam], M$1)</f>
        <v>17</v>
      </c>
      <c r="N122" s="145">
        <f>SUMIFS(Table2[NewPointsAway],Table2[GameDate], "&lt;=" &amp; $A122, Table2[AwayTeam], N$1)+SUMIFS(Table2[NewPointsHome],Table2[GameDate], "&lt;=" &amp; $A122, Table2[HomeTeam], N$1)</f>
        <v>20</v>
      </c>
      <c r="O122" s="145">
        <f>SUMIFS(Table2[NewPointsAway],Table2[GameDate], "&lt;=" &amp; $A122, Table2[AwayTeam], O$1)+SUMIFS(Table2[NewPointsHome],Table2[GameDate], "&lt;=" &amp; $A122, Table2[HomeTeam], O$1)</f>
        <v>18</v>
      </c>
      <c r="P122" s="145">
        <f>SUMIFS(Table2[NewPointsAway],Table2[GameDate], "&lt;=" &amp; $A122, Table2[AwayTeam], P$1)+SUMIFS(Table2[NewPointsHome],Table2[GameDate], "&lt;=" &amp; $A122, Table2[HomeTeam], P$1)</f>
        <v>22</v>
      </c>
      <c r="Q122" s="145">
        <f>SUMIFS(Table2[NewPointsAway],Table2[GameDate], "&lt;=" &amp; $A122, Table2[AwayTeam], Q$1)+SUMIFS(Table2[NewPointsHome],Table2[GameDate], "&lt;=" &amp; $A122, Table2[HomeTeam], Q$1)</f>
        <v>23</v>
      </c>
      <c r="R122" s="145">
        <f>SUMIFS(Table2[NewPointsAway],Table2[GameDate], "&lt;=" &amp; $A122, Table2[AwayTeam], R$1)+SUMIFS(Table2[NewPointsHome],Table2[GameDate], "&lt;=" &amp; $A122, Table2[HomeTeam], R$1)</f>
        <v>14</v>
      </c>
      <c r="S122" s="145">
        <f>SUMIFS(Table2[NewPointsAway],Table2[GameDate], "&lt;=" &amp; $A122, Table2[AwayTeam], S$1)+SUMIFS(Table2[NewPointsHome],Table2[GameDate], "&lt;=" &amp; $A122, Table2[HomeTeam], S$1)</f>
        <v>18</v>
      </c>
      <c r="T122" s="145">
        <f>SUMIFS(Table2[NewPointsAway],Table2[GameDate], "&lt;=" &amp; $A122, Table2[AwayTeam], T$1)+SUMIFS(Table2[NewPointsHome],Table2[GameDate], "&lt;=" &amp; $A122, Table2[HomeTeam], T$1)</f>
        <v>20</v>
      </c>
      <c r="U122" s="145">
        <f>SUMIFS(Table2[NewPointsAway],Table2[GameDate], "&lt;=" &amp; $A122, Table2[AwayTeam], U$1)+SUMIFS(Table2[NewPointsHome],Table2[GameDate], "&lt;=" &amp; $A122, Table2[HomeTeam], U$1)</f>
        <v>20</v>
      </c>
      <c r="V122" s="145">
        <f>SUMIFS(Table2[NewPointsAway],Table2[GameDate], "&lt;=" &amp; $A122, Table2[AwayTeam], V$1)+SUMIFS(Table2[NewPointsHome],Table2[GameDate], "&lt;=" &amp; $A122, Table2[HomeTeam], V$1)</f>
        <v>19</v>
      </c>
      <c r="W122" s="145">
        <f>SUMIFS(Table2[NewPointsAway],Table2[GameDate], "&lt;=" &amp; $A122, Table2[AwayTeam], W$1)+SUMIFS(Table2[NewPointsHome],Table2[GameDate], "&lt;=" &amp; $A122, Table2[HomeTeam], W$1)</f>
        <v>21</v>
      </c>
      <c r="X122" s="145">
        <f>SUMIFS(Table2[NewPointsAway],Table2[GameDate], "&lt;=" &amp; $A122, Table2[AwayTeam], X$1)+SUMIFS(Table2[NewPointsHome],Table2[GameDate], "&lt;=" &amp; $A122, Table2[HomeTeam], X$1)</f>
        <v>19</v>
      </c>
      <c r="Y122" s="145">
        <f>SUMIFS(Table2[NewPointsAway],Table2[GameDate], "&lt;=" &amp; $A122, Table2[AwayTeam], Y$1)+SUMIFS(Table2[NewPointsHome],Table2[GameDate], "&lt;=" &amp; $A122, Table2[HomeTeam], Y$1)</f>
        <v>19</v>
      </c>
      <c r="Z122" s="145">
        <f>SUMIFS(Table2[NewPointsAway],Table2[GameDate], "&lt;=" &amp; $A122, Table2[AwayTeam], Z$1)+SUMIFS(Table2[NewPointsHome],Table2[GameDate], "&lt;=" &amp; $A122, Table2[HomeTeam], Z$1)</f>
        <v>15</v>
      </c>
      <c r="AA122" s="145">
        <f>SUMIFS(Table2[NewPointsAway],Table2[GameDate], "&lt;=" &amp; $A122, Table2[AwayTeam], AA$1)+SUMIFS(Table2[NewPointsHome],Table2[GameDate], "&lt;=" &amp; $A122, Table2[HomeTeam], AA$1)</f>
        <v>18</v>
      </c>
      <c r="AB122" s="145">
        <f>SUMIFS(Table2[NewPointsAway],Table2[GameDate], "&lt;=" &amp; $A122, Table2[AwayTeam], AB$1)+SUMIFS(Table2[NewPointsHome],Table2[GameDate], "&lt;=" &amp; $A122, Table2[HomeTeam], AB$1)</f>
        <v>17</v>
      </c>
      <c r="AC122" s="145">
        <f>SUMIFS(Table2[NewPointsAway],Table2[GameDate], "&lt;=" &amp; $A122, Table2[AwayTeam], AC$1)+SUMIFS(Table2[NewPointsHome],Table2[GameDate], "&lt;=" &amp; $A122, Table2[HomeTeam], AC$1)</f>
        <v>18</v>
      </c>
      <c r="AD122" s="145">
        <f>SUMIFS(Table2[NewPointsAway],Table2[GameDate], "&lt;=" &amp; $A122, Table2[AwayTeam], AD$1)+SUMIFS(Table2[NewPointsHome],Table2[GameDate], "&lt;=" &amp; $A122, Table2[HomeTeam], AD$1)</f>
        <v>17</v>
      </c>
      <c r="AE122" s="145">
        <f>SUMIFS(Table2[NewPointsAway],Table2[GameDate], "&lt;=" &amp; $A122, Table2[AwayTeam], AE$1)+SUMIFS(Table2[NewPointsHome],Table2[GameDate], "&lt;=" &amp; $A122, Table2[HomeTeam], AE$1)</f>
        <v>18</v>
      </c>
      <c r="AF122" s="145">
        <f>SUMIFS(Table2[NewPointsAway],Table2[GameDate], "&lt;=" &amp; $A122, Table2[AwayTeam], AF$1)+SUMIFS(Table2[NewPointsHome],Table2[GameDate], "&lt;=" &amp; $A122, Table2[HomeTeam], AF$1)</f>
        <v>20</v>
      </c>
      <c r="AG122" s="145">
        <f>SUMIFS(Table2[NewPointsAway],Table2[GameDate], "&lt;=" &amp; $A122, Table2[AwayTeam], AG$1)+SUMIFS(Table2[NewPointsHome],Table2[GameDate], "&lt;=" &amp; $A122, Table2[HomeTeam], AG$1)</f>
        <v>17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23</v>
      </c>
      <c r="C123" s="145">
        <f>SUMIFS(Table2[NewPointsAway],Table2[GameDate], "&lt;=" &amp; $A123, Table2[AwayTeam], C$1)+SUMIFS(Table2[NewPointsHome],Table2[GameDate], "&lt;=" &amp; $A123, Table2[HomeTeam], C$1)</f>
        <v>22</v>
      </c>
      <c r="D123" s="145">
        <f>SUMIFS(Table2[NewPointsAway],Table2[GameDate], "&lt;=" &amp; $A123, Table2[AwayTeam], D$1)+SUMIFS(Table2[NewPointsHome],Table2[GameDate], "&lt;=" &amp; $A123, Table2[HomeTeam], D$1)</f>
        <v>14</v>
      </c>
      <c r="E123" s="145">
        <f>SUMIFS(Table2[NewPointsAway],Table2[GameDate], "&lt;=" &amp; $A123, Table2[AwayTeam], E$1)+SUMIFS(Table2[NewPointsHome],Table2[GameDate], "&lt;=" &amp; $A123, Table2[HomeTeam], E$1)</f>
        <v>22</v>
      </c>
      <c r="F123" s="145">
        <f>SUMIFS(Table2[NewPointsAway],Table2[GameDate], "&lt;=" &amp; $A123, Table2[AwayTeam], F$1)+SUMIFS(Table2[NewPointsHome],Table2[GameDate], "&lt;=" &amp; $A123, Table2[HomeTeam], F$1)</f>
        <v>17</v>
      </c>
      <c r="G123" s="145">
        <f>SUMIFS(Table2[NewPointsAway],Table2[GameDate], "&lt;=" &amp; $A123, Table2[AwayTeam], G$1)+SUMIFS(Table2[NewPointsHome],Table2[GameDate], "&lt;=" &amp; $A123, Table2[HomeTeam], G$1)</f>
        <v>10</v>
      </c>
      <c r="H123" s="145">
        <f>SUMIFS(Table2[NewPointsAway],Table2[GameDate], "&lt;=" &amp; $A123, Table2[AwayTeam], H$1)+SUMIFS(Table2[NewPointsHome],Table2[GameDate], "&lt;=" &amp; $A123, Table2[HomeTeam], H$1)</f>
        <v>19</v>
      </c>
      <c r="I123" s="145">
        <f>SUMIFS(Table2[NewPointsAway],Table2[GameDate], "&lt;=" &amp; $A123, Table2[AwayTeam], I$1)+SUMIFS(Table2[NewPointsHome],Table2[GameDate], "&lt;=" &amp; $A123, Table2[HomeTeam], I$1)</f>
        <v>27</v>
      </c>
      <c r="J123" s="145">
        <f>SUMIFS(Table2[NewPointsAway],Table2[GameDate], "&lt;=" &amp; $A123, Table2[AwayTeam], J$1)+SUMIFS(Table2[NewPointsHome],Table2[GameDate], "&lt;=" &amp; $A123, Table2[HomeTeam], J$1)</f>
        <v>23</v>
      </c>
      <c r="K123" s="145">
        <f>SUMIFS(Table2[NewPointsAway],Table2[GameDate], "&lt;=" &amp; $A123, Table2[AwayTeam], K$1)+SUMIFS(Table2[NewPointsHome],Table2[GameDate], "&lt;=" &amp; $A123, Table2[HomeTeam], K$1)</f>
        <v>18</v>
      </c>
      <c r="L123" s="145">
        <f>SUMIFS(Table2[NewPointsAway],Table2[GameDate], "&lt;=" &amp; $A123, Table2[AwayTeam], L$1)+SUMIFS(Table2[NewPointsHome],Table2[GameDate], "&lt;=" &amp; $A123, Table2[HomeTeam], L$1)</f>
        <v>20</v>
      </c>
      <c r="M123" s="145">
        <f>SUMIFS(Table2[NewPointsAway],Table2[GameDate], "&lt;=" &amp; $A123, Table2[AwayTeam], M$1)+SUMIFS(Table2[NewPointsHome],Table2[GameDate], "&lt;=" &amp; $A123, Table2[HomeTeam], M$1)</f>
        <v>17</v>
      </c>
      <c r="N123" s="145">
        <f>SUMIFS(Table2[NewPointsAway],Table2[GameDate], "&lt;=" &amp; $A123, Table2[AwayTeam], N$1)+SUMIFS(Table2[NewPointsHome],Table2[GameDate], "&lt;=" &amp; $A123, Table2[HomeTeam], N$1)</f>
        <v>20</v>
      </c>
      <c r="O123" s="145">
        <f>SUMIFS(Table2[NewPointsAway],Table2[GameDate], "&lt;=" &amp; $A123, Table2[AwayTeam], O$1)+SUMIFS(Table2[NewPointsHome],Table2[GameDate], "&lt;=" &amp; $A123, Table2[HomeTeam], O$1)</f>
        <v>18</v>
      </c>
      <c r="P123" s="145">
        <f>SUMIFS(Table2[NewPointsAway],Table2[GameDate], "&lt;=" &amp; $A123, Table2[AwayTeam], P$1)+SUMIFS(Table2[NewPointsHome],Table2[GameDate], "&lt;=" &amp; $A123, Table2[HomeTeam], P$1)</f>
        <v>22</v>
      </c>
      <c r="Q123" s="145">
        <f>SUMIFS(Table2[NewPointsAway],Table2[GameDate], "&lt;=" &amp; $A123, Table2[AwayTeam], Q$1)+SUMIFS(Table2[NewPointsHome],Table2[GameDate], "&lt;=" &amp; $A123, Table2[HomeTeam], Q$1)</f>
        <v>23</v>
      </c>
      <c r="R123" s="145">
        <f>SUMIFS(Table2[NewPointsAway],Table2[GameDate], "&lt;=" &amp; $A123, Table2[AwayTeam], R$1)+SUMIFS(Table2[NewPointsHome],Table2[GameDate], "&lt;=" &amp; $A123, Table2[HomeTeam], R$1)</f>
        <v>14</v>
      </c>
      <c r="S123" s="145">
        <f>SUMIFS(Table2[NewPointsAway],Table2[GameDate], "&lt;=" &amp; $A123, Table2[AwayTeam], S$1)+SUMIFS(Table2[NewPointsHome],Table2[GameDate], "&lt;=" &amp; $A123, Table2[HomeTeam], S$1)</f>
        <v>18</v>
      </c>
      <c r="T123" s="145">
        <f>SUMIFS(Table2[NewPointsAway],Table2[GameDate], "&lt;=" &amp; $A123, Table2[AwayTeam], T$1)+SUMIFS(Table2[NewPointsHome],Table2[GameDate], "&lt;=" &amp; $A123, Table2[HomeTeam], T$1)</f>
        <v>20</v>
      </c>
      <c r="U123" s="145">
        <f>SUMIFS(Table2[NewPointsAway],Table2[GameDate], "&lt;=" &amp; $A123, Table2[AwayTeam], U$1)+SUMIFS(Table2[NewPointsHome],Table2[GameDate], "&lt;=" &amp; $A123, Table2[HomeTeam], U$1)</f>
        <v>20</v>
      </c>
      <c r="V123" s="145">
        <f>SUMIFS(Table2[NewPointsAway],Table2[GameDate], "&lt;=" &amp; $A123, Table2[AwayTeam], V$1)+SUMIFS(Table2[NewPointsHome],Table2[GameDate], "&lt;=" &amp; $A123, Table2[HomeTeam], V$1)</f>
        <v>19</v>
      </c>
      <c r="W123" s="145">
        <f>SUMIFS(Table2[NewPointsAway],Table2[GameDate], "&lt;=" &amp; $A123, Table2[AwayTeam], W$1)+SUMIFS(Table2[NewPointsHome],Table2[GameDate], "&lt;=" &amp; $A123, Table2[HomeTeam], W$1)</f>
        <v>21</v>
      </c>
      <c r="X123" s="145">
        <f>SUMIFS(Table2[NewPointsAway],Table2[GameDate], "&lt;=" &amp; $A123, Table2[AwayTeam], X$1)+SUMIFS(Table2[NewPointsHome],Table2[GameDate], "&lt;=" &amp; $A123, Table2[HomeTeam], X$1)</f>
        <v>19</v>
      </c>
      <c r="Y123" s="145">
        <f>SUMIFS(Table2[NewPointsAway],Table2[GameDate], "&lt;=" &amp; $A123, Table2[AwayTeam], Y$1)+SUMIFS(Table2[NewPointsHome],Table2[GameDate], "&lt;=" &amp; $A123, Table2[HomeTeam], Y$1)</f>
        <v>19</v>
      </c>
      <c r="Z123" s="145">
        <f>SUMIFS(Table2[NewPointsAway],Table2[GameDate], "&lt;=" &amp; $A123, Table2[AwayTeam], Z$1)+SUMIFS(Table2[NewPointsHome],Table2[GameDate], "&lt;=" &amp; $A123, Table2[HomeTeam], Z$1)</f>
        <v>15</v>
      </c>
      <c r="AA123" s="145">
        <f>SUMIFS(Table2[NewPointsAway],Table2[GameDate], "&lt;=" &amp; $A123, Table2[AwayTeam], AA$1)+SUMIFS(Table2[NewPointsHome],Table2[GameDate], "&lt;=" &amp; $A123, Table2[HomeTeam], AA$1)</f>
        <v>18</v>
      </c>
      <c r="AB123" s="145">
        <f>SUMIFS(Table2[NewPointsAway],Table2[GameDate], "&lt;=" &amp; $A123, Table2[AwayTeam], AB$1)+SUMIFS(Table2[NewPointsHome],Table2[GameDate], "&lt;=" &amp; $A123, Table2[HomeTeam], AB$1)</f>
        <v>17</v>
      </c>
      <c r="AC123" s="145">
        <f>SUMIFS(Table2[NewPointsAway],Table2[GameDate], "&lt;=" &amp; $A123, Table2[AwayTeam], AC$1)+SUMIFS(Table2[NewPointsHome],Table2[GameDate], "&lt;=" &amp; $A123, Table2[HomeTeam], AC$1)</f>
        <v>18</v>
      </c>
      <c r="AD123" s="145">
        <f>SUMIFS(Table2[NewPointsAway],Table2[GameDate], "&lt;=" &amp; $A123, Table2[AwayTeam], AD$1)+SUMIFS(Table2[NewPointsHome],Table2[GameDate], "&lt;=" &amp; $A123, Table2[HomeTeam], AD$1)</f>
        <v>17</v>
      </c>
      <c r="AE123" s="145">
        <f>SUMIFS(Table2[NewPointsAway],Table2[GameDate], "&lt;=" &amp; $A123, Table2[AwayTeam], AE$1)+SUMIFS(Table2[NewPointsHome],Table2[GameDate], "&lt;=" &amp; $A123, Table2[HomeTeam], AE$1)</f>
        <v>18</v>
      </c>
      <c r="AF123" s="145">
        <f>SUMIFS(Table2[NewPointsAway],Table2[GameDate], "&lt;=" &amp; $A123, Table2[AwayTeam], AF$1)+SUMIFS(Table2[NewPointsHome],Table2[GameDate], "&lt;=" &amp; $A123, Table2[HomeTeam], AF$1)</f>
        <v>20</v>
      </c>
      <c r="AG123" s="145">
        <f>SUMIFS(Table2[NewPointsAway],Table2[GameDate], "&lt;=" &amp; $A123, Table2[AwayTeam], AG$1)+SUMIFS(Table2[NewPointsHome],Table2[GameDate], "&lt;=" &amp; $A123, Table2[HomeTeam], AG$1)</f>
        <v>17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23</v>
      </c>
      <c r="C124" s="145">
        <f>SUMIFS(Table2[NewPointsAway],Table2[GameDate], "&lt;=" &amp; $A124, Table2[AwayTeam], C$1)+SUMIFS(Table2[NewPointsHome],Table2[GameDate], "&lt;=" &amp; $A124, Table2[HomeTeam], C$1)</f>
        <v>22</v>
      </c>
      <c r="D124" s="145">
        <f>SUMIFS(Table2[NewPointsAway],Table2[GameDate], "&lt;=" &amp; $A124, Table2[AwayTeam], D$1)+SUMIFS(Table2[NewPointsHome],Table2[GameDate], "&lt;=" &amp; $A124, Table2[HomeTeam], D$1)</f>
        <v>14</v>
      </c>
      <c r="E124" s="145">
        <f>SUMIFS(Table2[NewPointsAway],Table2[GameDate], "&lt;=" &amp; $A124, Table2[AwayTeam], E$1)+SUMIFS(Table2[NewPointsHome],Table2[GameDate], "&lt;=" &amp; $A124, Table2[HomeTeam], E$1)</f>
        <v>22</v>
      </c>
      <c r="F124" s="145">
        <f>SUMIFS(Table2[NewPointsAway],Table2[GameDate], "&lt;=" &amp; $A124, Table2[AwayTeam], F$1)+SUMIFS(Table2[NewPointsHome],Table2[GameDate], "&lt;=" &amp; $A124, Table2[HomeTeam], F$1)</f>
        <v>17</v>
      </c>
      <c r="G124" s="145">
        <f>SUMIFS(Table2[NewPointsAway],Table2[GameDate], "&lt;=" &amp; $A124, Table2[AwayTeam], G$1)+SUMIFS(Table2[NewPointsHome],Table2[GameDate], "&lt;=" &amp; $A124, Table2[HomeTeam], G$1)</f>
        <v>10</v>
      </c>
      <c r="H124" s="145">
        <f>SUMIFS(Table2[NewPointsAway],Table2[GameDate], "&lt;=" &amp; $A124, Table2[AwayTeam], H$1)+SUMIFS(Table2[NewPointsHome],Table2[GameDate], "&lt;=" &amp; $A124, Table2[HomeTeam], H$1)</f>
        <v>19</v>
      </c>
      <c r="I124" s="145">
        <f>SUMIFS(Table2[NewPointsAway],Table2[GameDate], "&lt;=" &amp; $A124, Table2[AwayTeam], I$1)+SUMIFS(Table2[NewPointsHome],Table2[GameDate], "&lt;=" &amp; $A124, Table2[HomeTeam], I$1)</f>
        <v>27</v>
      </c>
      <c r="J124" s="145">
        <f>SUMIFS(Table2[NewPointsAway],Table2[GameDate], "&lt;=" &amp; $A124, Table2[AwayTeam], J$1)+SUMIFS(Table2[NewPointsHome],Table2[GameDate], "&lt;=" &amp; $A124, Table2[HomeTeam], J$1)</f>
        <v>23</v>
      </c>
      <c r="K124" s="145">
        <f>SUMIFS(Table2[NewPointsAway],Table2[GameDate], "&lt;=" &amp; $A124, Table2[AwayTeam], K$1)+SUMIFS(Table2[NewPointsHome],Table2[GameDate], "&lt;=" &amp; $A124, Table2[HomeTeam], K$1)</f>
        <v>18</v>
      </c>
      <c r="L124" s="145">
        <f>SUMIFS(Table2[NewPointsAway],Table2[GameDate], "&lt;=" &amp; $A124, Table2[AwayTeam], L$1)+SUMIFS(Table2[NewPointsHome],Table2[GameDate], "&lt;=" &amp; $A124, Table2[HomeTeam], L$1)</f>
        <v>20</v>
      </c>
      <c r="M124" s="145">
        <f>SUMIFS(Table2[NewPointsAway],Table2[GameDate], "&lt;=" &amp; $A124, Table2[AwayTeam], M$1)+SUMIFS(Table2[NewPointsHome],Table2[GameDate], "&lt;=" &amp; $A124, Table2[HomeTeam], M$1)</f>
        <v>17</v>
      </c>
      <c r="N124" s="145">
        <f>SUMIFS(Table2[NewPointsAway],Table2[GameDate], "&lt;=" &amp; $A124, Table2[AwayTeam], N$1)+SUMIFS(Table2[NewPointsHome],Table2[GameDate], "&lt;=" &amp; $A124, Table2[HomeTeam], N$1)</f>
        <v>20</v>
      </c>
      <c r="O124" s="145">
        <f>SUMIFS(Table2[NewPointsAway],Table2[GameDate], "&lt;=" &amp; $A124, Table2[AwayTeam], O$1)+SUMIFS(Table2[NewPointsHome],Table2[GameDate], "&lt;=" &amp; $A124, Table2[HomeTeam], O$1)</f>
        <v>18</v>
      </c>
      <c r="P124" s="145">
        <f>SUMIFS(Table2[NewPointsAway],Table2[GameDate], "&lt;=" &amp; $A124, Table2[AwayTeam], P$1)+SUMIFS(Table2[NewPointsHome],Table2[GameDate], "&lt;=" &amp; $A124, Table2[HomeTeam], P$1)</f>
        <v>22</v>
      </c>
      <c r="Q124" s="145">
        <f>SUMIFS(Table2[NewPointsAway],Table2[GameDate], "&lt;=" &amp; $A124, Table2[AwayTeam], Q$1)+SUMIFS(Table2[NewPointsHome],Table2[GameDate], "&lt;=" &amp; $A124, Table2[HomeTeam], Q$1)</f>
        <v>23</v>
      </c>
      <c r="R124" s="145">
        <f>SUMIFS(Table2[NewPointsAway],Table2[GameDate], "&lt;=" &amp; $A124, Table2[AwayTeam], R$1)+SUMIFS(Table2[NewPointsHome],Table2[GameDate], "&lt;=" &amp; $A124, Table2[HomeTeam], R$1)</f>
        <v>14</v>
      </c>
      <c r="S124" s="145">
        <f>SUMIFS(Table2[NewPointsAway],Table2[GameDate], "&lt;=" &amp; $A124, Table2[AwayTeam], S$1)+SUMIFS(Table2[NewPointsHome],Table2[GameDate], "&lt;=" &amp; $A124, Table2[HomeTeam], S$1)</f>
        <v>18</v>
      </c>
      <c r="T124" s="145">
        <f>SUMIFS(Table2[NewPointsAway],Table2[GameDate], "&lt;=" &amp; $A124, Table2[AwayTeam], T$1)+SUMIFS(Table2[NewPointsHome],Table2[GameDate], "&lt;=" &amp; $A124, Table2[HomeTeam], T$1)</f>
        <v>20</v>
      </c>
      <c r="U124" s="145">
        <f>SUMIFS(Table2[NewPointsAway],Table2[GameDate], "&lt;=" &amp; $A124, Table2[AwayTeam], U$1)+SUMIFS(Table2[NewPointsHome],Table2[GameDate], "&lt;=" &amp; $A124, Table2[HomeTeam], U$1)</f>
        <v>20</v>
      </c>
      <c r="V124" s="145">
        <f>SUMIFS(Table2[NewPointsAway],Table2[GameDate], "&lt;=" &amp; $A124, Table2[AwayTeam], V$1)+SUMIFS(Table2[NewPointsHome],Table2[GameDate], "&lt;=" &amp; $A124, Table2[HomeTeam], V$1)</f>
        <v>19</v>
      </c>
      <c r="W124" s="145">
        <f>SUMIFS(Table2[NewPointsAway],Table2[GameDate], "&lt;=" &amp; $A124, Table2[AwayTeam], W$1)+SUMIFS(Table2[NewPointsHome],Table2[GameDate], "&lt;=" &amp; $A124, Table2[HomeTeam], W$1)</f>
        <v>21</v>
      </c>
      <c r="X124" s="145">
        <f>SUMIFS(Table2[NewPointsAway],Table2[GameDate], "&lt;=" &amp; $A124, Table2[AwayTeam], X$1)+SUMIFS(Table2[NewPointsHome],Table2[GameDate], "&lt;=" &amp; $A124, Table2[HomeTeam], X$1)</f>
        <v>19</v>
      </c>
      <c r="Y124" s="145">
        <f>SUMIFS(Table2[NewPointsAway],Table2[GameDate], "&lt;=" &amp; $A124, Table2[AwayTeam], Y$1)+SUMIFS(Table2[NewPointsHome],Table2[GameDate], "&lt;=" &amp; $A124, Table2[HomeTeam], Y$1)</f>
        <v>19</v>
      </c>
      <c r="Z124" s="145">
        <f>SUMIFS(Table2[NewPointsAway],Table2[GameDate], "&lt;=" &amp; $A124, Table2[AwayTeam], Z$1)+SUMIFS(Table2[NewPointsHome],Table2[GameDate], "&lt;=" &amp; $A124, Table2[HomeTeam], Z$1)</f>
        <v>15</v>
      </c>
      <c r="AA124" s="145">
        <f>SUMIFS(Table2[NewPointsAway],Table2[GameDate], "&lt;=" &amp; $A124, Table2[AwayTeam], AA$1)+SUMIFS(Table2[NewPointsHome],Table2[GameDate], "&lt;=" &amp; $A124, Table2[HomeTeam], AA$1)</f>
        <v>18</v>
      </c>
      <c r="AB124" s="145">
        <f>SUMIFS(Table2[NewPointsAway],Table2[GameDate], "&lt;=" &amp; $A124, Table2[AwayTeam], AB$1)+SUMIFS(Table2[NewPointsHome],Table2[GameDate], "&lt;=" &amp; $A124, Table2[HomeTeam], AB$1)</f>
        <v>17</v>
      </c>
      <c r="AC124" s="145">
        <f>SUMIFS(Table2[NewPointsAway],Table2[GameDate], "&lt;=" &amp; $A124, Table2[AwayTeam], AC$1)+SUMIFS(Table2[NewPointsHome],Table2[GameDate], "&lt;=" &amp; $A124, Table2[HomeTeam], AC$1)</f>
        <v>18</v>
      </c>
      <c r="AD124" s="145">
        <f>SUMIFS(Table2[NewPointsAway],Table2[GameDate], "&lt;=" &amp; $A124, Table2[AwayTeam], AD$1)+SUMIFS(Table2[NewPointsHome],Table2[GameDate], "&lt;=" &amp; $A124, Table2[HomeTeam], AD$1)</f>
        <v>17</v>
      </c>
      <c r="AE124" s="145">
        <f>SUMIFS(Table2[NewPointsAway],Table2[GameDate], "&lt;=" &amp; $A124, Table2[AwayTeam], AE$1)+SUMIFS(Table2[NewPointsHome],Table2[GameDate], "&lt;=" &amp; $A124, Table2[HomeTeam], AE$1)</f>
        <v>18</v>
      </c>
      <c r="AF124" s="145">
        <f>SUMIFS(Table2[NewPointsAway],Table2[GameDate], "&lt;=" &amp; $A124, Table2[AwayTeam], AF$1)+SUMIFS(Table2[NewPointsHome],Table2[GameDate], "&lt;=" &amp; $A124, Table2[HomeTeam], AF$1)</f>
        <v>20</v>
      </c>
      <c r="AG124" s="145">
        <f>SUMIFS(Table2[NewPointsAway],Table2[GameDate], "&lt;=" &amp; $A124, Table2[AwayTeam], AG$1)+SUMIFS(Table2[NewPointsHome],Table2[GameDate], "&lt;=" &amp; $A124, Table2[HomeTeam], AG$1)</f>
        <v>17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23</v>
      </c>
      <c r="C125" s="145">
        <f>SUMIFS(Table2[NewPointsAway],Table2[GameDate], "&lt;=" &amp; $A125, Table2[AwayTeam], C$1)+SUMIFS(Table2[NewPointsHome],Table2[GameDate], "&lt;=" &amp; $A125, Table2[HomeTeam], C$1)</f>
        <v>22</v>
      </c>
      <c r="D125" s="145">
        <f>SUMIFS(Table2[NewPointsAway],Table2[GameDate], "&lt;=" &amp; $A125, Table2[AwayTeam], D$1)+SUMIFS(Table2[NewPointsHome],Table2[GameDate], "&lt;=" &amp; $A125, Table2[HomeTeam], D$1)</f>
        <v>14</v>
      </c>
      <c r="E125" s="145">
        <f>SUMIFS(Table2[NewPointsAway],Table2[GameDate], "&lt;=" &amp; $A125, Table2[AwayTeam], E$1)+SUMIFS(Table2[NewPointsHome],Table2[GameDate], "&lt;=" &amp; $A125, Table2[HomeTeam], E$1)</f>
        <v>22</v>
      </c>
      <c r="F125" s="145">
        <f>SUMIFS(Table2[NewPointsAway],Table2[GameDate], "&lt;=" &amp; $A125, Table2[AwayTeam], F$1)+SUMIFS(Table2[NewPointsHome],Table2[GameDate], "&lt;=" &amp; $A125, Table2[HomeTeam], F$1)</f>
        <v>17</v>
      </c>
      <c r="G125" s="145">
        <f>SUMIFS(Table2[NewPointsAway],Table2[GameDate], "&lt;=" &amp; $A125, Table2[AwayTeam], G$1)+SUMIFS(Table2[NewPointsHome],Table2[GameDate], "&lt;=" &amp; $A125, Table2[HomeTeam], G$1)</f>
        <v>10</v>
      </c>
      <c r="H125" s="145">
        <f>SUMIFS(Table2[NewPointsAway],Table2[GameDate], "&lt;=" &amp; $A125, Table2[AwayTeam], H$1)+SUMIFS(Table2[NewPointsHome],Table2[GameDate], "&lt;=" &amp; $A125, Table2[HomeTeam], H$1)</f>
        <v>19</v>
      </c>
      <c r="I125" s="145">
        <f>SUMIFS(Table2[NewPointsAway],Table2[GameDate], "&lt;=" &amp; $A125, Table2[AwayTeam], I$1)+SUMIFS(Table2[NewPointsHome],Table2[GameDate], "&lt;=" &amp; $A125, Table2[HomeTeam], I$1)</f>
        <v>27</v>
      </c>
      <c r="J125" s="145">
        <f>SUMIFS(Table2[NewPointsAway],Table2[GameDate], "&lt;=" &amp; $A125, Table2[AwayTeam], J$1)+SUMIFS(Table2[NewPointsHome],Table2[GameDate], "&lt;=" &amp; $A125, Table2[HomeTeam], J$1)</f>
        <v>23</v>
      </c>
      <c r="K125" s="145">
        <f>SUMIFS(Table2[NewPointsAway],Table2[GameDate], "&lt;=" &amp; $A125, Table2[AwayTeam], K$1)+SUMIFS(Table2[NewPointsHome],Table2[GameDate], "&lt;=" &amp; $A125, Table2[HomeTeam], K$1)</f>
        <v>18</v>
      </c>
      <c r="L125" s="145">
        <f>SUMIFS(Table2[NewPointsAway],Table2[GameDate], "&lt;=" &amp; $A125, Table2[AwayTeam], L$1)+SUMIFS(Table2[NewPointsHome],Table2[GameDate], "&lt;=" &amp; $A125, Table2[HomeTeam], L$1)</f>
        <v>20</v>
      </c>
      <c r="M125" s="145">
        <f>SUMIFS(Table2[NewPointsAway],Table2[GameDate], "&lt;=" &amp; $A125, Table2[AwayTeam], M$1)+SUMIFS(Table2[NewPointsHome],Table2[GameDate], "&lt;=" &amp; $A125, Table2[HomeTeam], M$1)</f>
        <v>17</v>
      </c>
      <c r="N125" s="145">
        <f>SUMIFS(Table2[NewPointsAway],Table2[GameDate], "&lt;=" &amp; $A125, Table2[AwayTeam], N$1)+SUMIFS(Table2[NewPointsHome],Table2[GameDate], "&lt;=" &amp; $A125, Table2[HomeTeam], N$1)</f>
        <v>20</v>
      </c>
      <c r="O125" s="145">
        <f>SUMIFS(Table2[NewPointsAway],Table2[GameDate], "&lt;=" &amp; $A125, Table2[AwayTeam], O$1)+SUMIFS(Table2[NewPointsHome],Table2[GameDate], "&lt;=" &amp; $A125, Table2[HomeTeam], O$1)</f>
        <v>18</v>
      </c>
      <c r="P125" s="145">
        <f>SUMIFS(Table2[NewPointsAway],Table2[GameDate], "&lt;=" &amp; $A125, Table2[AwayTeam], P$1)+SUMIFS(Table2[NewPointsHome],Table2[GameDate], "&lt;=" &amp; $A125, Table2[HomeTeam], P$1)</f>
        <v>22</v>
      </c>
      <c r="Q125" s="145">
        <f>SUMIFS(Table2[NewPointsAway],Table2[GameDate], "&lt;=" &amp; $A125, Table2[AwayTeam], Q$1)+SUMIFS(Table2[NewPointsHome],Table2[GameDate], "&lt;=" &amp; $A125, Table2[HomeTeam], Q$1)</f>
        <v>23</v>
      </c>
      <c r="R125" s="145">
        <f>SUMIFS(Table2[NewPointsAway],Table2[GameDate], "&lt;=" &amp; $A125, Table2[AwayTeam], R$1)+SUMIFS(Table2[NewPointsHome],Table2[GameDate], "&lt;=" &amp; $A125, Table2[HomeTeam], R$1)</f>
        <v>14</v>
      </c>
      <c r="S125" s="145">
        <f>SUMIFS(Table2[NewPointsAway],Table2[GameDate], "&lt;=" &amp; $A125, Table2[AwayTeam], S$1)+SUMIFS(Table2[NewPointsHome],Table2[GameDate], "&lt;=" &amp; $A125, Table2[HomeTeam], S$1)</f>
        <v>18</v>
      </c>
      <c r="T125" s="145">
        <f>SUMIFS(Table2[NewPointsAway],Table2[GameDate], "&lt;=" &amp; $A125, Table2[AwayTeam], T$1)+SUMIFS(Table2[NewPointsHome],Table2[GameDate], "&lt;=" &amp; $A125, Table2[HomeTeam], T$1)</f>
        <v>20</v>
      </c>
      <c r="U125" s="145">
        <f>SUMIFS(Table2[NewPointsAway],Table2[GameDate], "&lt;=" &amp; $A125, Table2[AwayTeam], U$1)+SUMIFS(Table2[NewPointsHome],Table2[GameDate], "&lt;=" &amp; $A125, Table2[HomeTeam], U$1)</f>
        <v>20</v>
      </c>
      <c r="V125" s="145">
        <f>SUMIFS(Table2[NewPointsAway],Table2[GameDate], "&lt;=" &amp; $A125, Table2[AwayTeam], V$1)+SUMIFS(Table2[NewPointsHome],Table2[GameDate], "&lt;=" &amp; $A125, Table2[HomeTeam], V$1)</f>
        <v>19</v>
      </c>
      <c r="W125" s="145">
        <f>SUMIFS(Table2[NewPointsAway],Table2[GameDate], "&lt;=" &amp; $A125, Table2[AwayTeam], W$1)+SUMIFS(Table2[NewPointsHome],Table2[GameDate], "&lt;=" &amp; $A125, Table2[HomeTeam], W$1)</f>
        <v>21</v>
      </c>
      <c r="X125" s="145">
        <f>SUMIFS(Table2[NewPointsAway],Table2[GameDate], "&lt;=" &amp; $A125, Table2[AwayTeam], X$1)+SUMIFS(Table2[NewPointsHome],Table2[GameDate], "&lt;=" &amp; $A125, Table2[HomeTeam], X$1)</f>
        <v>19</v>
      </c>
      <c r="Y125" s="145">
        <f>SUMIFS(Table2[NewPointsAway],Table2[GameDate], "&lt;=" &amp; $A125, Table2[AwayTeam], Y$1)+SUMIFS(Table2[NewPointsHome],Table2[GameDate], "&lt;=" &amp; $A125, Table2[HomeTeam], Y$1)</f>
        <v>19</v>
      </c>
      <c r="Z125" s="145">
        <f>SUMIFS(Table2[NewPointsAway],Table2[GameDate], "&lt;=" &amp; $A125, Table2[AwayTeam], Z$1)+SUMIFS(Table2[NewPointsHome],Table2[GameDate], "&lt;=" &amp; $A125, Table2[HomeTeam], Z$1)</f>
        <v>15</v>
      </c>
      <c r="AA125" s="145">
        <f>SUMIFS(Table2[NewPointsAway],Table2[GameDate], "&lt;=" &amp; $A125, Table2[AwayTeam], AA$1)+SUMIFS(Table2[NewPointsHome],Table2[GameDate], "&lt;=" &amp; $A125, Table2[HomeTeam], AA$1)</f>
        <v>18</v>
      </c>
      <c r="AB125" s="145">
        <f>SUMIFS(Table2[NewPointsAway],Table2[GameDate], "&lt;=" &amp; $A125, Table2[AwayTeam], AB$1)+SUMIFS(Table2[NewPointsHome],Table2[GameDate], "&lt;=" &amp; $A125, Table2[HomeTeam], AB$1)</f>
        <v>17</v>
      </c>
      <c r="AC125" s="145">
        <f>SUMIFS(Table2[NewPointsAway],Table2[GameDate], "&lt;=" &amp; $A125, Table2[AwayTeam], AC$1)+SUMIFS(Table2[NewPointsHome],Table2[GameDate], "&lt;=" &amp; $A125, Table2[HomeTeam], AC$1)</f>
        <v>18</v>
      </c>
      <c r="AD125" s="145">
        <f>SUMIFS(Table2[NewPointsAway],Table2[GameDate], "&lt;=" &amp; $A125, Table2[AwayTeam], AD$1)+SUMIFS(Table2[NewPointsHome],Table2[GameDate], "&lt;=" &amp; $A125, Table2[HomeTeam], AD$1)</f>
        <v>17</v>
      </c>
      <c r="AE125" s="145">
        <f>SUMIFS(Table2[NewPointsAway],Table2[GameDate], "&lt;=" &amp; $A125, Table2[AwayTeam], AE$1)+SUMIFS(Table2[NewPointsHome],Table2[GameDate], "&lt;=" &amp; $A125, Table2[HomeTeam], AE$1)</f>
        <v>18</v>
      </c>
      <c r="AF125" s="145">
        <f>SUMIFS(Table2[NewPointsAway],Table2[GameDate], "&lt;=" &amp; $A125, Table2[AwayTeam], AF$1)+SUMIFS(Table2[NewPointsHome],Table2[GameDate], "&lt;=" &amp; $A125, Table2[HomeTeam], AF$1)</f>
        <v>20</v>
      </c>
      <c r="AG125" s="145">
        <f>SUMIFS(Table2[NewPointsAway],Table2[GameDate], "&lt;=" &amp; $A125, Table2[AwayTeam], AG$1)+SUMIFS(Table2[NewPointsHome],Table2[GameDate], "&lt;=" &amp; $A125, Table2[HomeTeam], AG$1)</f>
        <v>17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23</v>
      </c>
      <c r="C126" s="145">
        <f>SUMIFS(Table2[NewPointsAway],Table2[GameDate], "&lt;=" &amp; $A126, Table2[AwayTeam], C$1)+SUMIFS(Table2[NewPointsHome],Table2[GameDate], "&lt;=" &amp; $A126, Table2[HomeTeam], C$1)</f>
        <v>22</v>
      </c>
      <c r="D126" s="145">
        <f>SUMIFS(Table2[NewPointsAway],Table2[GameDate], "&lt;=" &amp; $A126, Table2[AwayTeam], D$1)+SUMIFS(Table2[NewPointsHome],Table2[GameDate], "&lt;=" &amp; $A126, Table2[HomeTeam], D$1)</f>
        <v>14</v>
      </c>
      <c r="E126" s="145">
        <f>SUMIFS(Table2[NewPointsAway],Table2[GameDate], "&lt;=" &amp; $A126, Table2[AwayTeam], E$1)+SUMIFS(Table2[NewPointsHome],Table2[GameDate], "&lt;=" &amp; $A126, Table2[HomeTeam], E$1)</f>
        <v>22</v>
      </c>
      <c r="F126" s="145">
        <f>SUMIFS(Table2[NewPointsAway],Table2[GameDate], "&lt;=" &amp; $A126, Table2[AwayTeam], F$1)+SUMIFS(Table2[NewPointsHome],Table2[GameDate], "&lt;=" &amp; $A126, Table2[HomeTeam], F$1)</f>
        <v>17</v>
      </c>
      <c r="G126" s="145">
        <f>SUMIFS(Table2[NewPointsAway],Table2[GameDate], "&lt;=" &amp; $A126, Table2[AwayTeam], G$1)+SUMIFS(Table2[NewPointsHome],Table2[GameDate], "&lt;=" &amp; $A126, Table2[HomeTeam], G$1)</f>
        <v>10</v>
      </c>
      <c r="H126" s="145">
        <f>SUMIFS(Table2[NewPointsAway],Table2[GameDate], "&lt;=" &amp; $A126, Table2[AwayTeam], H$1)+SUMIFS(Table2[NewPointsHome],Table2[GameDate], "&lt;=" &amp; $A126, Table2[HomeTeam], H$1)</f>
        <v>19</v>
      </c>
      <c r="I126" s="145">
        <f>SUMIFS(Table2[NewPointsAway],Table2[GameDate], "&lt;=" &amp; $A126, Table2[AwayTeam], I$1)+SUMIFS(Table2[NewPointsHome],Table2[GameDate], "&lt;=" &amp; $A126, Table2[HomeTeam], I$1)</f>
        <v>27</v>
      </c>
      <c r="J126" s="145">
        <f>SUMIFS(Table2[NewPointsAway],Table2[GameDate], "&lt;=" &amp; $A126, Table2[AwayTeam], J$1)+SUMIFS(Table2[NewPointsHome],Table2[GameDate], "&lt;=" &amp; $A126, Table2[HomeTeam], J$1)</f>
        <v>23</v>
      </c>
      <c r="K126" s="145">
        <f>SUMIFS(Table2[NewPointsAway],Table2[GameDate], "&lt;=" &amp; $A126, Table2[AwayTeam], K$1)+SUMIFS(Table2[NewPointsHome],Table2[GameDate], "&lt;=" &amp; $A126, Table2[HomeTeam], K$1)</f>
        <v>18</v>
      </c>
      <c r="L126" s="145">
        <f>SUMIFS(Table2[NewPointsAway],Table2[GameDate], "&lt;=" &amp; $A126, Table2[AwayTeam], L$1)+SUMIFS(Table2[NewPointsHome],Table2[GameDate], "&lt;=" &amp; $A126, Table2[HomeTeam], L$1)</f>
        <v>20</v>
      </c>
      <c r="M126" s="145">
        <f>SUMIFS(Table2[NewPointsAway],Table2[GameDate], "&lt;=" &amp; $A126, Table2[AwayTeam], M$1)+SUMIFS(Table2[NewPointsHome],Table2[GameDate], "&lt;=" &amp; $A126, Table2[HomeTeam], M$1)</f>
        <v>17</v>
      </c>
      <c r="N126" s="145">
        <f>SUMIFS(Table2[NewPointsAway],Table2[GameDate], "&lt;=" &amp; $A126, Table2[AwayTeam], N$1)+SUMIFS(Table2[NewPointsHome],Table2[GameDate], "&lt;=" &amp; $A126, Table2[HomeTeam], N$1)</f>
        <v>20</v>
      </c>
      <c r="O126" s="145">
        <f>SUMIFS(Table2[NewPointsAway],Table2[GameDate], "&lt;=" &amp; $A126, Table2[AwayTeam], O$1)+SUMIFS(Table2[NewPointsHome],Table2[GameDate], "&lt;=" &amp; $A126, Table2[HomeTeam], O$1)</f>
        <v>18</v>
      </c>
      <c r="P126" s="145">
        <f>SUMIFS(Table2[NewPointsAway],Table2[GameDate], "&lt;=" &amp; $A126, Table2[AwayTeam], P$1)+SUMIFS(Table2[NewPointsHome],Table2[GameDate], "&lt;=" &amp; $A126, Table2[HomeTeam], P$1)</f>
        <v>22</v>
      </c>
      <c r="Q126" s="145">
        <f>SUMIFS(Table2[NewPointsAway],Table2[GameDate], "&lt;=" &amp; $A126, Table2[AwayTeam], Q$1)+SUMIFS(Table2[NewPointsHome],Table2[GameDate], "&lt;=" &amp; $A126, Table2[HomeTeam], Q$1)</f>
        <v>23</v>
      </c>
      <c r="R126" s="145">
        <f>SUMIFS(Table2[NewPointsAway],Table2[GameDate], "&lt;=" &amp; $A126, Table2[AwayTeam], R$1)+SUMIFS(Table2[NewPointsHome],Table2[GameDate], "&lt;=" &amp; $A126, Table2[HomeTeam], R$1)</f>
        <v>14</v>
      </c>
      <c r="S126" s="145">
        <f>SUMIFS(Table2[NewPointsAway],Table2[GameDate], "&lt;=" &amp; $A126, Table2[AwayTeam], S$1)+SUMIFS(Table2[NewPointsHome],Table2[GameDate], "&lt;=" &amp; $A126, Table2[HomeTeam], S$1)</f>
        <v>18</v>
      </c>
      <c r="T126" s="145">
        <f>SUMIFS(Table2[NewPointsAway],Table2[GameDate], "&lt;=" &amp; $A126, Table2[AwayTeam], T$1)+SUMIFS(Table2[NewPointsHome],Table2[GameDate], "&lt;=" &amp; $A126, Table2[HomeTeam], T$1)</f>
        <v>20</v>
      </c>
      <c r="U126" s="145">
        <f>SUMIFS(Table2[NewPointsAway],Table2[GameDate], "&lt;=" &amp; $A126, Table2[AwayTeam], U$1)+SUMIFS(Table2[NewPointsHome],Table2[GameDate], "&lt;=" &amp; $A126, Table2[HomeTeam], U$1)</f>
        <v>20</v>
      </c>
      <c r="V126" s="145">
        <f>SUMIFS(Table2[NewPointsAway],Table2[GameDate], "&lt;=" &amp; $A126, Table2[AwayTeam], V$1)+SUMIFS(Table2[NewPointsHome],Table2[GameDate], "&lt;=" &amp; $A126, Table2[HomeTeam], V$1)</f>
        <v>19</v>
      </c>
      <c r="W126" s="145">
        <f>SUMIFS(Table2[NewPointsAway],Table2[GameDate], "&lt;=" &amp; $A126, Table2[AwayTeam], W$1)+SUMIFS(Table2[NewPointsHome],Table2[GameDate], "&lt;=" &amp; $A126, Table2[HomeTeam], W$1)</f>
        <v>21</v>
      </c>
      <c r="X126" s="145">
        <f>SUMIFS(Table2[NewPointsAway],Table2[GameDate], "&lt;=" &amp; $A126, Table2[AwayTeam], X$1)+SUMIFS(Table2[NewPointsHome],Table2[GameDate], "&lt;=" &amp; $A126, Table2[HomeTeam], X$1)</f>
        <v>19</v>
      </c>
      <c r="Y126" s="145">
        <f>SUMIFS(Table2[NewPointsAway],Table2[GameDate], "&lt;=" &amp; $A126, Table2[AwayTeam], Y$1)+SUMIFS(Table2[NewPointsHome],Table2[GameDate], "&lt;=" &amp; $A126, Table2[HomeTeam], Y$1)</f>
        <v>19</v>
      </c>
      <c r="Z126" s="145">
        <f>SUMIFS(Table2[NewPointsAway],Table2[GameDate], "&lt;=" &amp; $A126, Table2[AwayTeam], Z$1)+SUMIFS(Table2[NewPointsHome],Table2[GameDate], "&lt;=" &amp; $A126, Table2[HomeTeam], Z$1)</f>
        <v>15</v>
      </c>
      <c r="AA126" s="145">
        <f>SUMIFS(Table2[NewPointsAway],Table2[GameDate], "&lt;=" &amp; $A126, Table2[AwayTeam], AA$1)+SUMIFS(Table2[NewPointsHome],Table2[GameDate], "&lt;=" &amp; $A126, Table2[HomeTeam], AA$1)</f>
        <v>18</v>
      </c>
      <c r="AB126" s="145">
        <f>SUMIFS(Table2[NewPointsAway],Table2[GameDate], "&lt;=" &amp; $A126, Table2[AwayTeam], AB$1)+SUMIFS(Table2[NewPointsHome],Table2[GameDate], "&lt;=" &amp; $A126, Table2[HomeTeam], AB$1)</f>
        <v>17</v>
      </c>
      <c r="AC126" s="145">
        <f>SUMIFS(Table2[NewPointsAway],Table2[GameDate], "&lt;=" &amp; $A126, Table2[AwayTeam], AC$1)+SUMIFS(Table2[NewPointsHome],Table2[GameDate], "&lt;=" &amp; $A126, Table2[HomeTeam], AC$1)</f>
        <v>18</v>
      </c>
      <c r="AD126" s="145">
        <f>SUMIFS(Table2[NewPointsAway],Table2[GameDate], "&lt;=" &amp; $A126, Table2[AwayTeam], AD$1)+SUMIFS(Table2[NewPointsHome],Table2[GameDate], "&lt;=" &amp; $A126, Table2[HomeTeam], AD$1)</f>
        <v>17</v>
      </c>
      <c r="AE126" s="145">
        <f>SUMIFS(Table2[NewPointsAway],Table2[GameDate], "&lt;=" &amp; $A126, Table2[AwayTeam], AE$1)+SUMIFS(Table2[NewPointsHome],Table2[GameDate], "&lt;=" &amp; $A126, Table2[HomeTeam], AE$1)</f>
        <v>18</v>
      </c>
      <c r="AF126" s="145">
        <f>SUMIFS(Table2[NewPointsAway],Table2[GameDate], "&lt;=" &amp; $A126, Table2[AwayTeam], AF$1)+SUMIFS(Table2[NewPointsHome],Table2[GameDate], "&lt;=" &amp; $A126, Table2[HomeTeam], AF$1)</f>
        <v>20</v>
      </c>
      <c r="AG126" s="145">
        <f>SUMIFS(Table2[NewPointsAway],Table2[GameDate], "&lt;=" &amp; $A126, Table2[AwayTeam], AG$1)+SUMIFS(Table2[NewPointsHome],Table2[GameDate], "&lt;=" &amp; $A126, Table2[HomeTeam], AG$1)</f>
        <v>17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23</v>
      </c>
      <c r="C127" s="145">
        <f>SUMIFS(Table2[NewPointsAway],Table2[GameDate], "&lt;=" &amp; $A127, Table2[AwayTeam], C$1)+SUMIFS(Table2[NewPointsHome],Table2[GameDate], "&lt;=" &amp; $A127, Table2[HomeTeam], C$1)</f>
        <v>22</v>
      </c>
      <c r="D127" s="145">
        <f>SUMIFS(Table2[NewPointsAway],Table2[GameDate], "&lt;=" &amp; $A127, Table2[AwayTeam], D$1)+SUMIFS(Table2[NewPointsHome],Table2[GameDate], "&lt;=" &amp; $A127, Table2[HomeTeam], D$1)</f>
        <v>14</v>
      </c>
      <c r="E127" s="145">
        <f>SUMIFS(Table2[NewPointsAway],Table2[GameDate], "&lt;=" &amp; $A127, Table2[AwayTeam], E$1)+SUMIFS(Table2[NewPointsHome],Table2[GameDate], "&lt;=" &amp; $A127, Table2[HomeTeam], E$1)</f>
        <v>22</v>
      </c>
      <c r="F127" s="145">
        <f>SUMIFS(Table2[NewPointsAway],Table2[GameDate], "&lt;=" &amp; $A127, Table2[AwayTeam], F$1)+SUMIFS(Table2[NewPointsHome],Table2[GameDate], "&lt;=" &amp; $A127, Table2[HomeTeam], F$1)</f>
        <v>17</v>
      </c>
      <c r="G127" s="145">
        <f>SUMIFS(Table2[NewPointsAway],Table2[GameDate], "&lt;=" &amp; $A127, Table2[AwayTeam], G$1)+SUMIFS(Table2[NewPointsHome],Table2[GameDate], "&lt;=" &amp; $A127, Table2[HomeTeam], G$1)</f>
        <v>10</v>
      </c>
      <c r="H127" s="145">
        <f>SUMIFS(Table2[NewPointsAway],Table2[GameDate], "&lt;=" &amp; $A127, Table2[AwayTeam], H$1)+SUMIFS(Table2[NewPointsHome],Table2[GameDate], "&lt;=" &amp; $A127, Table2[HomeTeam], H$1)</f>
        <v>19</v>
      </c>
      <c r="I127" s="145">
        <f>SUMIFS(Table2[NewPointsAway],Table2[GameDate], "&lt;=" &amp; $A127, Table2[AwayTeam], I$1)+SUMIFS(Table2[NewPointsHome],Table2[GameDate], "&lt;=" &amp; $A127, Table2[HomeTeam], I$1)</f>
        <v>27</v>
      </c>
      <c r="J127" s="145">
        <f>SUMIFS(Table2[NewPointsAway],Table2[GameDate], "&lt;=" &amp; $A127, Table2[AwayTeam], J$1)+SUMIFS(Table2[NewPointsHome],Table2[GameDate], "&lt;=" &amp; $A127, Table2[HomeTeam], J$1)</f>
        <v>23</v>
      </c>
      <c r="K127" s="145">
        <f>SUMIFS(Table2[NewPointsAway],Table2[GameDate], "&lt;=" &amp; $A127, Table2[AwayTeam], K$1)+SUMIFS(Table2[NewPointsHome],Table2[GameDate], "&lt;=" &amp; $A127, Table2[HomeTeam], K$1)</f>
        <v>18</v>
      </c>
      <c r="L127" s="145">
        <f>SUMIFS(Table2[NewPointsAway],Table2[GameDate], "&lt;=" &amp; $A127, Table2[AwayTeam], L$1)+SUMIFS(Table2[NewPointsHome],Table2[GameDate], "&lt;=" &amp; $A127, Table2[HomeTeam], L$1)</f>
        <v>20</v>
      </c>
      <c r="M127" s="145">
        <f>SUMIFS(Table2[NewPointsAway],Table2[GameDate], "&lt;=" &amp; $A127, Table2[AwayTeam], M$1)+SUMIFS(Table2[NewPointsHome],Table2[GameDate], "&lt;=" &amp; $A127, Table2[HomeTeam], M$1)</f>
        <v>17</v>
      </c>
      <c r="N127" s="145">
        <f>SUMIFS(Table2[NewPointsAway],Table2[GameDate], "&lt;=" &amp; $A127, Table2[AwayTeam], N$1)+SUMIFS(Table2[NewPointsHome],Table2[GameDate], "&lt;=" &amp; $A127, Table2[HomeTeam], N$1)</f>
        <v>20</v>
      </c>
      <c r="O127" s="145">
        <f>SUMIFS(Table2[NewPointsAway],Table2[GameDate], "&lt;=" &amp; $A127, Table2[AwayTeam], O$1)+SUMIFS(Table2[NewPointsHome],Table2[GameDate], "&lt;=" &amp; $A127, Table2[HomeTeam], O$1)</f>
        <v>18</v>
      </c>
      <c r="P127" s="145">
        <f>SUMIFS(Table2[NewPointsAway],Table2[GameDate], "&lt;=" &amp; $A127, Table2[AwayTeam], P$1)+SUMIFS(Table2[NewPointsHome],Table2[GameDate], "&lt;=" &amp; $A127, Table2[HomeTeam], P$1)</f>
        <v>22</v>
      </c>
      <c r="Q127" s="145">
        <f>SUMIFS(Table2[NewPointsAway],Table2[GameDate], "&lt;=" &amp; $A127, Table2[AwayTeam], Q$1)+SUMIFS(Table2[NewPointsHome],Table2[GameDate], "&lt;=" &amp; $A127, Table2[HomeTeam], Q$1)</f>
        <v>23</v>
      </c>
      <c r="R127" s="145">
        <f>SUMIFS(Table2[NewPointsAway],Table2[GameDate], "&lt;=" &amp; $A127, Table2[AwayTeam], R$1)+SUMIFS(Table2[NewPointsHome],Table2[GameDate], "&lt;=" &amp; $A127, Table2[HomeTeam], R$1)</f>
        <v>14</v>
      </c>
      <c r="S127" s="145">
        <f>SUMIFS(Table2[NewPointsAway],Table2[GameDate], "&lt;=" &amp; $A127, Table2[AwayTeam], S$1)+SUMIFS(Table2[NewPointsHome],Table2[GameDate], "&lt;=" &amp; $A127, Table2[HomeTeam], S$1)</f>
        <v>18</v>
      </c>
      <c r="T127" s="145">
        <f>SUMIFS(Table2[NewPointsAway],Table2[GameDate], "&lt;=" &amp; $A127, Table2[AwayTeam], T$1)+SUMIFS(Table2[NewPointsHome],Table2[GameDate], "&lt;=" &amp; $A127, Table2[HomeTeam], T$1)</f>
        <v>20</v>
      </c>
      <c r="U127" s="145">
        <f>SUMIFS(Table2[NewPointsAway],Table2[GameDate], "&lt;=" &amp; $A127, Table2[AwayTeam], U$1)+SUMIFS(Table2[NewPointsHome],Table2[GameDate], "&lt;=" &amp; $A127, Table2[HomeTeam], U$1)</f>
        <v>20</v>
      </c>
      <c r="V127" s="145">
        <f>SUMIFS(Table2[NewPointsAway],Table2[GameDate], "&lt;=" &amp; $A127, Table2[AwayTeam], V$1)+SUMIFS(Table2[NewPointsHome],Table2[GameDate], "&lt;=" &amp; $A127, Table2[HomeTeam], V$1)</f>
        <v>19</v>
      </c>
      <c r="W127" s="145">
        <f>SUMIFS(Table2[NewPointsAway],Table2[GameDate], "&lt;=" &amp; $A127, Table2[AwayTeam], W$1)+SUMIFS(Table2[NewPointsHome],Table2[GameDate], "&lt;=" &amp; $A127, Table2[HomeTeam], W$1)</f>
        <v>21</v>
      </c>
      <c r="X127" s="145">
        <f>SUMIFS(Table2[NewPointsAway],Table2[GameDate], "&lt;=" &amp; $A127, Table2[AwayTeam], X$1)+SUMIFS(Table2[NewPointsHome],Table2[GameDate], "&lt;=" &amp; $A127, Table2[HomeTeam], X$1)</f>
        <v>19</v>
      </c>
      <c r="Y127" s="145">
        <f>SUMIFS(Table2[NewPointsAway],Table2[GameDate], "&lt;=" &amp; $A127, Table2[AwayTeam], Y$1)+SUMIFS(Table2[NewPointsHome],Table2[GameDate], "&lt;=" &amp; $A127, Table2[HomeTeam], Y$1)</f>
        <v>19</v>
      </c>
      <c r="Z127" s="145">
        <f>SUMIFS(Table2[NewPointsAway],Table2[GameDate], "&lt;=" &amp; $A127, Table2[AwayTeam], Z$1)+SUMIFS(Table2[NewPointsHome],Table2[GameDate], "&lt;=" &amp; $A127, Table2[HomeTeam], Z$1)</f>
        <v>15</v>
      </c>
      <c r="AA127" s="145">
        <f>SUMIFS(Table2[NewPointsAway],Table2[GameDate], "&lt;=" &amp; $A127, Table2[AwayTeam], AA$1)+SUMIFS(Table2[NewPointsHome],Table2[GameDate], "&lt;=" &amp; $A127, Table2[HomeTeam], AA$1)</f>
        <v>18</v>
      </c>
      <c r="AB127" s="145">
        <f>SUMIFS(Table2[NewPointsAway],Table2[GameDate], "&lt;=" &amp; $A127, Table2[AwayTeam], AB$1)+SUMIFS(Table2[NewPointsHome],Table2[GameDate], "&lt;=" &amp; $A127, Table2[HomeTeam], AB$1)</f>
        <v>17</v>
      </c>
      <c r="AC127" s="145">
        <f>SUMIFS(Table2[NewPointsAway],Table2[GameDate], "&lt;=" &amp; $A127, Table2[AwayTeam], AC$1)+SUMIFS(Table2[NewPointsHome],Table2[GameDate], "&lt;=" &amp; $A127, Table2[HomeTeam], AC$1)</f>
        <v>18</v>
      </c>
      <c r="AD127" s="145">
        <f>SUMIFS(Table2[NewPointsAway],Table2[GameDate], "&lt;=" &amp; $A127, Table2[AwayTeam], AD$1)+SUMIFS(Table2[NewPointsHome],Table2[GameDate], "&lt;=" &amp; $A127, Table2[HomeTeam], AD$1)</f>
        <v>17</v>
      </c>
      <c r="AE127" s="145">
        <f>SUMIFS(Table2[NewPointsAway],Table2[GameDate], "&lt;=" &amp; $A127, Table2[AwayTeam], AE$1)+SUMIFS(Table2[NewPointsHome],Table2[GameDate], "&lt;=" &amp; $A127, Table2[HomeTeam], AE$1)</f>
        <v>18</v>
      </c>
      <c r="AF127" s="145">
        <f>SUMIFS(Table2[NewPointsAway],Table2[GameDate], "&lt;=" &amp; $A127, Table2[AwayTeam], AF$1)+SUMIFS(Table2[NewPointsHome],Table2[GameDate], "&lt;=" &amp; $A127, Table2[HomeTeam], AF$1)</f>
        <v>20</v>
      </c>
      <c r="AG127" s="145">
        <f>SUMIFS(Table2[NewPointsAway],Table2[GameDate], "&lt;=" &amp; $A127, Table2[AwayTeam], AG$1)+SUMIFS(Table2[NewPointsHome],Table2[GameDate], "&lt;=" &amp; $A127, Table2[HomeTeam], AG$1)</f>
        <v>17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23</v>
      </c>
      <c r="C128" s="145">
        <f>SUMIFS(Table2[NewPointsAway],Table2[GameDate], "&lt;=" &amp; $A128, Table2[AwayTeam], C$1)+SUMIFS(Table2[NewPointsHome],Table2[GameDate], "&lt;=" &amp; $A128, Table2[HomeTeam], C$1)</f>
        <v>22</v>
      </c>
      <c r="D128" s="145">
        <f>SUMIFS(Table2[NewPointsAway],Table2[GameDate], "&lt;=" &amp; $A128, Table2[AwayTeam], D$1)+SUMIFS(Table2[NewPointsHome],Table2[GameDate], "&lt;=" &amp; $A128, Table2[HomeTeam], D$1)</f>
        <v>14</v>
      </c>
      <c r="E128" s="145">
        <f>SUMIFS(Table2[NewPointsAway],Table2[GameDate], "&lt;=" &amp; $A128, Table2[AwayTeam], E$1)+SUMIFS(Table2[NewPointsHome],Table2[GameDate], "&lt;=" &amp; $A128, Table2[HomeTeam], E$1)</f>
        <v>22</v>
      </c>
      <c r="F128" s="145">
        <f>SUMIFS(Table2[NewPointsAway],Table2[GameDate], "&lt;=" &amp; $A128, Table2[AwayTeam], F$1)+SUMIFS(Table2[NewPointsHome],Table2[GameDate], "&lt;=" &amp; $A128, Table2[HomeTeam], F$1)</f>
        <v>17</v>
      </c>
      <c r="G128" s="145">
        <f>SUMIFS(Table2[NewPointsAway],Table2[GameDate], "&lt;=" &amp; $A128, Table2[AwayTeam], G$1)+SUMIFS(Table2[NewPointsHome],Table2[GameDate], "&lt;=" &amp; $A128, Table2[HomeTeam], G$1)</f>
        <v>10</v>
      </c>
      <c r="H128" s="145">
        <f>SUMIFS(Table2[NewPointsAway],Table2[GameDate], "&lt;=" &amp; $A128, Table2[AwayTeam], H$1)+SUMIFS(Table2[NewPointsHome],Table2[GameDate], "&lt;=" &amp; $A128, Table2[HomeTeam], H$1)</f>
        <v>19</v>
      </c>
      <c r="I128" s="145">
        <f>SUMIFS(Table2[NewPointsAway],Table2[GameDate], "&lt;=" &amp; $A128, Table2[AwayTeam], I$1)+SUMIFS(Table2[NewPointsHome],Table2[GameDate], "&lt;=" &amp; $A128, Table2[HomeTeam], I$1)</f>
        <v>27</v>
      </c>
      <c r="J128" s="145">
        <f>SUMIFS(Table2[NewPointsAway],Table2[GameDate], "&lt;=" &amp; $A128, Table2[AwayTeam], J$1)+SUMIFS(Table2[NewPointsHome],Table2[GameDate], "&lt;=" &amp; $A128, Table2[HomeTeam], J$1)</f>
        <v>23</v>
      </c>
      <c r="K128" s="145">
        <f>SUMIFS(Table2[NewPointsAway],Table2[GameDate], "&lt;=" &amp; $A128, Table2[AwayTeam], K$1)+SUMIFS(Table2[NewPointsHome],Table2[GameDate], "&lt;=" &amp; $A128, Table2[HomeTeam], K$1)</f>
        <v>18</v>
      </c>
      <c r="L128" s="145">
        <f>SUMIFS(Table2[NewPointsAway],Table2[GameDate], "&lt;=" &amp; $A128, Table2[AwayTeam], L$1)+SUMIFS(Table2[NewPointsHome],Table2[GameDate], "&lt;=" &amp; $A128, Table2[HomeTeam], L$1)</f>
        <v>20</v>
      </c>
      <c r="M128" s="145">
        <f>SUMIFS(Table2[NewPointsAway],Table2[GameDate], "&lt;=" &amp; $A128, Table2[AwayTeam], M$1)+SUMIFS(Table2[NewPointsHome],Table2[GameDate], "&lt;=" &amp; $A128, Table2[HomeTeam], M$1)</f>
        <v>17</v>
      </c>
      <c r="N128" s="145">
        <f>SUMIFS(Table2[NewPointsAway],Table2[GameDate], "&lt;=" &amp; $A128, Table2[AwayTeam], N$1)+SUMIFS(Table2[NewPointsHome],Table2[GameDate], "&lt;=" &amp; $A128, Table2[HomeTeam], N$1)</f>
        <v>20</v>
      </c>
      <c r="O128" s="145">
        <f>SUMIFS(Table2[NewPointsAway],Table2[GameDate], "&lt;=" &amp; $A128, Table2[AwayTeam], O$1)+SUMIFS(Table2[NewPointsHome],Table2[GameDate], "&lt;=" &amp; $A128, Table2[HomeTeam], O$1)</f>
        <v>18</v>
      </c>
      <c r="P128" s="145">
        <f>SUMIFS(Table2[NewPointsAway],Table2[GameDate], "&lt;=" &amp; $A128, Table2[AwayTeam], P$1)+SUMIFS(Table2[NewPointsHome],Table2[GameDate], "&lt;=" &amp; $A128, Table2[HomeTeam], P$1)</f>
        <v>22</v>
      </c>
      <c r="Q128" s="145">
        <f>SUMIFS(Table2[NewPointsAway],Table2[GameDate], "&lt;=" &amp; $A128, Table2[AwayTeam], Q$1)+SUMIFS(Table2[NewPointsHome],Table2[GameDate], "&lt;=" &amp; $A128, Table2[HomeTeam], Q$1)</f>
        <v>23</v>
      </c>
      <c r="R128" s="145">
        <f>SUMIFS(Table2[NewPointsAway],Table2[GameDate], "&lt;=" &amp; $A128, Table2[AwayTeam], R$1)+SUMIFS(Table2[NewPointsHome],Table2[GameDate], "&lt;=" &amp; $A128, Table2[HomeTeam], R$1)</f>
        <v>14</v>
      </c>
      <c r="S128" s="145">
        <f>SUMIFS(Table2[NewPointsAway],Table2[GameDate], "&lt;=" &amp; $A128, Table2[AwayTeam], S$1)+SUMIFS(Table2[NewPointsHome],Table2[GameDate], "&lt;=" &amp; $A128, Table2[HomeTeam], S$1)</f>
        <v>18</v>
      </c>
      <c r="T128" s="145">
        <f>SUMIFS(Table2[NewPointsAway],Table2[GameDate], "&lt;=" &amp; $A128, Table2[AwayTeam], T$1)+SUMIFS(Table2[NewPointsHome],Table2[GameDate], "&lt;=" &amp; $A128, Table2[HomeTeam], T$1)</f>
        <v>20</v>
      </c>
      <c r="U128" s="145">
        <f>SUMIFS(Table2[NewPointsAway],Table2[GameDate], "&lt;=" &amp; $A128, Table2[AwayTeam], U$1)+SUMIFS(Table2[NewPointsHome],Table2[GameDate], "&lt;=" &amp; $A128, Table2[HomeTeam], U$1)</f>
        <v>20</v>
      </c>
      <c r="V128" s="145">
        <f>SUMIFS(Table2[NewPointsAway],Table2[GameDate], "&lt;=" &amp; $A128, Table2[AwayTeam], V$1)+SUMIFS(Table2[NewPointsHome],Table2[GameDate], "&lt;=" &amp; $A128, Table2[HomeTeam], V$1)</f>
        <v>19</v>
      </c>
      <c r="W128" s="145">
        <f>SUMIFS(Table2[NewPointsAway],Table2[GameDate], "&lt;=" &amp; $A128, Table2[AwayTeam], W$1)+SUMIFS(Table2[NewPointsHome],Table2[GameDate], "&lt;=" &amp; $A128, Table2[HomeTeam], W$1)</f>
        <v>21</v>
      </c>
      <c r="X128" s="145">
        <f>SUMIFS(Table2[NewPointsAway],Table2[GameDate], "&lt;=" &amp; $A128, Table2[AwayTeam], X$1)+SUMIFS(Table2[NewPointsHome],Table2[GameDate], "&lt;=" &amp; $A128, Table2[HomeTeam], X$1)</f>
        <v>19</v>
      </c>
      <c r="Y128" s="145">
        <f>SUMIFS(Table2[NewPointsAway],Table2[GameDate], "&lt;=" &amp; $A128, Table2[AwayTeam], Y$1)+SUMIFS(Table2[NewPointsHome],Table2[GameDate], "&lt;=" &amp; $A128, Table2[HomeTeam], Y$1)</f>
        <v>19</v>
      </c>
      <c r="Z128" s="145">
        <f>SUMIFS(Table2[NewPointsAway],Table2[GameDate], "&lt;=" &amp; $A128, Table2[AwayTeam], Z$1)+SUMIFS(Table2[NewPointsHome],Table2[GameDate], "&lt;=" &amp; $A128, Table2[HomeTeam], Z$1)</f>
        <v>15</v>
      </c>
      <c r="AA128" s="145">
        <f>SUMIFS(Table2[NewPointsAway],Table2[GameDate], "&lt;=" &amp; $A128, Table2[AwayTeam], AA$1)+SUMIFS(Table2[NewPointsHome],Table2[GameDate], "&lt;=" &amp; $A128, Table2[HomeTeam], AA$1)</f>
        <v>18</v>
      </c>
      <c r="AB128" s="145">
        <f>SUMIFS(Table2[NewPointsAway],Table2[GameDate], "&lt;=" &amp; $A128, Table2[AwayTeam], AB$1)+SUMIFS(Table2[NewPointsHome],Table2[GameDate], "&lt;=" &amp; $A128, Table2[HomeTeam], AB$1)</f>
        <v>17</v>
      </c>
      <c r="AC128" s="145">
        <f>SUMIFS(Table2[NewPointsAway],Table2[GameDate], "&lt;=" &amp; $A128, Table2[AwayTeam], AC$1)+SUMIFS(Table2[NewPointsHome],Table2[GameDate], "&lt;=" &amp; $A128, Table2[HomeTeam], AC$1)</f>
        <v>18</v>
      </c>
      <c r="AD128" s="145">
        <f>SUMIFS(Table2[NewPointsAway],Table2[GameDate], "&lt;=" &amp; $A128, Table2[AwayTeam], AD$1)+SUMIFS(Table2[NewPointsHome],Table2[GameDate], "&lt;=" &amp; $A128, Table2[HomeTeam], AD$1)</f>
        <v>17</v>
      </c>
      <c r="AE128" s="145">
        <f>SUMIFS(Table2[NewPointsAway],Table2[GameDate], "&lt;=" &amp; $A128, Table2[AwayTeam], AE$1)+SUMIFS(Table2[NewPointsHome],Table2[GameDate], "&lt;=" &amp; $A128, Table2[HomeTeam], AE$1)</f>
        <v>18</v>
      </c>
      <c r="AF128" s="145">
        <f>SUMIFS(Table2[NewPointsAway],Table2[GameDate], "&lt;=" &amp; $A128, Table2[AwayTeam], AF$1)+SUMIFS(Table2[NewPointsHome],Table2[GameDate], "&lt;=" &amp; $A128, Table2[HomeTeam], AF$1)</f>
        <v>20</v>
      </c>
      <c r="AG128" s="145">
        <f>SUMIFS(Table2[NewPointsAway],Table2[GameDate], "&lt;=" &amp; $A128, Table2[AwayTeam], AG$1)+SUMIFS(Table2[NewPointsHome],Table2[GameDate], "&lt;=" &amp; $A128, Table2[HomeTeam], AG$1)</f>
        <v>17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23</v>
      </c>
      <c r="C129" s="145">
        <f>SUMIFS(Table2[NewPointsAway],Table2[GameDate], "&lt;=" &amp; $A129, Table2[AwayTeam], C$1)+SUMIFS(Table2[NewPointsHome],Table2[GameDate], "&lt;=" &amp; $A129, Table2[HomeTeam], C$1)</f>
        <v>22</v>
      </c>
      <c r="D129" s="145">
        <f>SUMIFS(Table2[NewPointsAway],Table2[GameDate], "&lt;=" &amp; $A129, Table2[AwayTeam], D$1)+SUMIFS(Table2[NewPointsHome],Table2[GameDate], "&lt;=" &amp; $A129, Table2[HomeTeam], D$1)</f>
        <v>14</v>
      </c>
      <c r="E129" s="145">
        <f>SUMIFS(Table2[NewPointsAway],Table2[GameDate], "&lt;=" &amp; $A129, Table2[AwayTeam], E$1)+SUMIFS(Table2[NewPointsHome],Table2[GameDate], "&lt;=" &amp; $A129, Table2[HomeTeam], E$1)</f>
        <v>22</v>
      </c>
      <c r="F129" s="145">
        <f>SUMIFS(Table2[NewPointsAway],Table2[GameDate], "&lt;=" &amp; $A129, Table2[AwayTeam], F$1)+SUMIFS(Table2[NewPointsHome],Table2[GameDate], "&lt;=" &amp; $A129, Table2[HomeTeam], F$1)</f>
        <v>17</v>
      </c>
      <c r="G129" s="145">
        <f>SUMIFS(Table2[NewPointsAway],Table2[GameDate], "&lt;=" &amp; $A129, Table2[AwayTeam], G$1)+SUMIFS(Table2[NewPointsHome],Table2[GameDate], "&lt;=" &amp; $A129, Table2[HomeTeam], G$1)</f>
        <v>10</v>
      </c>
      <c r="H129" s="145">
        <f>SUMIFS(Table2[NewPointsAway],Table2[GameDate], "&lt;=" &amp; $A129, Table2[AwayTeam], H$1)+SUMIFS(Table2[NewPointsHome],Table2[GameDate], "&lt;=" &amp; $A129, Table2[HomeTeam], H$1)</f>
        <v>19</v>
      </c>
      <c r="I129" s="145">
        <f>SUMIFS(Table2[NewPointsAway],Table2[GameDate], "&lt;=" &amp; $A129, Table2[AwayTeam], I$1)+SUMIFS(Table2[NewPointsHome],Table2[GameDate], "&lt;=" &amp; $A129, Table2[HomeTeam], I$1)</f>
        <v>27</v>
      </c>
      <c r="J129" s="145">
        <f>SUMIFS(Table2[NewPointsAway],Table2[GameDate], "&lt;=" &amp; $A129, Table2[AwayTeam], J$1)+SUMIFS(Table2[NewPointsHome],Table2[GameDate], "&lt;=" &amp; $A129, Table2[HomeTeam], J$1)</f>
        <v>23</v>
      </c>
      <c r="K129" s="145">
        <f>SUMIFS(Table2[NewPointsAway],Table2[GameDate], "&lt;=" &amp; $A129, Table2[AwayTeam], K$1)+SUMIFS(Table2[NewPointsHome],Table2[GameDate], "&lt;=" &amp; $A129, Table2[HomeTeam], K$1)</f>
        <v>18</v>
      </c>
      <c r="L129" s="145">
        <f>SUMIFS(Table2[NewPointsAway],Table2[GameDate], "&lt;=" &amp; $A129, Table2[AwayTeam], L$1)+SUMIFS(Table2[NewPointsHome],Table2[GameDate], "&lt;=" &amp; $A129, Table2[HomeTeam], L$1)</f>
        <v>20</v>
      </c>
      <c r="M129" s="145">
        <f>SUMIFS(Table2[NewPointsAway],Table2[GameDate], "&lt;=" &amp; $A129, Table2[AwayTeam], M$1)+SUMIFS(Table2[NewPointsHome],Table2[GameDate], "&lt;=" &amp; $A129, Table2[HomeTeam], M$1)</f>
        <v>17</v>
      </c>
      <c r="N129" s="145">
        <f>SUMIFS(Table2[NewPointsAway],Table2[GameDate], "&lt;=" &amp; $A129, Table2[AwayTeam], N$1)+SUMIFS(Table2[NewPointsHome],Table2[GameDate], "&lt;=" &amp; $A129, Table2[HomeTeam], N$1)</f>
        <v>20</v>
      </c>
      <c r="O129" s="145">
        <f>SUMIFS(Table2[NewPointsAway],Table2[GameDate], "&lt;=" &amp; $A129, Table2[AwayTeam], O$1)+SUMIFS(Table2[NewPointsHome],Table2[GameDate], "&lt;=" &amp; $A129, Table2[HomeTeam], O$1)</f>
        <v>18</v>
      </c>
      <c r="P129" s="145">
        <f>SUMIFS(Table2[NewPointsAway],Table2[GameDate], "&lt;=" &amp; $A129, Table2[AwayTeam], P$1)+SUMIFS(Table2[NewPointsHome],Table2[GameDate], "&lt;=" &amp; $A129, Table2[HomeTeam], P$1)</f>
        <v>22</v>
      </c>
      <c r="Q129" s="145">
        <f>SUMIFS(Table2[NewPointsAway],Table2[GameDate], "&lt;=" &amp; $A129, Table2[AwayTeam], Q$1)+SUMIFS(Table2[NewPointsHome],Table2[GameDate], "&lt;=" &amp; $A129, Table2[HomeTeam], Q$1)</f>
        <v>23</v>
      </c>
      <c r="R129" s="145">
        <f>SUMIFS(Table2[NewPointsAway],Table2[GameDate], "&lt;=" &amp; $A129, Table2[AwayTeam], R$1)+SUMIFS(Table2[NewPointsHome],Table2[GameDate], "&lt;=" &amp; $A129, Table2[HomeTeam], R$1)</f>
        <v>14</v>
      </c>
      <c r="S129" s="145">
        <f>SUMIFS(Table2[NewPointsAway],Table2[GameDate], "&lt;=" &amp; $A129, Table2[AwayTeam], S$1)+SUMIFS(Table2[NewPointsHome],Table2[GameDate], "&lt;=" &amp; $A129, Table2[HomeTeam], S$1)</f>
        <v>18</v>
      </c>
      <c r="T129" s="145">
        <f>SUMIFS(Table2[NewPointsAway],Table2[GameDate], "&lt;=" &amp; $A129, Table2[AwayTeam], T$1)+SUMIFS(Table2[NewPointsHome],Table2[GameDate], "&lt;=" &amp; $A129, Table2[HomeTeam], T$1)</f>
        <v>20</v>
      </c>
      <c r="U129" s="145">
        <f>SUMIFS(Table2[NewPointsAway],Table2[GameDate], "&lt;=" &amp; $A129, Table2[AwayTeam], U$1)+SUMIFS(Table2[NewPointsHome],Table2[GameDate], "&lt;=" &amp; $A129, Table2[HomeTeam], U$1)</f>
        <v>20</v>
      </c>
      <c r="V129" s="145">
        <f>SUMIFS(Table2[NewPointsAway],Table2[GameDate], "&lt;=" &amp; $A129, Table2[AwayTeam], V$1)+SUMIFS(Table2[NewPointsHome],Table2[GameDate], "&lt;=" &amp; $A129, Table2[HomeTeam], V$1)</f>
        <v>19</v>
      </c>
      <c r="W129" s="145">
        <f>SUMIFS(Table2[NewPointsAway],Table2[GameDate], "&lt;=" &amp; $A129, Table2[AwayTeam], W$1)+SUMIFS(Table2[NewPointsHome],Table2[GameDate], "&lt;=" &amp; $A129, Table2[HomeTeam], W$1)</f>
        <v>21</v>
      </c>
      <c r="X129" s="145">
        <f>SUMIFS(Table2[NewPointsAway],Table2[GameDate], "&lt;=" &amp; $A129, Table2[AwayTeam], X$1)+SUMIFS(Table2[NewPointsHome],Table2[GameDate], "&lt;=" &amp; $A129, Table2[HomeTeam], X$1)</f>
        <v>19</v>
      </c>
      <c r="Y129" s="145">
        <f>SUMIFS(Table2[NewPointsAway],Table2[GameDate], "&lt;=" &amp; $A129, Table2[AwayTeam], Y$1)+SUMIFS(Table2[NewPointsHome],Table2[GameDate], "&lt;=" &amp; $A129, Table2[HomeTeam], Y$1)</f>
        <v>19</v>
      </c>
      <c r="Z129" s="145">
        <f>SUMIFS(Table2[NewPointsAway],Table2[GameDate], "&lt;=" &amp; $A129, Table2[AwayTeam], Z$1)+SUMIFS(Table2[NewPointsHome],Table2[GameDate], "&lt;=" &amp; $A129, Table2[HomeTeam], Z$1)</f>
        <v>15</v>
      </c>
      <c r="AA129" s="145">
        <f>SUMIFS(Table2[NewPointsAway],Table2[GameDate], "&lt;=" &amp; $A129, Table2[AwayTeam], AA$1)+SUMIFS(Table2[NewPointsHome],Table2[GameDate], "&lt;=" &amp; $A129, Table2[HomeTeam], AA$1)</f>
        <v>18</v>
      </c>
      <c r="AB129" s="145">
        <f>SUMIFS(Table2[NewPointsAway],Table2[GameDate], "&lt;=" &amp; $A129, Table2[AwayTeam], AB$1)+SUMIFS(Table2[NewPointsHome],Table2[GameDate], "&lt;=" &amp; $A129, Table2[HomeTeam], AB$1)</f>
        <v>17</v>
      </c>
      <c r="AC129" s="145">
        <f>SUMIFS(Table2[NewPointsAway],Table2[GameDate], "&lt;=" &amp; $A129, Table2[AwayTeam], AC$1)+SUMIFS(Table2[NewPointsHome],Table2[GameDate], "&lt;=" &amp; $A129, Table2[HomeTeam], AC$1)</f>
        <v>18</v>
      </c>
      <c r="AD129" s="145">
        <f>SUMIFS(Table2[NewPointsAway],Table2[GameDate], "&lt;=" &amp; $A129, Table2[AwayTeam], AD$1)+SUMIFS(Table2[NewPointsHome],Table2[GameDate], "&lt;=" &amp; $A129, Table2[HomeTeam], AD$1)</f>
        <v>17</v>
      </c>
      <c r="AE129" s="145">
        <f>SUMIFS(Table2[NewPointsAway],Table2[GameDate], "&lt;=" &amp; $A129, Table2[AwayTeam], AE$1)+SUMIFS(Table2[NewPointsHome],Table2[GameDate], "&lt;=" &amp; $A129, Table2[HomeTeam], AE$1)</f>
        <v>18</v>
      </c>
      <c r="AF129" s="145">
        <f>SUMIFS(Table2[NewPointsAway],Table2[GameDate], "&lt;=" &amp; $A129, Table2[AwayTeam], AF$1)+SUMIFS(Table2[NewPointsHome],Table2[GameDate], "&lt;=" &amp; $A129, Table2[HomeTeam], AF$1)</f>
        <v>20</v>
      </c>
      <c r="AG129" s="145">
        <f>SUMIFS(Table2[NewPointsAway],Table2[GameDate], "&lt;=" &amp; $A129, Table2[AwayTeam], AG$1)+SUMIFS(Table2[NewPointsHome],Table2[GameDate], "&lt;=" &amp; $A129, Table2[HomeTeam], AG$1)</f>
        <v>17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23</v>
      </c>
      <c r="C130" s="145">
        <f>SUMIFS(Table2[NewPointsAway],Table2[GameDate], "&lt;=" &amp; $A130, Table2[AwayTeam], C$1)+SUMIFS(Table2[NewPointsHome],Table2[GameDate], "&lt;=" &amp; $A130, Table2[HomeTeam], C$1)</f>
        <v>22</v>
      </c>
      <c r="D130" s="145">
        <f>SUMIFS(Table2[NewPointsAway],Table2[GameDate], "&lt;=" &amp; $A130, Table2[AwayTeam], D$1)+SUMIFS(Table2[NewPointsHome],Table2[GameDate], "&lt;=" &amp; $A130, Table2[HomeTeam], D$1)</f>
        <v>14</v>
      </c>
      <c r="E130" s="145">
        <f>SUMIFS(Table2[NewPointsAway],Table2[GameDate], "&lt;=" &amp; $A130, Table2[AwayTeam], E$1)+SUMIFS(Table2[NewPointsHome],Table2[GameDate], "&lt;=" &amp; $A130, Table2[HomeTeam], E$1)</f>
        <v>22</v>
      </c>
      <c r="F130" s="145">
        <f>SUMIFS(Table2[NewPointsAway],Table2[GameDate], "&lt;=" &amp; $A130, Table2[AwayTeam], F$1)+SUMIFS(Table2[NewPointsHome],Table2[GameDate], "&lt;=" &amp; $A130, Table2[HomeTeam], F$1)</f>
        <v>17</v>
      </c>
      <c r="G130" s="145">
        <f>SUMIFS(Table2[NewPointsAway],Table2[GameDate], "&lt;=" &amp; $A130, Table2[AwayTeam], G$1)+SUMIFS(Table2[NewPointsHome],Table2[GameDate], "&lt;=" &amp; $A130, Table2[HomeTeam], G$1)</f>
        <v>10</v>
      </c>
      <c r="H130" s="145">
        <f>SUMIFS(Table2[NewPointsAway],Table2[GameDate], "&lt;=" &amp; $A130, Table2[AwayTeam], H$1)+SUMIFS(Table2[NewPointsHome],Table2[GameDate], "&lt;=" &amp; $A130, Table2[HomeTeam], H$1)</f>
        <v>19</v>
      </c>
      <c r="I130" s="145">
        <f>SUMIFS(Table2[NewPointsAway],Table2[GameDate], "&lt;=" &amp; $A130, Table2[AwayTeam], I$1)+SUMIFS(Table2[NewPointsHome],Table2[GameDate], "&lt;=" &amp; $A130, Table2[HomeTeam], I$1)</f>
        <v>27</v>
      </c>
      <c r="J130" s="145">
        <f>SUMIFS(Table2[NewPointsAway],Table2[GameDate], "&lt;=" &amp; $A130, Table2[AwayTeam], J$1)+SUMIFS(Table2[NewPointsHome],Table2[GameDate], "&lt;=" &amp; $A130, Table2[HomeTeam], J$1)</f>
        <v>23</v>
      </c>
      <c r="K130" s="145">
        <f>SUMIFS(Table2[NewPointsAway],Table2[GameDate], "&lt;=" &amp; $A130, Table2[AwayTeam], K$1)+SUMIFS(Table2[NewPointsHome],Table2[GameDate], "&lt;=" &amp; $A130, Table2[HomeTeam], K$1)</f>
        <v>18</v>
      </c>
      <c r="L130" s="145">
        <f>SUMIFS(Table2[NewPointsAway],Table2[GameDate], "&lt;=" &amp; $A130, Table2[AwayTeam], L$1)+SUMIFS(Table2[NewPointsHome],Table2[GameDate], "&lt;=" &amp; $A130, Table2[HomeTeam], L$1)</f>
        <v>20</v>
      </c>
      <c r="M130" s="145">
        <f>SUMIFS(Table2[NewPointsAway],Table2[GameDate], "&lt;=" &amp; $A130, Table2[AwayTeam], M$1)+SUMIFS(Table2[NewPointsHome],Table2[GameDate], "&lt;=" &amp; $A130, Table2[HomeTeam], M$1)</f>
        <v>17</v>
      </c>
      <c r="N130" s="145">
        <f>SUMIFS(Table2[NewPointsAway],Table2[GameDate], "&lt;=" &amp; $A130, Table2[AwayTeam], N$1)+SUMIFS(Table2[NewPointsHome],Table2[GameDate], "&lt;=" &amp; $A130, Table2[HomeTeam], N$1)</f>
        <v>20</v>
      </c>
      <c r="O130" s="145">
        <f>SUMIFS(Table2[NewPointsAway],Table2[GameDate], "&lt;=" &amp; $A130, Table2[AwayTeam], O$1)+SUMIFS(Table2[NewPointsHome],Table2[GameDate], "&lt;=" &amp; $A130, Table2[HomeTeam], O$1)</f>
        <v>18</v>
      </c>
      <c r="P130" s="145">
        <f>SUMIFS(Table2[NewPointsAway],Table2[GameDate], "&lt;=" &amp; $A130, Table2[AwayTeam], P$1)+SUMIFS(Table2[NewPointsHome],Table2[GameDate], "&lt;=" &amp; $A130, Table2[HomeTeam], P$1)</f>
        <v>22</v>
      </c>
      <c r="Q130" s="145">
        <f>SUMIFS(Table2[NewPointsAway],Table2[GameDate], "&lt;=" &amp; $A130, Table2[AwayTeam], Q$1)+SUMIFS(Table2[NewPointsHome],Table2[GameDate], "&lt;=" &amp; $A130, Table2[HomeTeam], Q$1)</f>
        <v>23</v>
      </c>
      <c r="R130" s="145">
        <f>SUMIFS(Table2[NewPointsAway],Table2[GameDate], "&lt;=" &amp; $A130, Table2[AwayTeam], R$1)+SUMIFS(Table2[NewPointsHome],Table2[GameDate], "&lt;=" &amp; $A130, Table2[HomeTeam], R$1)</f>
        <v>14</v>
      </c>
      <c r="S130" s="145">
        <f>SUMIFS(Table2[NewPointsAway],Table2[GameDate], "&lt;=" &amp; $A130, Table2[AwayTeam], S$1)+SUMIFS(Table2[NewPointsHome],Table2[GameDate], "&lt;=" &amp; $A130, Table2[HomeTeam], S$1)</f>
        <v>18</v>
      </c>
      <c r="T130" s="145">
        <f>SUMIFS(Table2[NewPointsAway],Table2[GameDate], "&lt;=" &amp; $A130, Table2[AwayTeam], T$1)+SUMIFS(Table2[NewPointsHome],Table2[GameDate], "&lt;=" &amp; $A130, Table2[HomeTeam], T$1)</f>
        <v>20</v>
      </c>
      <c r="U130" s="145">
        <f>SUMIFS(Table2[NewPointsAway],Table2[GameDate], "&lt;=" &amp; $A130, Table2[AwayTeam], U$1)+SUMIFS(Table2[NewPointsHome],Table2[GameDate], "&lt;=" &amp; $A130, Table2[HomeTeam], U$1)</f>
        <v>20</v>
      </c>
      <c r="V130" s="145">
        <f>SUMIFS(Table2[NewPointsAway],Table2[GameDate], "&lt;=" &amp; $A130, Table2[AwayTeam], V$1)+SUMIFS(Table2[NewPointsHome],Table2[GameDate], "&lt;=" &amp; $A130, Table2[HomeTeam], V$1)</f>
        <v>19</v>
      </c>
      <c r="W130" s="145">
        <f>SUMIFS(Table2[NewPointsAway],Table2[GameDate], "&lt;=" &amp; $A130, Table2[AwayTeam], W$1)+SUMIFS(Table2[NewPointsHome],Table2[GameDate], "&lt;=" &amp; $A130, Table2[HomeTeam], W$1)</f>
        <v>21</v>
      </c>
      <c r="X130" s="145">
        <f>SUMIFS(Table2[NewPointsAway],Table2[GameDate], "&lt;=" &amp; $A130, Table2[AwayTeam], X$1)+SUMIFS(Table2[NewPointsHome],Table2[GameDate], "&lt;=" &amp; $A130, Table2[HomeTeam], X$1)</f>
        <v>19</v>
      </c>
      <c r="Y130" s="145">
        <f>SUMIFS(Table2[NewPointsAway],Table2[GameDate], "&lt;=" &amp; $A130, Table2[AwayTeam], Y$1)+SUMIFS(Table2[NewPointsHome],Table2[GameDate], "&lt;=" &amp; $A130, Table2[HomeTeam], Y$1)</f>
        <v>19</v>
      </c>
      <c r="Z130" s="145">
        <f>SUMIFS(Table2[NewPointsAway],Table2[GameDate], "&lt;=" &amp; $A130, Table2[AwayTeam], Z$1)+SUMIFS(Table2[NewPointsHome],Table2[GameDate], "&lt;=" &amp; $A130, Table2[HomeTeam], Z$1)</f>
        <v>15</v>
      </c>
      <c r="AA130" s="145">
        <f>SUMIFS(Table2[NewPointsAway],Table2[GameDate], "&lt;=" &amp; $A130, Table2[AwayTeam], AA$1)+SUMIFS(Table2[NewPointsHome],Table2[GameDate], "&lt;=" &amp; $A130, Table2[HomeTeam], AA$1)</f>
        <v>18</v>
      </c>
      <c r="AB130" s="145">
        <f>SUMIFS(Table2[NewPointsAway],Table2[GameDate], "&lt;=" &amp; $A130, Table2[AwayTeam], AB$1)+SUMIFS(Table2[NewPointsHome],Table2[GameDate], "&lt;=" &amp; $A130, Table2[HomeTeam], AB$1)</f>
        <v>17</v>
      </c>
      <c r="AC130" s="145">
        <f>SUMIFS(Table2[NewPointsAway],Table2[GameDate], "&lt;=" &amp; $A130, Table2[AwayTeam], AC$1)+SUMIFS(Table2[NewPointsHome],Table2[GameDate], "&lt;=" &amp; $A130, Table2[HomeTeam], AC$1)</f>
        <v>18</v>
      </c>
      <c r="AD130" s="145">
        <f>SUMIFS(Table2[NewPointsAway],Table2[GameDate], "&lt;=" &amp; $A130, Table2[AwayTeam], AD$1)+SUMIFS(Table2[NewPointsHome],Table2[GameDate], "&lt;=" &amp; $A130, Table2[HomeTeam], AD$1)</f>
        <v>17</v>
      </c>
      <c r="AE130" s="145">
        <f>SUMIFS(Table2[NewPointsAway],Table2[GameDate], "&lt;=" &amp; $A130, Table2[AwayTeam], AE$1)+SUMIFS(Table2[NewPointsHome],Table2[GameDate], "&lt;=" &amp; $A130, Table2[HomeTeam], AE$1)</f>
        <v>18</v>
      </c>
      <c r="AF130" s="145">
        <f>SUMIFS(Table2[NewPointsAway],Table2[GameDate], "&lt;=" &amp; $A130, Table2[AwayTeam], AF$1)+SUMIFS(Table2[NewPointsHome],Table2[GameDate], "&lt;=" &amp; $A130, Table2[HomeTeam], AF$1)</f>
        <v>20</v>
      </c>
      <c r="AG130" s="145">
        <f>SUMIFS(Table2[NewPointsAway],Table2[GameDate], "&lt;=" &amp; $A130, Table2[AwayTeam], AG$1)+SUMIFS(Table2[NewPointsHome],Table2[GameDate], "&lt;=" &amp; $A130, Table2[HomeTeam], AG$1)</f>
        <v>17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23</v>
      </c>
      <c r="C131" s="145">
        <f>SUMIFS(Table2[NewPointsAway],Table2[GameDate], "&lt;=" &amp; $A131, Table2[AwayTeam], C$1)+SUMIFS(Table2[NewPointsHome],Table2[GameDate], "&lt;=" &amp; $A131, Table2[HomeTeam], C$1)</f>
        <v>22</v>
      </c>
      <c r="D131" s="145">
        <f>SUMIFS(Table2[NewPointsAway],Table2[GameDate], "&lt;=" &amp; $A131, Table2[AwayTeam], D$1)+SUMIFS(Table2[NewPointsHome],Table2[GameDate], "&lt;=" &amp; $A131, Table2[HomeTeam], D$1)</f>
        <v>14</v>
      </c>
      <c r="E131" s="145">
        <f>SUMIFS(Table2[NewPointsAway],Table2[GameDate], "&lt;=" &amp; $A131, Table2[AwayTeam], E$1)+SUMIFS(Table2[NewPointsHome],Table2[GameDate], "&lt;=" &amp; $A131, Table2[HomeTeam], E$1)</f>
        <v>22</v>
      </c>
      <c r="F131" s="145">
        <f>SUMIFS(Table2[NewPointsAway],Table2[GameDate], "&lt;=" &amp; $A131, Table2[AwayTeam], F$1)+SUMIFS(Table2[NewPointsHome],Table2[GameDate], "&lt;=" &amp; $A131, Table2[HomeTeam], F$1)</f>
        <v>17</v>
      </c>
      <c r="G131" s="145">
        <f>SUMIFS(Table2[NewPointsAway],Table2[GameDate], "&lt;=" &amp; $A131, Table2[AwayTeam], G$1)+SUMIFS(Table2[NewPointsHome],Table2[GameDate], "&lt;=" &amp; $A131, Table2[HomeTeam], G$1)</f>
        <v>10</v>
      </c>
      <c r="H131" s="145">
        <f>SUMIFS(Table2[NewPointsAway],Table2[GameDate], "&lt;=" &amp; $A131, Table2[AwayTeam], H$1)+SUMIFS(Table2[NewPointsHome],Table2[GameDate], "&lt;=" &amp; $A131, Table2[HomeTeam], H$1)</f>
        <v>19</v>
      </c>
      <c r="I131" s="145">
        <f>SUMIFS(Table2[NewPointsAway],Table2[GameDate], "&lt;=" &amp; $A131, Table2[AwayTeam], I$1)+SUMIFS(Table2[NewPointsHome],Table2[GameDate], "&lt;=" &amp; $A131, Table2[HomeTeam], I$1)</f>
        <v>27</v>
      </c>
      <c r="J131" s="145">
        <f>SUMIFS(Table2[NewPointsAway],Table2[GameDate], "&lt;=" &amp; $A131, Table2[AwayTeam], J$1)+SUMIFS(Table2[NewPointsHome],Table2[GameDate], "&lt;=" &amp; $A131, Table2[HomeTeam], J$1)</f>
        <v>23</v>
      </c>
      <c r="K131" s="145">
        <f>SUMIFS(Table2[NewPointsAway],Table2[GameDate], "&lt;=" &amp; $A131, Table2[AwayTeam], K$1)+SUMIFS(Table2[NewPointsHome],Table2[GameDate], "&lt;=" &amp; $A131, Table2[HomeTeam], K$1)</f>
        <v>18</v>
      </c>
      <c r="L131" s="145">
        <f>SUMIFS(Table2[NewPointsAway],Table2[GameDate], "&lt;=" &amp; $A131, Table2[AwayTeam], L$1)+SUMIFS(Table2[NewPointsHome],Table2[GameDate], "&lt;=" &amp; $A131, Table2[HomeTeam], L$1)</f>
        <v>20</v>
      </c>
      <c r="M131" s="145">
        <f>SUMIFS(Table2[NewPointsAway],Table2[GameDate], "&lt;=" &amp; $A131, Table2[AwayTeam], M$1)+SUMIFS(Table2[NewPointsHome],Table2[GameDate], "&lt;=" &amp; $A131, Table2[HomeTeam], M$1)</f>
        <v>17</v>
      </c>
      <c r="N131" s="145">
        <f>SUMIFS(Table2[NewPointsAway],Table2[GameDate], "&lt;=" &amp; $A131, Table2[AwayTeam], N$1)+SUMIFS(Table2[NewPointsHome],Table2[GameDate], "&lt;=" &amp; $A131, Table2[HomeTeam], N$1)</f>
        <v>20</v>
      </c>
      <c r="O131" s="145">
        <f>SUMIFS(Table2[NewPointsAway],Table2[GameDate], "&lt;=" &amp; $A131, Table2[AwayTeam], O$1)+SUMIFS(Table2[NewPointsHome],Table2[GameDate], "&lt;=" &amp; $A131, Table2[HomeTeam], O$1)</f>
        <v>18</v>
      </c>
      <c r="P131" s="145">
        <f>SUMIFS(Table2[NewPointsAway],Table2[GameDate], "&lt;=" &amp; $A131, Table2[AwayTeam], P$1)+SUMIFS(Table2[NewPointsHome],Table2[GameDate], "&lt;=" &amp; $A131, Table2[HomeTeam], P$1)</f>
        <v>22</v>
      </c>
      <c r="Q131" s="145">
        <f>SUMIFS(Table2[NewPointsAway],Table2[GameDate], "&lt;=" &amp; $A131, Table2[AwayTeam], Q$1)+SUMIFS(Table2[NewPointsHome],Table2[GameDate], "&lt;=" &amp; $A131, Table2[HomeTeam], Q$1)</f>
        <v>23</v>
      </c>
      <c r="R131" s="145">
        <f>SUMIFS(Table2[NewPointsAway],Table2[GameDate], "&lt;=" &amp; $A131, Table2[AwayTeam], R$1)+SUMIFS(Table2[NewPointsHome],Table2[GameDate], "&lt;=" &amp; $A131, Table2[HomeTeam], R$1)</f>
        <v>14</v>
      </c>
      <c r="S131" s="145">
        <f>SUMIFS(Table2[NewPointsAway],Table2[GameDate], "&lt;=" &amp; $A131, Table2[AwayTeam], S$1)+SUMIFS(Table2[NewPointsHome],Table2[GameDate], "&lt;=" &amp; $A131, Table2[HomeTeam], S$1)</f>
        <v>18</v>
      </c>
      <c r="T131" s="145">
        <f>SUMIFS(Table2[NewPointsAway],Table2[GameDate], "&lt;=" &amp; $A131, Table2[AwayTeam], T$1)+SUMIFS(Table2[NewPointsHome],Table2[GameDate], "&lt;=" &amp; $A131, Table2[HomeTeam], T$1)</f>
        <v>20</v>
      </c>
      <c r="U131" s="145">
        <f>SUMIFS(Table2[NewPointsAway],Table2[GameDate], "&lt;=" &amp; $A131, Table2[AwayTeam], U$1)+SUMIFS(Table2[NewPointsHome],Table2[GameDate], "&lt;=" &amp; $A131, Table2[HomeTeam], U$1)</f>
        <v>20</v>
      </c>
      <c r="V131" s="145">
        <f>SUMIFS(Table2[NewPointsAway],Table2[GameDate], "&lt;=" &amp; $A131, Table2[AwayTeam], V$1)+SUMIFS(Table2[NewPointsHome],Table2[GameDate], "&lt;=" &amp; $A131, Table2[HomeTeam], V$1)</f>
        <v>19</v>
      </c>
      <c r="W131" s="145">
        <f>SUMIFS(Table2[NewPointsAway],Table2[GameDate], "&lt;=" &amp; $A131, Table2[AwayTeam], W$1)+SUMIFS(Table2[NewPointsHome],Table2[GameDate], "&lt;=" &amp; $A131, Table2[HomeTeam], W$1)</f>
        <v>21</v>
      </c>
      <c r="X131" s="145">
        <f>SUMIFS(Table2[NewPointsAway],Table2[GameDate], "&lt;=" &amp; $A131, Table2[AwayTeam], X$1)+SUMIFS(Table2[NewPointsHome],Table2[GameDate], "&lt;=" &amp; $A131, Table2[HomeTeam], X$1)</f>
        <v>19</v>
      </c>
      <c r="Y131" s="145">
        <f>SUMIFS(Table2[NewPointsAway],Table2[GameDate], "&lt;=" &amp; $A131, Table2[AwayTeam], Y$1)+SUMIFS(Table2[NewPointsHome],Table2[GameDate], "&lt;=" &amp; $A131, Table2[HomeTeam], Y$1)</f>
        <v>19</v>
      </c>
      <c r="Z131" s="145">
        <f>SUMIFS(Table2[NewPointsAway],Table2[GameDate], "&lt;=" &amp; $A131, Table2[AwayTeam], Z$1)+SUMIFS(Table2[NewPointsHome],Table2[GameDate], "&lt;=" &amp; $A131, Table2[HomeTeam], Z$1)</f>
        <v>15</v>
      </c>
      <c r="AA131" s="145">
        <f>SUMIFS(Table2[NewPointsAway],Table2[GameDate], "&lt;=" &amp; $A131, Table2[AwayTeam], AA$1)+SUMIFS(Table2[NewPointsHome],Table2[GameDate], "&lt;=" &amp; $A131, Table2[HomeTeam], AA$1)</f>
        <v>18</v>
      </c>
      <c r="AB131" s="145">
        <f>SUMIFS(Table2[NewPointsAway],Table2[GameDate], "&lt;=" &amp; $A131, Table2[AwayTeam], AB$1)+SUMIFS(Table2[NewPointsHome],Table2[GameDate], "&lt;=" &amp; $A131, Table2[HomeTeam], AB$1)</f>
        <v>17</v>
      </c>
      <c r="AC131" s="145">
        <f>SUMIFS(Table2[NewPointsAway],Table2[GameDate], "&lt;=" &amp; $A131, Table2[AwayTeam], AC$1)+SUMIFS(Table2[NewPointsHome],Table2[GameDate], "&lt;=" &amp; $A131, Table2[HomeTeam], AC$1)</f>
        <v>18</v>
      </c>
      <c r="AD131" s="145">
        <f>SUMIFS(Table2[NewPointsAway],Table2[GameDate], "&lt;=" &amp; $A131, Table2[AwayTeam], AD$1)+SUMIFS(Table2[NewPointsHome],Table2[GameDate], "&lt;=" &amp; $A131, Table2[HomeTeam], AD$1)</f>
        <v>17</v>
      </c>
      <c r="AE131" s="145">
        <f>SUMIFS(Table2[NewPointsAway],Table2[GameDate], "&lt;=" &amp; $A131, Table2[AwayTeam], AE$1)+SUMIFS(Table2[NewPointsHome],Table2[GameDate], "&lt;=" &amp; $A131, Table2[HomeTeam], AE$1)</f>
        <v>18</v>
      </c>
      <c r="AF131" s="145">
        <f>SUMIFS(Table2[NewPointsAway],Table2[GameDate], "&lt;=" &amp; $A131, Table2[AwayTeam], AF$1)+SUMIFS(Table2[NewPointsHome],Table2[GameDate], "&lt;=" &amp; $A131, Table2[HomeTeam], AF$1)</f>
        <v>20</v>
      </c>
      <c r="AG131" s="145">
        <f>SUMIFS(Table2[NewPointsAway],Table2[GameDate], "&lt;=" &amp; $A131, Table2[AwayTeam], AG$1)+SUMIFS(Table2[NewPointsHome],Table2[GameDate], "&lt;=" &amp; $A131, Table2[HomeTeam], AG$1)</f>
        <v>17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23</v>
      </c>
      <c r="C132" s="145">
        <f>SUMIFS(Table2[NewPointsAway],Table2[GameDate], "&lt;=" &amp; $A132, Table2[AwayTeam], C$1)+SUMIFS(Table2[NewPointsHome],Table2[GameDate], "&lt;=" &amp; $A132, Table2[HomeTeam], C$1)</f>
        <v>22</v>
      </c>
      <c r="D132" s="145">
        <f>SUMIFS(Table2[NewPointsAway],Table2[GameDate], "&lt;=" &amp; $A132, Table2[AwayTeam], D$1)+SUMIFS(Table2[NewPointsHome],Table2[GameDate], "&lt;=" &amp; $A132, Table2[HomeTeam], D$1)</f>
        <v>14</v>
      </c>
      <c r="E132" s="145">
        <f>SUMIFS(Table2[NewPointsAway],Table2[GameDate], "&lt;=" &amp; $A132, Table2[AwayTeam], E$1)+SUMIFS(Table2[NewPointsHome],Table2[GameDate], "&lt;=" &amp; $A132, Table2[HomeTeam], E$1)</f>
        <v>22</v>
      </c>
      <c r="F132" s="145">
        <f>SUMIFS(Table2[NewPointsAway],Table2[GameDate], "&lt;=" &amp; $A132, Table2[AwayTeam], F$1)+SUMIFS(Table2[NewPointsHome],Table2[GameDate], "&lt;=" &amp; $A132, Table2[HomeTeam], F$1)</f>
        <v>17</v>
      </c>
      <c r="G132" s="145">
        <f>SUMIFS(Table2[NewPointsAway],Table2[GameDate], "&lt;=" &amp; $A132, Table2[AwayTeam], G$1)+SUMIFS(Table2[NewPointsHome],Table2[GameDate], "&lt;=" &amp; $A132, Table2[HomeTeam], G$1)</f>
        <v>10</v>
      </c>
      <c r="H132" s="145">
        <f>SUMIFS(Table2[NewPointsAway],Table2[GameDate], "&lt;=" &amp; $A132, Table2[AwayTeam], H$1)+SUMIFS(Table2[NewPointsHome],Table2[GameDate], "&lt;=" &amp; $A132, Table2[HomeTeam], H$1)</f>
        <v>19</v>
      </c>
      <c r="I132" s="145">
        <f>SUMIFS(Table2[NewPointsAway],Table2[GameDate], "&lt;=" &amp; $A132, Table2[AwayTeam], I$1)+SUMIFS(Table2[NewPointsHome],Table2[GameDate], "&lt;=" &amp; $A132, Table2[HomeTeam], I$1)</f>
        <v>27</v>
      </c>
      <c r="J132" s="145">
        <f>SUMIFS(Table2[NewPointsAway],Table2[GameDate], "&lt;=" &amp; $A132, Table2[AwayTeam], J$1)+SUMIFS(Table2[NewPointsHome],Table2[GameDate], "&lt;=" &amp; $A132, Table2[HomeTeam], J$1)</f>
        <v>23</v>
      </c>
      <c r="K132" s="145">
        <f>SUMIFS(Table2[NewPointsAway],Table2[GameDate], "&lt;=" &amp; $A132, Table2[AwayTeam], K$1)+SUMIFS(Table2[NewPointsHome],Table2[GameDate], "&lt;=" &amp; $A132, Table2[HomeTeam], K$1)</f>
        <v>18</v>
      </c>
      <c r="L132" s="145">
        <f>SUMIFS(Table2[NewPointsAway],Table2[GameDate], "&lt;=" &amp; $A132, Table2[AwayTeam], L$1)+SUMIFS(Table2[NewPointsHome],Table2[GameDate], "&lt;=" &amp; $A132, Table2[HomeTeam], L$1)</f>
        <v>20</v>
      </c>
      <c r="M132" s="145">
        <f>SUMIFS(Table2[NewPointsAway],Table2[GameDate], "&lt;=" &amp; $A132, Table2[AwayTeam], M$1)+SUMIFS(Table2[NewPointsHome],Table2[GameDate], "&lt;=" &amp; $A132, Table2[HomeTeam], M$1)</f>
        <v>17</v>
      </c>
      <c r="N132" s="145">
        <f>SUMIFS(Table2[NewPointsAway],Table2[GameDate], "&lt;=" &amp; $A132, Table2[AwayTeam], N$1)+SUMIFS(Table2[NewPointsHome],Table2[GameDate], "&lt;=" &amp; $A132, Table2[HomeTeam], N$1)</f>
        <v>20</v>
      </c>
      <c r="O132" s="145">
        <f>SUMIFS(Table2[NewPointsAway],Table2[GameDate], "&lt;=" &amp; $A132, Table2[AwayTeam], O$1)+SUMIFS(Table2[NewPointsHome],Table2[GameDate], "&lt;=" &amp; $A132, Table2[HomeTeam], O$1)</f>
        <v>18</v>
      </c>
      <c r="P132" s="145">
        <f>SUMIFS(Table2[NewPointsAway],Table2[GameDate], "&lt;=" &amp; $A132, Table2[AwayTeam], P$1)+SUMIFS(Table2[NewPointsHome],Table2[GameDate], "&lt;=" &amp; $A132, Table2[HomeTeam], P$1)</f>
        <v>22</v>
      </c>
      <c r="Q132" s="145">
        <f>SUMIFS(Table2[NewPointsAway],Table2[GameDate], "&lt;=" &amp; $A132, Table2[AwayTeam], Q$1)+SUMIFS(Table2[NewPointsHome],Table2[GameDate], "&lt;=" &amp; $A132, Table2[HomeTeam], Q$1)</f>
        <v>23</v>
      </c>
      <c r="R132" s="145">
        <f>SUMIFS(Table2[NewPointsAway],Table2[GameDate], "&lt;=" &amp; $A132, Table2[AwayTeam], R$1)+SUMIFS(Table2[NewPointsHome],Table2[GameDate], "&lt;=" &amp; $A132, Table2[HomeTeam], R$1)</f>
        <v>14</v>
      </c>
      <c r="S132" s="145">
        <f>SUMIFS(Table2[NewPointsAway],Table2[GameDate], "&lt;=" &amp; $A132, Table2[AwayTeam], S$1)+SUMIFS(Table2[NewPointsHome],Table2[GameDate], "&lt;=" &amp; $A132, Table2[HomeTeam], S$1)</f>
        <v>18</v>
      </c>
      <c r="T132" s="145">
        <f>SUMIFS(Table2[NewPointsAway],Table2[GameDate], "&lt;=" &amp; $A132, Table2[AwayTeam], T$1)+SUMIFS(Table2[NewPointsHome],Table2[GameDate], "&lt;=" &amp; $A132, Table2[HomeTeam], T$1)</f>
        <v>20</v>
      </c>
      <c r="U132" s="145">
        <f>SUMIFS(Table2[NewPointsAway],Table2[GameDate], "&lt;=" &amp; $A132, Table2[AwayTeam], U$1)+SUMIFS(Table2[NewPointsHome],Table2[GameDate], "&lt;=" &amp; $A132, Table2[HomeTeam], U$1)</f>
        <v>20</v>
      </c>
      <c r="V132" s="145">
        <f>SUMIFS(Table2[NewPointsAway],Table2[GameDate], "&lt;=" &amp; $A132, Table2[AwayTeam], V$1)+SUMIFS(Table2[NewPointsHome],Table2[GameDate], "&lt;=" &amp; $A132, Table2[HomeTeam], V$1)</f>
        <v>19</v>
      </c>
      <c r="W132" s="145">
        <f>SUMIFS(Table2[NewPointsAway],Table2[GameDate], "&lt;=" &amp; $A132, Table2[AwayTeam], W$1)+SUMIFS(Table2[NewPointsHome],Table2[GameDate], "&lt;=" &amp; $A132, Table2[HomeTeam], W$1)</f>
        <v>21</v>
      </c>
      <c r="X132" s="145">
        <f>SUMIFS(Table2[NewPointsAway],Table2[GameDate], "&lt;=" &amp; $A132, Table2[AwayTeam], X$1)+SUMIFS(Table2[NewPointsHome],Table2[GameDate], "&lt;=" &amp; $A132, Table2[HomeTeam], X$1)</f>
        <v>19</v>
      </c>
      <c r="Y132" s="145">
        <f>SUMIFS(Table2[NewPointsAway],Table2[GameDate], "&lt;=" &amp; $A132, Table2[AwayTeam], Y$1)+SUMIFS(Table2[NewPointsHome],Table2[GameDate], "&lt;=" &amp; $A132, Table2[HomeTeam], Y$1)</f>
        <v>19</v>
      </c>
      <c r="Z132" s="145">
        <f>SUMIFS(Table2[NewPointsAway],Table2[GameDate], "&lt;=" &amp; $A132, Table2[AwayTeam], Z$1)+SUMIFS(Table2[NewPointsHome],Table2[GameDate], "&lt;=" &amp; $A132, Table2[HomeTeam], Z$1)</f>
        <v>15</v>
      </c>
      <c r="AA132" s="145">
        <f>SUMIFS(Table2[NewPointsAway],Table2[GameDate], "&lt;=" &amp; $A132, Table2[AwayTeam], AA$1)+SUMIFS(Table2[NewPointsHome],Table2[GameDate], "&lt;=" &amp; $A132, Table2[HomeTeam], AA$1)</f>
        <v>18</v>
      </c>
      <c r="AB132" s="145">
        <f>SUMIFS(Table2[NewPointsAway],Table2[GameDate], "&lt;=" &amp; $A132, Table2[AwayTeam], AB$1)+SUMIFS(Table2[NewPointsHome],Table2[GameDate], "&lt;=" &amp; $A132, Table2[HomeTeam], AB$1)</f>
        <v>17</v>
      </c>
      <c r="AC132" s="145">
        <f>SUMIFS(Table2[NewPointsAway],Table2[GameDate], "&lt;=" &amp; $A132, Table2[AwayTeam], AC$1)+SUMIFS(Table2[NewPointsHome],Table2[GameDate], "&lt;=" &amp; $A132, Table2[HomeTeam], AC$1)</f>
        <v>18</v>
      </c>
      <c r="AD132" s="145">
        <f>SUMIFS(Table2[NewPointsAway],Table2[GameDate], "&lt;=" &amp; $A132, Table2[AwayTeam], AD$1)+SUMIFS(Table2[NewPointsHome],Table2[GameDate], "&lt;=" &amp; $A132, Table2[HomeTeam], AD$1)</f>
        <v>17</v>
      </c>
      <c r="AE132" s="145">
        <f>SUMIFS(Table2[NewPointsAway],Table2[GameDate], "&lt;=" &amp; $A132, Table2[AwayTeam], AE$1)+SUMIFS(Table2[NewPointsHome],Table2[GameDate], "&lt;=" &amp; $A132, Table2[HomeTeam], AE$1)</f>
        <v>18</v>
      </c>
      <c r="AF132" s="145">
        <f>SUMIFS(Table2[NewPointsAway],Table2[GameDate], "&lt;=" &amp; $A132, Table2[AwayTeam], AF$1)+SUMIFS(Table2[NewPointsHome],Table2[GameDate], "&lt;=" &amp; $A132, Table2[HomeTeam], AF$1)</f>
        <v>20</v>
      </c>
      <c r="AG132" s="145">
        <f>SUMIFS(Table2[NewPointsAway],Table2[GameDate], "&lt;=" &amp; $A132, Table2[AwayTeam], AG$1)+SUMIFS(Table2[NewPointsHome],Table2[GameDate], "&lt;=" &amp; $A132, Table2[HomeTeam], AG$1)</f>
        <v>17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23</v>
      </c>
      <c r="C133" s="145">
        <f>SUMIFS(Table2[NewPointsAway],Table2[GameDate], "&lt;=" &amp; $A133, Table2[AwayTeam], C$1)+SUMIFS(Table2[NewPointsHome],Table2[GameDate], "&lt;=" &amp; $A133, Table2[HomeTeam], C$1)</f>
        <v>22</v>
      </c>
      <c r="D133" s="145">
        <f>SUMIFS(Table2[NewPointsAway],Table2[GameDate], "&lt;=" &amp; $A133, Table2[AwayTeam], D$1)+SUMIFS(Table2[NewPointsHome],Table2[GameDate], "&lt;=" &amp; $A133, Table2[HomeTeam], D$1)</f>
        <v>14</v>
      </c>
      <c r="E133" s="145">
        <f>SUMIFS(Table2[NewPointsAway],Table2[GameDate], "&lt;=" &amp; $A133, Table2[AwayTeam], E$1)+SUMIFS(Table2[NewPointsHome],Table2[GameDate], "&lt;=" &amp; $A133, Table2[HomeTeam], E$1)</f>
        <v>22</v>
      </c>
      <c r="F133" s="145">
        <f>SUMIFS(Table2[NewPointsAway],Table2[GameDate], "&lt;=" &amp; $A133, Table2[AwayTeam], F$1)+SUMIFS(Table2[NewPointsHome],Table2[GameDate], "&lt;=" &amp; $A133, Table2[HomeTeam], F$1)</f>
        <v>17</v>
      </c>
      <c r="G133" s="145">
        <f>SUMIFS(Table2[NewPointsAway],Table2[GameDate], "&lt;=" &amp; $A133, Table2[AwayTeam], G$1)+SUMIFS(Table2[NewPointsHome],Table2[GameDate], "&lt;=" &amp; $A133, Table2[HomeTeam], G$1)</f>
        <v>10</v>
      </c>
      <c r="H133" s="145">
        <f>SUMIFS(Table2[NewPointsAway],Table2[GameDate], "&lt;=" &amp; $A133, Table2[AwayTeam], H$1)+SUMIFS(Table2[NewPointsHome],Table2[GameDate], "&lt;=" &amp; $A133, Table2[HomeTeam], H$1)</f>
        <v>19</v>
      </c>
      <c r="I133" s="145">
        <f>SUMIFS(Table2[NewPointsAway],Table2[GameDate], "&lt;=" &amp; $A133, Table2[AwayTeam], I$1)+SUMIFS(Table2[NewPointsHome],Table2[GameDate], "&lt;=" &amp; $A133, Table2[HomeTeam], I$1)</f>
        <v>27</v>
      </c>
      <c r="J133" s="145">
        <f>SUMIFS(Table2[NewPointsAway],Table2[GameDate], "&lt;=" &amp; $A133, Table2[AwayTeam], J$1)+SUMIFS(Table2[NewPointsHome],Table2[GameDate], "&lt;=" &amp; $A133, Table2[HomeTeam], J$1)</f>
        <v>23</v>
      </c>
      <c r="K133" s="145">
        <f>SUMIFS(Table2[NewPointsAway],Table2[GameDate], "&lt;=" &amp; $A133, Table2[AwayTeam], K$1)+SUMIFS(Table2[NewPointsHome],Table2[GameDate], "&lt;=" &amp; $A133, Table2[HomeTeam], K$1)</f>
        <v>18</v>
      </c>
      <c r="L133" s="145">
        <f>SUMIFS(Table2[NewPointsAway],Table2[GameDate], "&lt;=" &amp; $A133, Table2[AwayTeam], L$1)+SUMIFS(Table2[NewPointsHome],Table2[GameDate], "&lt;=" &amp; $A133, Table2[HomeTeam], L$1)</f>
        <v>20</v>
      </c>
      <c r="M133" s="145">
        <f>SUMIFS(Table2[NewPointsAway],Table2[GameDate], "&lt;=" &amp; $A133, Table2[AwayTeam], M$1)+SUMIFS(Table2[NewPointsHome],Table2[GameDate], "&lt;=" &amp; $A133, Table2[HomeTeam], M$1)</f>
        <v>17</v>
      </c>
      <c r="N133" s="145">
        <f>SUMIFS(Table2[NewPointsAway],Table2[GameDate], "&lt;=" &amp; $A133, Table2[AwayTeam], N$1)+SUMIFS(Table2[NewPointsHome],Table2[GameDate], "&lt;=" &amp; $A133, Table2[HomeTeam], N$1)</f>
        <v>20</v>
      </c>
      <c r="O133" s="145">
        <f>SUMIFS(Table2[NewPointsAway],Table2[GameDate], "&lt;=" &amp; $A133, Table2[AwayTeam], O$1)+SUMIFS(Table2[NewPointsHome],Table2[GameDate], "&lt;=" &amp; $A133, Table2[HomeTeam], O$1)</f>
        <v>18</v>
      </c>
      <c r="P133" s="145">
        <f>SUMIFS(Table2[NewPointsAway],Table2[GameDate], "&lt;=" &amp; $A133, Table2[AwayTeam], P$1)+SUMIFS(Table2[NewPointsHome],Table2[GameDate], "&lt;=" &amp; $A133, Table2[HomeTeam], P$1)</f>
        <v>22</v>
      </c>
      <c r="Q133" s="145">
        <f>SUMIFS(Table2[NewPointsAway],Table2[GameDate], "&lt;=" &amp; $A133, Table2[AwayTeam], Q$1)+SUMIFS(Table2[NewPointsHome],Table2[GameDate], "&lt;=" &amp; $A133, Table2[HomeTeam], Q$1)</f>
        <v>23</v>
      </c>
      <c r="R133" s="145">
        <f>SUMIFS(Table2[NewPointsAway],Table2[GameDate], "&lt;=" &amp; $A133, Table2[AwayTeam], R$1)+SUMIFS(Table2[NewPointsHome],Table2[GameDate], "&lt;=" &amp; $A133, Table2[HomeTeam], R$1)</f>
        <v>14</v>
      </c>
      <c r="S133" s="145">
        <f>SUMIFS(Table2[NewPointsAway],Table2[GameDate], "&lt;=" &amp; $A133, Table2[AwayTeam], S$1)+SUMIFS(Table2[NewPointsHome],Table2[GameDate], "&lt;=" &amp; $A133, Table2[HomeTeam], S$1)</f>
        <v>18</v>
      </c>
      <c r="T133" s="145">
        <f>SUMIFS(Table2[NewPointsAway],Table2[GameDate], "&lt;=" &amp; $A133, Table2[AwayTeam], T$1)+SUMIFS(Table2[NewPointsHome],Table2[GameDate], "&lt;=" &amp; $A133, Table2[HomeTeam], T$1)</f>
        <v>20</v>
      </c>
      <c r="U133" s="145">
        <f>SUMIFS(Table2[NewPointsAway],Table2[GameDate], "&lt;=" &amp; $A133, Table2[AwayTeam], U$1)+SUMIFS(Table2[NewPointsHome],Table2[GameDate], "&lt;=" &amp; $A133, Table2[HomeTeam], U$1)</f>
        <v>20</v>
      </c>
      <c r="V133" s="145">
        <f>SUMIFS(Table2[NewPointsAway],Table2[GameDate], "&lt;=" &amp; $A133, Table2[AwayTeam], V$1)+SUMIFS(Table2[NewPointsHome],Table2[GameDate], "&lt;=" &amp; $A133, Table2[HomeTeam], V$1)</f>
        <v>19</v>
      </c>
      <c r="W133" s="145">
        <f>SUMIFS(Table2[NewPointsAway],Table2[GameDate], "&lt;=" &amp; $A133, Table2[AwayTeam], W$1)+SUMIFS(Table2[NewPointsHome],Table2[GameDate], "&lt;=" &amp; $A133, Table2[HomeTeam], W$1)</f>
        <v>21</v>
      </c>
      <c r="X133" s="145">
        <f>SUMIFS(Table2[NewPointsAway],Table2[GameDate], "&lt;=" &amp; $A133, Table2[AwayTeam], X$1)+SUMIFS(Table2[NewPointsHome],Table2[GameDate], "&lt;=" &amp; $A133, Table2[HomeTeam], X$1)</f>
        <v>19</v>
      </c>
      <c r="Y133" s="145">
        <f>SUMIFS(Table2[NewPointsAway],Table2[GameDate], "&lt;=" &amp; $A133, Table2[AwayTeam], Y$1)+SUMIFS(Table2[NewPointsHome],Table2[GameDate], "&lt;=" &amp; $A133, Table2[HomeTeam], Y$1)</f>
        <v>19</v>
      </c>
      <c r="Z133" s="145">
        <f>SUMIFS(Table2[NewPointsAway],Table2[GameDate], "&lt;=" &amp; $A133, Table2[AwayTeam], Z$1)+SUMIFS(Table2[NewPointsHome],Table2[GameDate], "&lt;=" &amp; $A133, Table2[HomeTeam], Z$1)</f>
        <v>15</v>
      </c>
      <c r="AA133" s="145">
        <f>SUMIFS(Table2[NewPointsAway],Table2[GameDate], "&lt;=" &amp; $A133, Table2[AwayTeam], AA$1)+SUMIFS(Table2[NewPointsHome],Table2[GameDate], "&lt;=" &amp; $A133, Table2[HomeTeam], AA$1)</f>
        <v>18</v>
      </c>
      <c r="AB133" s="145">
        <f>SUMIFS(Table2[NewPointsAway],Table2[GameDate], "&lt;=" &amp; $A133, Table2[AwayTeam], AB$1)+SUMIFS(Table2[NewPointsHome],Table2[GameDate], "&lt;=" &amp; $A133, Table2[HomeTeam], AB$1)</f>
        <v>17</v>
      </c>
      <c r="AC133" s="145">
        <f>SUMIFS(Table2[NewPointsAway],Table2[GameDate], "&lt;=" &amp; $A133, Table2[AwayTeam], AC$1)+SUMIFS(Table2[NewPointsHome],Table2[GameDate], "&lt;=" &amp; $A133, Table2[HomeTeam], AC$1)</f>
        <v>18</v>
      </c>
      <c r="AD133" s="145">
        <f>SUMIFS(Table2[NewPointsAway],Table2[GameDate], "&lt;=" &amp; $A133, Table2[AwayTeam], AD$1)+SUMIFS(Table2[NewPointsHome],Table2[GameDate], "&lt;=" &amp; $A133, Table2[HomeTeam], AD$1)</f>
        <v>17</v>
      </c>
      <c r="AE133" s="145">
        <f>SUMIFS(Table2[NewPointsAway],Table2[GameDate], "&lt;=" &amp; $A133, Table2[AwayTeam], AE$1)+SUMIFS(Table2[NewPointsHome],Table2[GameDate], "&lt;=" &amp; $A133, Table2[HomeTeam], AE$1)</f>
        <v>18</v>
      </c>
      <c r="AF133" s="145">
        <f>SUMIFS(Table2[NewPointsAway],Table2[GameDate], "&lt;=" &amp; $A133, Table2[AwayTeam], AF$1)+SUMIFS(Table2[NewPointsHome],Table2[GameDate], "&lt;=" &amp; $A133, Table2[HomeTeam], AF$1)</f>
        <v>20</v>
      </c>
      <c r="AG133" s="145">
        <f>SUMIFS(Table2[NewPointsAway],Table2[GameDate], "&lt;=" &amp; $A133, Table2[AwayTeam], AG$1)+SUMIFS(Table2[NewPointsHome],Table2[GameDate], "&lt;=" &amp; $A133, Table2[HomeTeam], AG$1)</f>
        <v>17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23</v>
      </c>
      <c r="C134" s="145">
        <f>SUMIFS(Table2[NewPointsAway],Table2[GameDate], "&lt;=" &amp; $A134, Table2[AwayTeam], C$1)+SUMIFS(Table2[NewPointsHome],Table2[GameDate], "&lt;=" &amp; $A134, Table2[HomeTeam], C$1)</f>
        <v>22</v>
      </c>
      <c r="D134" s="145">
        <f>SUMIFS(Table2[NewPointsAway],Table2[GameDate], "&lt;=" &amp; $A134, Table2[AwayTeam], D$1)+SUMIFS(Table2[NewPointsHome],Table2[GameDate], "&lt;=" &amp; $A134, Table2[HomeTeam], D$1)</f>
        <v>14</v>
      </c>
      <c r="E134" s="145">
        <f>SUMIFS(Table2[NewPointsAway],Table2[GameDate], "&lt;=" &amp; $A134, Table2[AwayTeam], E$1)+SUMIFS(Table2[NewPointsHome],Table2[GameDate], "&lt;=" &amp; $A134, Table2[HomeTeam], E$1)</f>
        <v>22</v>
      </c>
      <c r="F134" s="145">
        <f>SUMIFS(Table2[NewPointsAway],Table2[GameDate], "&lt;=" &amp; $A134, Table2[AwayTeam], F$1)+SUMIFS(Table2[NewPointsHome],Table2[GameDate], "&lt;=" &amp; $A134, Table2[HomeTeam], F$1)</f>
        <v>17</v>
      </c>
      <c r="G134" s="145">
        <f>SUMIFS(Table2[NewPointsAway],Table2[GameDate], "&lt;=" &amp; $A134, Table2[AwayTeam], G$1)+SUMIFS(Table2[NewPointsHome],Table2[GameDate], "&lt;=" &amp; $A134, Table2[HomeTeam], G$1)</f>
        <v>10</v>
      </c>
      <c r="H134" s="145">
        <f>SUMIFS(Table2[NewPointsAway],Table2[GameDate], "&lt;=" &amp; $A134, Table2[AwayTeam], H$1)+SUMIFS(Table2[NewPointsHome],Table2[GameDate], "&lt;=" &amp; $A134, Table2[HomeTeam], H$1)</f>
        <v>19</v>
      </c>
      <c r="I134" s="145">
        <f>SUMIFS(Table2[NewPointsAway],Table2[GameDate], "&lt;=" &amp; $A134, Table2[AwayTeam], I$1)+SUMIFS(Table2[NewPointsHome],Table2[GameDate], "&lt;=" &amp; $A134, Table2[HomeTeam], I$1)</f>
        <v>27</v>
      </c>
      <c r="J134" s="145">
        <f>SUMIFS(Table2[NewPointsAway],Table2[GameDate], "&lt;=" &amp; $A134, Table2[AwayTeam], J$1)+SUMIFS(Table2[NewPointsHome],Table2[GameDate], "&lt;=" &amp; $A134, Table2[HomeTeam], J$1)</f>
        <v>23</v>
      </c>
      <c r="K134" s="145">
        <f>SUMIFS(Table2[NewPointsAway],Table2[GameDate], "&lt;=" &amp; $A134, Table2[AwayTeam], K$1)+SUMIFS(Table2[NewPointsHome],Table2[GameDate], "&lt;=" &amp; $A134, Table2[HomeTeam], K$1)</f>
        <v>18</v>
      </c>
      <c r="L134" s="145">
        <f>SUMIFS(Table2[NewPointsAway],Table2[GameDate], "&lt;=" &amp; $A134, Table2[AwayTeam], L$1)+SUMIFS(Table2[NewPointsHome],Table2[GameDate], "&lt;=" &amp; $A134, Table2[HomeTeam], L$1)</f>
        <v>20</v>
      </c>
      <c r="M134" s="145">
        <f>SUMIFS(Table2[NewPointsAway],Table2[GameDate], "&lt;=" &amp; $A134, Table2[AwayTeam], M$1)+SUMIFS(Table2[NewPointsHome],Table2[GameDate], "&lt;=" &amp; $A134, Table2[HomeTeam], M$1)</f>
        <v>17</v>
      </c>
      <c r="N134" s="145">
        <f>SUMIFS(Table2[NewPointsAway],Table2[GameDate], "&lt;=" &amp; $A134, Table2[AwayTeam], N$1)+SUMIFS(Table2[NewPointsHome],Table2[GameDate], "&lt;=" &amp; $A134, Table2[HomeTeam], N$1)</f>
        <v>20</v>
      </c>
      <c r="O134" s="145">
        <f>SUMIFS(Table2[NewPointsAway],Table2[GameDate], "&lt;=" &amp; $A134, Table2[AwayTeam], O$1)+SUMIFS(Table2[NewPointsHome],Table2[GameDate], "&lt;=" &amp; $A134, Table2[HomeTeam], O$1)</f>
        <v>18</v>
      </c>
      <c r="P134" s="145">
        <f>SUMIFS(Table2[NewPointsAway],Table2[GameDate], "&lt;=" &amp; $A134, Table2[AwayTeam], P$1)+SUMIFS(Table2[NewPointsHome],Table2[GameDate], "&lt;=" &amp; $A134, Table2[HomeTeam], P$1)</f>
        <v>22</v>
      </c>
      <c r="Q134" s="145">
        <f>SUMIFS(Table2[NewPointsAway],Table2[GameDate], "&lt;=" &amp; $A134, Table2[AwayTeam], Q$1)+SUMIFS(Table2[NewPointsHome],Table2[GameDate], "&lt;=" &amp; $A134, Table2[HomeTeam], Q$1)</f>
        <v>23</v>
      </c>
      <c r="R134" s="145">
        <f>SUMIFS(Table2[NewPointsAway],Table2[GameDate], "&lt;=" &amp; $A134, Table2[AwayTeam], R$1)+SUMIFS(Table2[NewPointsHome],Table2[GameDate], "&lt;=" &amp; $A134, Table2[HomeTeam], R$1)</f>
        <v>14</v>
      </c>
      <c r="S134" s="145">
        <f>SUMIFS(Table2[NewPointsAway],Table2[GameDate], "&lt;=" &amp; $A134, Table2[AwayTeam], S$1)+SUMIFS(Table2[NewPointsHome],Table2[GameDate], "&lt;=" &amp; $A134, Table2[HomeTeam], S$1)</f>
        <v>18</v>
      </c>
      <c r="T134" s="145">
        <f>SUMIFS(Table2[NewPointsAway],Table2[GameDate], "&lt;=" &amp; $A134, Table2[AwayTeam], T$1)+SUMIFS(Table2[NewPointsHome],Table2[GameDate], "&lt;=" &amp; $A134, Table2[HomeTeam], T$1)</f>
        <v>20</v>
      </c>
      <c r="U134" s="145">
        <f>SUMIFS(Table2[NewPointsAway],Table2[GameDate], "&lt;=" &amp; $A134, Table2[AwayTeam], U$1)+SUMIFS(Table2[NewPointsHome],Table2[GameDate], "&lt;=" &amp; $A134, Table2[HomeTeam], U$1)</f>
        <v>20</v>
      </c>
      <c r="V134" s="145">
        <f>SUMIFS(Table2[NewPointsAway],Table2[GameDate], "&lt;=" &amp; $A134, Table2[AwayTeam], V$1)+SUMIFS(Table2[NewPointsHome],Table2[GameDate], "&lt;=" &amp; $A134, Table2[HomeTeam], V$1)</f>
        <v>19</v>
      </c>
      <c r="W134" s="145">
        <f>SUMIFS(Table2[NewPointsAway],Table2[GameDate], "&lt;=" &amp; $A134, Table2[AwayTeam], W$1)+SUMIFS(Table2[NewPointsHome],Table2[GameDate], "&lt;=" &amp; $A134, Table2[HomeTeam], W$1)</f>
        <v>21</v>
      </c>
      <c r="X134" s="145">
        <f>SUMIFS(Table2[NewPointsAway],Table2[GameDate], "&lt;=" &amp; $A134, Table2[AwayTeam], X$1)+SUMIFS(Table2[NewPointsHome],Table2[GameDate], "&lt;=" &amp; $A134, Table2[HomeTeam], X$1)</f>
        <v>19</v>
      </c>
      <c r="Y134" s="145">
        <f>SUMIFS(Table2[NewPointsAway],Table2[GameDate], "&lt;=" &amp; $A134, Table2[AwayTeam], Y$1)+SUMIFS(Table2[NewPointsHome],Table2[GameDate], "&lt;=" &amp; $A134, Table2[HomeTeam], Y$1)</f>
        <v>19</v>
      </c>
      <c r="Z134" s="145">
        <f>SUMIFS(Table2[NewPointsAway],Table2[GameDate], "&lt;=" &amp; $A134, Table2[AwayTeam], Z$1)+SUMIFS(Table2[NewPointsHome],Table2[GameDate], "&lt;=" &amp; $A134, Table2[HomeTeam], Z$1)</f>
        <v>15</v>
      </c>
      <c r="AA134" s="145">
        <f>SUMIFS(Table2[NewPointsAway],Table2[GameDate], "&lt;=" &amp; $A134, Table2[AwayTeam], AA$1)+SUMIFS(Table2[NewPointsHome],Table2[GameDate], "&lt;=" &amp; $A134, Table2[HomeTeam], AA$1)</f>
        <v>18</v>
      </c>
      <c r="AB134" s="145">
        <f>SUMIFS(Table2[NewPointsAway],Table2[GameDate], "&lt;=" &amp; $A134, Table2[AwayTeam], AB$1)+SUMIFS(Table2[NewPointsHome],Table2[GameDate], "&lt;=" &amp; $A134, Table2[HomeTeam], AB$1)</f>
        <v>17</v>
      </c>
      <c r="AC134" s="145">
        <f>SUMIFS(Table2[NewPointsAway],Table2[GameDate], "&lt;=" &amp; $A134, Table2[AwayTeam], AC$1)+SUMIFS(Table2[NewPointsHome],Table2[GameDate], "&lt;=" &amp; $A134, Table2[HomeTeam], AC$1)</f>
        <v>18</v>
      </c>
      <c r="AD134" s="145">
        <f>SUMIFS(Table2[NewPointsAway],Table2[GameDate], "&lt;=" &amp; $A134, Table2[AwayTeam], AD$1)+SUMIFS(Table2[NewPointsHome],Table2[GameDate], "&lt;=" &amp; $A134, Table2[HomeTeam], AD$1)</f>
        <v>17</v>
      </c>
      <c r="AE134" s="145">
        <f>SUMIFS(Table2[NewPointsAway],Table2[GameDate], "&lt;=" &amp; $A134, Table2[AwayTeam], AE$1)+SUMIFS(Table2[NewPointsHome],Table2[GameDate], "&lt;=" &amp; $A134, Table2[HomeTeam], AE$1)</f>
        <v>18</v>
      </c>
      <c r="AF134" s="145">
        <f>SUMIFS(Table2[NewPointsAway],Table2[GameDate], "&lt;=" &amp; $A134, Table2[AwayTeam], AF$1)+SUMIFS(Table2[NewPointsHome],Table2[GameDate], "&lt;=" &amp; $A134, Table2[HomeTeam], AF$1)</f>
        <v>20</v>
      </c>
      <c r="AG134" s="145">
        <f>SUMIFS(Table2[NewPointsAway],Table2[GameDate], "&lt;=" &amp; $A134, Table2[AwayTeam], AG$1)+SUMIFS(Table2[NewPointsHome],Table2[GameDate], "&lt;=" &amp; $A134, Table2[HomeTeam], AG$1)</f>
        <v>17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23</v>
      </c>
      <c r="C135" s="145">
        <f>SUMIFS(Table2[NewPointsAway],Table2[GameDate], "&lt;=" &amp; $A135, Table2[AwayTeam], C$1)+SUMIFS(Table2[NewPointsHome],Table2[GameDate], "&lt;=" &amp; $A135, Table2[HomeTeam], C$1)</f>
        <v>22</v>
      </c>
      <c r="D135" s="145">
        <f>SUMIFS(Table2[NewPointsAway],Table2[GameDate], "&lt;=" &amp; $A135, Table2[AwayTeam], D$1)+SUMIFS(Table2[NewPointsHome],Table2[GameDate], "&lt;=" &amp; $A135, Table2[HomeTeam], D$1)</f>
        <v>14</v>
      </c>
      <c r="E135" s="145">
        <f>SUMIFS(Table2[NewPointsAway],Table2[GameDate], "&lt;=" &amp; $A135, Table2[AwayTeam], E$1)+SUMIFS(Table2[NewPointsHome],Table2[GameDate], "&lt;=" &amp; $A135, Table2[HomeTeam], E$1)</f>
        <v>22</v>
      </c>
      <c r="F135" s="145">
        <f>SUMIFS(Table2[NewPointsAway],Table2[GameDate], "&lt;=" &amp; $A135, Table2[AwayTeam], F$1)+SUMIFS(Table2[NewPointsHome],Table2[GameDate], "&lt;=" &amp; $A135, Table2[HomeTeam], F$1)</f>
        <v>17</v>
      </c>
      <c r="G135" s="145">
        <f>SUMIFS(Table2[NewPointsAway],Table2[GameDate], "&lt;=" &amp; $A135, Table2[AwayTeam], G$1)+SUMIFS(Table2[NewPointsHome],Table2[GameDate], "&lt;=" &amp; $A135, Table2[HomeTeam], G$1)</f>
        <v>10</v>
      </c>
      <c r="H135" s="145">
        <f>SUMIFS(Table2[NewPointsAway],Table2[GameDate], "&lt;=" &amp; $A135, Table2[AwayTeam], H$1)+SUMIFS(Table2[NewPointsHome],Table2[GameDate], "&lt;=" &amp; $A135, Table2[HomeTeam], H$1)</f>
        <v>19</v>
      </c>
      <c r="I135" s="145">
        <f>SUMIFS(Table2[NewPointsAway],Table2[GameDate], "&lt;=" &amp; $A135, Table2[AwayTeam], I$1)+SUMIFS(Table2[NewPointsHome],Table2[GameDate], "&lt;=" &amp; $A135, Table2[HomeTeam], I$1)</f>
        <v>27</v>
      </c>
      <c r="J135" s="145">
        <f>SUMIFS(Table2[NewPointsAway],Table2[GameDate], "&lt;=" &amp; $A135, Table2[AwayTeam], J$1)+SUMIFS(Table2[NewPointsHome],Table2[GameDate], "&lt;=" &amp; $A135, Table2[HomeTeam], J$1)</f>
        <v>23</v>
      </c>
      <c r="K135" s="145">
        <f>SUMIFS(Table2[NewPointsAway],Table2[GameDate], "&lt;=" &amp; $A135, Table2[AwayTeam], K$1)+SUMIFS(Table2[NewPointsHome],Table2[GameDate], "&lt;=" &amp; $A135, Table2[HomeTeam], K$1)</f>
        <v>18</v>
      </c>
      <c r="L135" s="145">
        <f>SUMIFS(Table2[NewPointsAway],Table2[GameDate], "&lt;=" &amp; $A135, Table2[AwayTeam], L$1)+SUMIFS(Table2[NewPointsHome],Table2[GameDate], "&lt;=" &amp; $A135, Table2[HomeTeam], L$1)</f>
        <v>20</v>
      </c>
      <c r="M135" s="145">
        <f>SUMIFS(Table2[NewPointsAway],Table2[GameDate], "&lt;=" &amp; $A135, Table2[AwayTeam], M$1)+SUMIFS(Table2[NewPointsHome],Table2[GameDate], "&lt;=" &amp; $A135, Table2[HomeTeam], M$1)</f>
        <v>17</v>
      </c>
      <c r="N135" s="145">
        <f>SUMIFS(Table2[NewPointsAway],Table2[GameDate], "&lt;=" &amp; $A135, Table2[AwayTeam], N$1)+SUMIFS(Table2[NewPointsHome],Table2[GameDate], "&lt;=" &amp; $A135, Table2[HomeTeam], N$1)</f>
        <v>20</v>
      </c>
      <c r="O135" s="145">
        <f>SUMIFS(Table2[NewPointsAway],Table2[GameDate], "&lt;=" &amp; $A135, Table2[AwayTeam], O$1)+SUMIFS(Table2[NewPointsHome],Table2[GameDate], "&lt;=" &amp; $A135, Table2[HomeTeam], O$1)</f>
        <v>18</v>
      </c>
      <c r="P135" s="145">
        <f>SUMIFS(Table2[NewPointsAway],Table2[GameDate], "&lt;=" &amp; $A135, Table2[AwayTeam], P$1)+SUMIFS(Table2[NewPointsHome],Table2[GameDate], "&lt;=" &amp; $A135, Table2[HomeTeam], P$1)</f>
        <v>22</v>
      </c>
      <c r="Q135" s="145">
        <f>SUMIFS(Table2[NewPointsAway],Table2[GameDate], "&lt;=" &amp; $A135, Table2[AwayTeam], Q$1)+SUMIFS(Table2[NewPointsHome],Table2[GameDate], "&lt;=" &amp; $A135, Table2[HomeTeam], Q$1)</f>
        <v>23</v>
      </c>
      <c r="R135" s="145">
        <f>SUMIFS(Table2[NewPointsAway],Table2[GameDate], "&lt;=" &amp; $A135, Table2[AwayTeam], R$1)+SUMIFS(Table2[NewPointsHome],Table2[GameDate], "&lt;=" &amp; $A135, Table2[HomeTeam], R$1)</f>
        <v>14</v>
      </c>
      <c r="S135" s="145">
        <f>SUMIFS(Table2[NewPointsAway],Table2[GameDate], "&lt;=" &amp; $A135, Table2[AwayTeam], S$1)+SUMIFS(Table2[NewPointsHome],Table2[GameDate], "&lt;=" &amp; $A135, Table2[HomeTeam], S$1)</f>
        <v>18</v>
      </c>
      <c r="T135" s="145">
        <f>SUMIFS(Table2[NewPointsAway],Table2[GameDate], "&lt;=" &amp; $A135, Table2[AwayTeam], T$1)+SUMIFS(Table2[NewPointsHome],Table2[GameDate], "&lt;=" &amp; $A135, Table2[HomeTeam], T$1)</f>
        <v>20</v>
      </c>
      <c r="U135" s="145">
        <f>SUMIFS(Table2[NewPointsAway],Table2[GameDate], "&lt;=" &amp; $A135, Table2[AwayTeam], U$1)+SUMIFS(Table2[NewPointsHome],Table2[GameDate], "&lt;=" &amp; $A135, Table2[HomeTeam], U$1)</f>
        <v>20</v>
      </c>
      <c r="V135" s="145">
        <f>SUMIFS(Table2[NewPointsAway],Table2[GameDate], "&lt;=" &amp; $A135, Table2[AwayTeam], V$1)+SUMIFS(Table2[NewPointsHome],Table2[GameDate], "&lt;=" &amp; $A135, Table2[HomeTeam], V$1)</f>
        <v>19</v>
      </c>
      <c r="W135" s="145">
        <f>SUMIFS(Table2[NewPointsAway],Table2[GameDate], "&lt;=" &amp; $A135, Table2[AwayTeam], W$1)+SUMIFS(Table2[NewPointsHome],Table2[GameDate], "&lt;=" &amp; $A135, Table2[HomeTeam], W$1)</f>
        <v>21</v>
      </c>
      <c r="X135" s="145">
        <f>SUMIFS(Table2[NewPointsAway],Table2[GameDate], "&lt;=" &amp; $A135, Table2[AwayTeam], X$1)+SUMIFS(Table2[NewPointsHome],Table2[GameDate], "&lt;=" &amp; $A135, Table2[HomeTeam], X$1)</f>
        <v>19</v>
      </c>
      <c r="Y135" s="145">
        <f>SUMIFS(Table2[NewPointsAway],Table2[GameDate], "&lt;=" &amp; $A135, Table2[AwayTeam], Y$1)+SUMIFS(Table2[NewPointsHome],Table2[GameDate], "&lt;=" &amp; $A135, Table2[HomeTeam], Y$1)</f>
        <v>19</v>
      </c>
      <c r="Z135" s="145">
        <f>SUMIFS(Table2[NewPointsAway],Table2[GameDate], "&lt;=" &amp; $A135, Table2[AwayTeam], Z$1)+SUMIFS(Table2[NewPointsHome],Table2[GameDate], "&lt;=" &amp; $A135, Table2[HomeTeam], Z$1)</f>
        <v>15</v>
      </c>
      <c r="AA135" s="145">
        <f>SUMIFS(Table2[NewPointsAway],Table2[GameDate], "&lt;=" &amp; $A135, Table2[AwayTeam], AA$1)+SUMIFS(Table2[NewPointsHome],Table2[GameDate], "&lt;=" &amp; $A135, Table2[HomeTeam], AA$1)</f>
        <v>18</v>
      </c>
      <c r="AB135" s="145">
        <f>SUMIFS(Table2[NewPointsAway],Table2[GameDate], "&lt;=" &amp; $A135, Table2[AwayTeam], AB$1)+SUMIFS(Table2[NewPointsHome],Table2[GameDate], "&lt;=" &amp; $A135, Table2[HomeTeam], AB$1)</f>
        <v>17</v>
      </c>
      <c r="AC135" s="145">
        <f>SUMIFS(Table2[NewPointsAway],Table2[GameDate], "&lt;=" &amp; $A135, Table2[AwayTeam], AC$1)+SUMIFS(Table2[NewPointsHome],Table2[GameDate], "&lt;=" &amp; $A135, Table2[HomeTeam], AC$1)</f>
        <v>18</v>
      </c>
      <c r="AD135" s="145">
        <f>SUMIFS(Table2[NewPointsAway],Table2[GameDate], "&lt;=" &amp; $A135, Table2[AwayTeam], AD$1)+SUMIFS(Table2[NewPointsHome],Table2[GameDate], "&lt;=" &amp; $A135, Table2[HomeTeam], AD$1)</f>
        <v>17</v>
      </c>
      <c r="AE135" s="145">
        <f>SUMIFS(Table2[NewPointsAway],Table2[GameDate], "&lt;=" &amp; $A135, Table2[AwayTeam], AE$1)+SUMIFS(Table2[NewPointsHome],Table2[GameDate], "&lt;=" &amp; $A135, Table2[HomeTeam], AE$1)</f>
        <v>18</v>
      </c>
      <c r="AF135" s="145">
        <f>SUMIFS(Table2[NewPointsAway],Table2[GameDate], "&lt;=" &amp; $A135, Table2[AwayTeam], AF$1)+SUMIFS(Table2[NewPointsHome],Table2[GameDate], "&lt;=" &amp; $A135, Table2[HomeTeam], AF$1)</f>
        <v>20</v>
      </c>
      <c r="AG135" s="145">
        <f>SUMIFS(Table2[NewPointsAway],Table2[GameDate], "&lt;=" &amp; $A135, Table2[AwayTeam], AG$1)+SUMIFS(Table2[NewPointsHome],Table2[GameDate], "&lt;=" &amp; $A135, Table2[HomeTeam], AG$1)</f>
        <v>17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23</v>
      </c>
      <c r="C136" s="145">
        <f>SUMIFS(Table2[NewPointsAway],Table2[GameDate], "&lt;=" &amp; $A136, Table2[AwayTeam], C$1)+SUMIFS(Table2[NewPointsHome],Table2[GameDate], "&lt;=" &amp; $A136, Table2[HomeTeam], C$1)</f>
        <v>22</v>
      </c>
      <c r="D136" s="145">
        <f>SUMIFS(Table2[NewPointsAway],Table2[GameDate], "&lt;=" &amp; $A136, Table2[AwayTeam], D$1)+SUMIFS(Table2[NewPointsHome],Table2[GameDate], "&lt;=" &amp; $A136, Table2[HomeTeam], D$1)</f>
        <v>14</v>
      </c>
      <c r="E136" s="145">
        <f>SUMIFS(Table2[NewPointsAway],Table2[GameDate], "&lt;=" &amp; $A136, Table2[AwayTeam], E$1)+SUMIFS(Table2[NewPointsHome],Table2[GameDate], "&lt;=" &amp; $A136, Table2[HomeTeam], E$1)</f>
        <v>22</v>
      </c>
      <c r="F136" s="145">
        <f>SUMIFS(Table2[NewPointsAway],Table2[GameDate], "&lt;=" &amp; $A136, Table2[AwayTeam], F$1)+SUMIFS(Table2[NewPointsHome],Table2[GameDate], "&lt;=" &amp; $A136, Table2[HomeTeam], F$1)</f>
        <v>17</v>
      </c>
      <c r="G136" s="145">
        <f>SUMIFS(Table2[NewPointsAway],Table2[GameDate], "&lt;=" &amp; $A136, Table2[AwayTeam], G$1)+SUMIFS(Table2[NewPointsHome],Table2[GameDate], "&lt;=" &amp; $A136, Table2[HomeTeam], G$1)</f>
        <v>10</v>
      </c>
      <c r="H136" s="145">
        <f>SUMIFS(Table2[NewPointsAway],Table2[GameDate], "&lt;=" &amp; $A136, Table2[AwayTeam], H$1)+SUMIFS(Table2[NewPointsHome],Table2[GameDate], "&lt;=" &amp; $A136, Table2[HomeTeam], H$1)</f>
        <v>19</v>
      </c>
      <c r="I136" s="145">
        <f>SUMIFS(Table2[NewPointsAway],Table2[GameDate], "&lt;=" &amp; $A136, Table2[AwayTeam], I$1)+SUMIFS(Table2[NewPointsHome],Table2[GameDate], "&lt;=" &amp; $A136, Table2[HomeTeam], I$1)</f>
        <v>27</v>
      </c>
      <c r="J136" s="145">
        <f>SUMIFS(Table2[NewPointsAway],Table2[GameDate], "&lt;=" &amp; $A136, Table2[AwayTeam], J$1)+SUMIFS(Table2[NewPointsHome],Table2[GameDate], "&lt;=" &amp; $A136, Table2[HomeTeam], J$1)</f>
        <v>23</v>
      </c>
      <c r="K136" s="145">
        <f>SUMIFS(Table2[NewPointsAway],Table2[GameDate], "&lt;=" &amp; $A136, Table2[AwayTeam], K$1)+SUMIFS(Table2[NewPointsHome],Table2[GameDate], "&lt;=" &amp; $A136, Table2[HomeTeam], K$1)</f>
        <v>18</v>
      </c>
      <c r="L136" s="145">
        <f>SUMIFS(Table2[NewPointsAway],Table2[GameDate], "&lt;=" &amp; $A136, Table2[AwayTeam], L$1)+SUMIFS(Table2[NewPointsHome],Table2[GameDate], "&lt;=" &amp; $A136, Table2[HomeTeam], L$1)</f>
        <v>20</v>
      </c>
      <c r="M136" s="145">
        <f>SUMIFS(Table2[NewPointsAway],Table2[GameDate], "&lt;=" &amp; $A136, Table2[AwayTeam], M$1)+SUMIFS(Table2[NewPointsHome],Table2[GameDate], "&lt;=" &amp; $A136, Table2[HomeTeam], M$1)</f>
        <v>17</v>
      </c>
      <c r="N136" s="145">
        <f>SUMIFS(Table2[NewPointsAway],Table2[GameDate], "&lt;=" &amp; $A136, Table2[AwayTeam], N$1)+SUMIFS(Table2[NewPointsHome],Table2[GameDate], "&lt;=" &amp; $A136, Table2[HomeTeam], N$1)</f>
        <v>20</v>
      </c>
      <c r="O136" s="145">
        <f>SUMIFS(Table2[NewPointsAway],Table2[GameDate], "&lt;=" &amp; $A136, Table2[AwayTeam], O$1)+SUMIFS(Table2[NewPointsHome],Table2[GameDate], "&lt;=" &amp; $A136, Table2[HomeTeam], O$1)</f>
        <v>18</v>
      </c>
      <c r="P136" s="145">
        <f>SUMIFS(Table2[NewPointsAway],Table2[GameDate], "&lt;=" &amp; $A136, Table2[AwayTeam], P$1)+SUMIFS(Table2[NewPointsHome],Table2[GameDate], "&lt;=" &amp; $A136, Table2[HomeTeam], P$1)</f>
        <v>22</v>
      </c>
      <c r="Q136" s="145">
        <f>SUMIFS(Table2[NewPointsAway],Table2[GameDate], "&lt;=" &amp; $A136, Table2[AwayTeam], Q$1)+SUMIFS(Table2[NewPointsHome],Table2[GameDate], "&lt;=" &amp; $A136, Table2[HomeTeam], Q$1)</f>
        <v>23</v>
      </c>
      <c r="R136" s="145">
        <f>SUMIFS(Table2[NewPointsAway],Table2[GameDate], "&lt;=" &amp; $A136, Table2[AwayTeam], R$1)+SUMIFS(Table2[NewPointsHome],Table2[GameDate], "&lt;=" &amp; $A136, Table2[HomeTeam], R$1)</f>
        <v>14</v>
      </c>
      <c r="S136" s="145">
        <f>SUMIFS(Table2[NewPointsAway],Table2[GameDate], "&lt;=" &amp; $A136, Table2[AwayTeam], S$1)+SUMIFS(Table2[NewPointsHome],Table2[GameDate], "&lt;=" &amp; $A136, Table2[HomeTeam], S$1)</f>
        <v>18</v>
      </c>
      <c r="T136" s="145">
        <f>SUMIFS(Table2[NewPointsAway],Table2[GameDate], "&lt;=" &amp; $A136, Table2[AwayTeam], T$1)+SUMIFS(Table2[NewPointsHome],Table2[GameDate], "&lt;=" &amp; $A136, Table2[HomeTeam], T$1)</f>
        <v>20</v>
      </c>
      <c r="U136" s="145">
        <f>SUMIFS(Table2[NewPointsAway],Table2[GameDate], "&lt;=" &amp; $A136, Table2[AwayTeam], U$1)+SUMIFS(Table2[NewPointsHome],Table2[GameDate], "&lt;=" &amp; $A136, Table2[HomeTeam], U$1)</f>
        <v>20</v>
      </c>
      <c r="V136" s="145">
        <f>SUMIFS(Table2[NewPointsAway],Table2[GameDate], "&lt;=" &amp; $A136, Table2[AwayTeam], V$1)+SUMIFS(Table2[NewPointsHome],Table2[GameDate], "&lt;=" &amp; $A136, Table2[HomeTeam], V$1)</f>
        <v>19</v>
      </c>
      <c r="W136" s="145">
        <f>SUMIFS(Table2[NewPointsAway],Table2[GameDate], "&lt;=" &amp; $A136, Table2[AwayTeam], W$1)+SUMIFS(Table2[NewPointsHome],Table2[GameDate], "&lt;=" &amp; $A136, Table2[HomeTeam], W$1)</f>
        <v>21</v>
      </c>
      <c r="X136" s="145">
        <f>SUMIFS(Table2[NewPointsAway],Table2[GameDate], "&lt;=" &amp; $A136, Table2[AwayTeam], X$1)+SUMIFS(Table2[NewPointsHome],Table2[GameDate], "&lt;=" &amp; $A136, Table2[HomeTeam], X$1)</f>
        <v>19</v>
      </c>
      <c r="Y136" s="145">
        <f>SUMIFS(Table2[NewPointsAway],Table2[GameDate], "&lt;=" &amp; $A136, Table2[AwayTeam], Y$1)+SUMIFS(Table2[NewPointsHome],Table2[GameDate], "&lt;=" &amp; $A136, Table2[HomeTeam], Y$1)</f>
        <v>19</v>
      </c>
      <c r="Z136" s="145">
        <f>SUMIFS(Table2[NewPointsAway],Table2[GameDate], "&lt;=" &amp; $A136, Table2[AwayTeam], Z$1)+SUMIFS(Table2[NewPointsHome],Table2[GameDate], "&lt;=" &amp; $A136, Table2[HomeTeam], Z$1)</f>
        <v>15</v>
      </c>
      <c r="AA136" s="145">
        <f>SUMIFS(Table2[NewPointsAway],Table2[GameDate], "&lt;=" &amp; $A136, Table2[AwayTeam], AA$1)+SUMIFS(Table2[NewPointsHome],Table2[GameDate], "&lt;=" &amp; $A136, Table2[HomeTeam], AA$1)</f>
        <v>18</v>
      </c>
      <c r="AB136" s="145">
        <f>SUMIFS(Table2[NewPointsAway],Table2[GameDate], "&lt;=" &amp; $A136, Table2[AwayTeam], AB$1)+SUMIFS(Table2[NewPointsHome],Table2[GameDate], "&lt;=" &amp; $A136, Table2[HomeTeam], AB$1)</f>
        <v>17</v>
      </c>
      <c r="AC136" s="145">
        <f>SUMIFS(Table2[NewPointsAway],Table2[GameDate], "&lt;=" &amp; $A136, Table2[AwayTeam], AC$1)+SUMIFS(Table2[NewPointsHome],Table2[GameDate], "&lt;=" &amp; $A136, Table2[HomeTeam], AC$1)</f>
        <v>18</v>
      </c>
      <c r="AD136" s="145">
        <f>SUMIFS(Table2[NewPointsAway],Table2[GameDate], "&lt;=" &amp; $A136, Table2[AwayTeam], AD$1)+SUMIFS(Table2[NewPointsHome],Table2[GameDate], "&lt;=" &amp; $A136, Table2[HomeTeam], AD$1)</f>
        <v>17</v>
      </c>
      <c r="AE136" s="145">
        <f>SUMIFS(Table2[NewPointsAway],Table2[GameDate], "&lt;=" &amp; $A136, Table2[AwayTeam], AE$1)+SUMIFS(Table2[NewPointsHome],Table2[GameDate], "&lt;=" &amp; $A136, Table2[HomeTeam], AE$1)</f>
        <v>18</v>
      </c>
      <c r="AF136" s="145">
        <f>SUMIFS(Table2[NewPointsAway],Table2[GameDate], "&lt;=" &amp; $A136, Table2[AwayTeam], AF$1)+SUMIFS(Table2[NewPointsHome],Table2[GameDate], "&lt;=" &amp; $A136, Table2[HomeTeam], AF$1)</f>
        <v>20</v>
      </c>
      <c r="AG136" s="145">
        <f>SUMIFS(Table2[NewPointsAway],Table2[GameDate], "&lt;=" &amp; $A136, Table2[AwayTeam], AG$1)+SUMIFS(Table2[NewPointsHome],Table2[GameDate], "&lt;=" &amp; $A136, Table2[HomeTeam], AG$1)</f>
        <v>17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23</v>
      </c>
      <c r="C137" s="145">
        <f>SUMIFS(Table2[NewPointsAway],Table2[GameDate], "&lt;=" &amp; $A137, Table2[AwayTeam], C$1)+SUMIFS(Table2[NewPointsHome],Table2[GameDate], "&lt;=" &amp; $A137, Table2[HomeTeam], C$1)</f>
        <v>22</v>
      </c>
      <c r="D137" s="145">
        <f>SUMIFS(Table2[NewPointsAway],Table2[GameDate], "&lt;=" &amp; $A137, Table2[AwayTeam], D$1)+SUMIFS(Table2[NewPointsHome],Table2[GameDate], "&lt;=" &amp; $A137, Table2[HomeTeam], D$1)</f>
        <v>14</v>
      </c>
      <c r="E137" s="145">
        <f>SUMIFS(Table2[NewPointsAway],Table2[GameDate], "&lt;=" &amp; $A137, Table2[AwayTeam], E$1)+SUMIFS(Table2[NewPointsHome],Table2[GameDate], "&lt;=" &amp; $A137, Table2[HomeTeam], E$1)</f>
        <v>22</v>
      </c>
      <c r="F137" s="145">
        <f>SUMIFS(Table2[NewPointsAway],Table2[GameDate], "&lt;=" &amp; $A137, Table2[AwayTeam], F$1)+SUMIFS(Table2[NewPointsHome],Table2[GameDate], "&lt;=" &amp; $A137, Table2[HomeTeam], F$1)</f>
        <v>17</v>
      </c>
      <c r="G137" s="145">
        <f>SUMIFS(Table2[NewPointsAway],Table2[GameDate], "&lt;=" &amp; $A137, Table2[AwayTeam], G$1)+SUMIFS(Table2[NewPointsHome],Table2[GameDate], "&lt;=" &amp; $A137, Table2[HomeTeam], G$1)</f>
        <v>10</v>
      </c>
      <c r="H137" s="145">
        <f>SUMIFS(Table2[NewPointsAway],Table2[GameDate], "&lt;=" &amp; $A137, Table2[AwayTeam], H$1)+SUMIFS(Table2[NewPointsHome],Table2[GameDate], "&lt;=" &amp; $A137, Table2[HomeTeam], H$1)</f>
        <v>19</v>
      </c>
      <c r="I137" s="145">
        <f>SUMIFS(Table2[NewPointsAway],Table2[GameDate], "&lt;=" &amp; $A137, Table2[AwayTeam], I$1)+SUMIFS(Table2[NewPointsHome],Table2[GameDate], "&lt;=" &amp; $A137, Table2[HomeTeam], I$1)</f>
        <v>27</v>
      </c>
      <c r="J137" s="145">
        <f>SUMIFS(Table2[NewPointsAway],Table2[GameDate], "&lt;=" &amp; $A137, Table2[AwayTeam], J$1)+SUMIFS(Table2[NewPointsHome],Table2[GameDate], "&lt;=" &amp; $A137, Table2[HomeTeam], J$1)</f>
        <v>23</v>
      </c>
      <c r="K137" s="145">
        <f>SUMIFS(Table2[NewPointsAway],Table2[GameDate], "&lt;=" &amp; $A137, Table2[AwayTeam], K$1)+SUMIFS(Table2[NewPointsHome],Table2[GameDate], "&lt;=" &amp; $A137, Table2[HomeTeam], K$1)</f>
        <v>18</v>
      </c>
      <c r="L137" s="145">
        <f>SUMIFS(Table2[NewPointsAway],Table2[GameDate], "&lt;=" &amp; $A137, Table2[AwayTeam], L$1)+SUMIFS(Table2[NewPointsHome],Table2[GameDate], "&lt;=" &amp; $A137, Table2[HomeTeam], L$1)</f>
        <v>20</v>
      </c>
      <c r="M137" s="145">
        <f>SUMIFS(Table2[NewPointsAway],Table2[GameDate], "&lt;=" &amp; $A137, Table2[AwayTeam], M$1)+SUMIFS(Table2[NewPointsHome],Table2[GameDate], "&lt;=" &amp; $A137, Table2[HomeTeam], M$1)</f>
        <v>17</v>
      </c>
      <c r="N137" s="145">
        <f>SUMIFS(Table2[NewPointsAway],Table2[GameDate], "&lt;=" &amp; $A137, Table2[AwayTeam], N$1)+SUMIFS(Table2[NewPointsHome],Table2[GameDate], "&lt;=" &amp; $A137, Table2[HomeTeam], N$1)</f>
        <v>20</v>
      </c>
      <c r="O137" s="145">
        <f>SUMIFS(Table2[NewPointsAway],Table2[GameDate], "&lt;=" &amp; $A137, Table2[AwayTeam], O$1)+SUMIFS(Table2[NewPointsHome],Table2[GameDate], "&lt;=" &amp; $A137, Table2[HomeTeam], O$1)</f>
        <v>18</v>
      </c>
      <c r="P137" s="145">
        <f>SUMIFS(Table2[NewPointsAway],Table2[GameDate], "&lt;=" &amp; $A137, Table2[AwayTeam], P$1)+SUMIFS(Table2[NewPointsHome],Table2[GameDate], "&lt;=" &amp; $A137, Table2[HomeTeam], P$1)</f>
        <v>22</v>
      </c>
      <c r="Q137" s="145">
        <f>SUMIFS(Table2[NewPointsAway],Table2[GameDate], "&lt;=" &amp; $A137, Table2[AwayTeam], Q$1)+SUMIFS(Table2[NewPointsHome],Table2[GameDate], "&lt;=" &amp; $A137, Table2[HomeTeam], Q$1)</f>
        <v>23</v>
      </c>
      <c r="R137" s="145">
        <f>SUMIFS(Table2[NewPointsAway],Table2[GameDate], "&lt;=" &amp; $A137, Table2[AwayTeam], R$1)+SUMIFS(Table2[NewPointsHome],Table2[GameDate], "&lt;=" &amp; $A137, Table2[HomeTeam], R$1)</f>
        <v>14</v>
      </c>
      <c r="S137" s="145">
        <f>SUMIFS(Table2[NewPointsAway],Table2[GameDate], "&lt;=" &amp; $A137, Table2[AwayTeam], S$1)+SUMIFS(Table2[NewPointsHome],Table2[GameDate], "&lt;=" &amp; $A137, Table2[HomeTeam], S$1)</f>
        <v>18</v>
      </c>
      <c r="T137" s="145">
        <f>SUMIFS(Table2[NewPointsAway],Table2[GameDate], "&lt;=" &amp; $A137, Table2[AwayTeam], T$1)+SUMIFS(Table2[NewPointsHome],Table2[GameDate], "&lt;=" &amp; $A137, Table2[HomeTeam], T$1)</f>
        <v>20</v>
      </c>
      <c r="U137" s="145">
        <f>SUMIFS(Table2[NewPointsAway],Table2[GameDate], "&lt;=" &amp; $A137, Table2[AwayTeam], U$1)+SUMIFS(Table2[NewPointsHome],Table2[GameDate], "&lt;=" &amp; $A137, Table2[HomeTeam], U$1)</f>
        <v>20</v>
      </c>
      <c r="V137" s="145">
        <f>SUMIFS(Table2[NewPointsAway],Table2[GameDate], "&lt;=" &amp; $A137, Table2[AwayTeam], V$1)+SUMIFS(Table2[NewPointsHome],Table2[GameDate], "&lt;=" &amp; $A137, Table2[HomeTeam], V$1)</f>
        <v>19</v>
      </c>
      <c r="W137" s="145">
        <f>SUMIFS(Table2[NewPointsAway],Table2[GameDate], "&lt;=" &amp; $A137, Table2[AwayTeam], W$1)+SUMIFS(Table2[NewPointsHome],Table2[GameDate], "&lt;=" &amp; $A137, Table2[HomeTeam], W$1)</f>
        <v>21</v>
      </c>
      <c r="X137" s="145">
        <f>SUMIFS(Table2[NewPointsAway],Table2[GameDate], "&lt;=" &amp; $A137, Table2[AwayTeam], X$1)+SUMIFS(Table2[NewPointsHome],Table2[GameDate], "&lt;=" &amp; $A137, Table2[HomeTeam], X$1)</f>
        <v>19</v>
      </c>
      <c r="Y137" s="145">
        <f>SUMIFS(Table2[NewPointsAway],Table2[GameDate], "&lt;=" &amp; $A137, Table2[AwayTeam], Y$1)+SUMIFS(Table2[NewPointsHome],Table2[GameDate], "&lt;=" &amp; $A137, Table2[HomeTeam], Y$1)</f>
        <v>19</v>
      </c>
      <c r="Z137" s="145">
        <f>SUMIFS(Table2[NewPointsAway],Table2[GameDate], "&lt;=" &amp; $A137, Table2[AwayTeam], Z$1)+SUMIFS(Table2[NewPointsHome],Table2[GameDate], "&lt;=" &amp; $A137, Table2[HomeTeam], Z$1)</f>
        <v>15</v>
      </c>
      <c r="AA137" s="145">
        <f>SUMIFS(Table2[NewPointsAway],Table2[GameDate], "&lt;=" &amp; $A137, Table2[AwayTeam], AA$1)+SUMIFS(Table2[NewPointsHome],Table2[GameDate], "&lt;=" &amp; $A137, Table2[HomeTeam], AA$1)</f>
        <v>18</v>
      </c>
      <c r="AB137" s="145">
        <f>SUMIFS(Table2[NewPointsAway],Table2[GameDate], "&lt;=" &amp; $A137, Table2[AwayTeam], AB$1)+SUMIFS(Table2[NewPointsHome],Table2[GameDate], "&lt;=" &amp; $A137, Table2[HomeTeam], AB$1)</f>
        <v>17</v>
      </c>
      <c r="AC137" s="145">
        <f>SUMIFS(Table2[NewPointsAway],Table2[GameDate], "&lt;=" &amp; $A137, Table2[AwayTeam], AC$1)+SUMIFS(Table2[NewPointsHome],Table2[GameDate], "&lt;=" &amp; $A137, Table2[HomeTeam], AC$1)</f>
        <v>18</v>
      </c>
      <c r="AD137" s="145">
        <f>SUMIFS(Table2[NewPointsAway],Table2[GameDate], "&lt;=" &amp; $A137, Table2[AwayTeam], AD$1)+SUMIFS(Table2[NewPointsHome],Table2[GameDate], "&lt;=" &amp; $A137, Table2[HomeTeam], AD$1)</f>
        <v>17</v>
      </c>
      <c r="AE137" s="145">
        <f>SUMIFS(Table2[NewPointsAway],Table2[GameDate], "&lt;=" &amp; $A137, Table2[AwayTeam], AE$1)+SUMIFS(Table2[NewPointsHome],Table2[GameDate], "&lt;=" &amp; $A137, Table2[HomeTeam], AE$1)</f>
        <v>18</v>
      </c>
      <c r="AF137" s="145">
        <f>SUMIFS(Table2[NewPointsAway],Table2[GameDate], "&lt;=" &amp; $A137, Table2[AwayTeam], AF$1)+SUMIFS(Table2[NewPointsHome],Table2[GameDate], "&lt;=" &amp; $A137, Table2[HomeTeam], AF$1)</f>
        <v>20</v>
      </c>
      <c r="AG137" s="145">
        <f>SUMIFS(Table2[NewPointsAway],Table2[GameDate], "&lt;=" &amp; $A137, Table2[AwayTeam], AG$1)+SUMIFS(Table2[NewPointsHome],Table2[GameDate], "&lt;=" &amp; $A137, Table2[HomeTeam], AG$1)</f>
        <v>17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23</v>
      </c>
      <c r="C138" s="145">
        <f>SUMIFS(Table2[NewPointsAway],Table2[GameDate], "&lt;=" &amp; $A138, Table2[AwayTeam], C$1)+SUMIFS(Table2[NewPointsHome],Table2[GameDate], "&lt;=" &amp; $A138, Table2[HomeTeam], C$1)</f>
        <v>22</v>
      </c>
      <c r="D138" s="145">
        <f>SUMIFS(Table2[NewPointsAway],Table2[GameDate], "&lt;=" &amp; $A138, Table2[AwayTeam], D$1)+SUMIFS(Table2[NewPointsHome],Table2[GameDate], "&lt;=" &amp; $A138, Table2[HomeTeam], D$1)</f>
        <v>14</v>
      </c>
      <c r="E138" s="145">
        <f>SUMIFS(Table2[NewPointsAway],Table2[GameDate], "&lt;=" &amp; $A138, Table2[AwayTeam], E$1)+SUMIFS(Table2[NewPointsHome],Table2[GameDate], "&lt;=" &amp; $A138, Table2[HomeTeam], E$1)</f>
        <v>22</v>
      </c>
      <c r="F138" s="145">
        <f>SUMIFS(Table2[NewPointsAway],Table2[GameDate], "&lt;=" &amp; $A138, Table2[AwayTeam], F$1)+SUMIFS(Table2[NewPointsHome],Table2[GameDate], "&lt;=" &amp; $A138, Table2[HomeTeam], F$1)</f>
        <v>17</v>
      </c>
      <c r="G138" s="145">
        <f>SUMIFS(Table2[NewPointsAway],Table2[GameDate], "&lt;=" &amp; $A138, Table2[AwayTeam], G$1)+SUMIFS(Table2[NewPointsHome],Table2[GameDate], "&lt;=" &amp; $A138, Table2[HomeTeam], G$1)</f>
        <v>10</v>
      </c>
      <c r="H138" s="145">
        <f>SUMIFS(Table2[NewPointsAway],Table2[GameDate], "&lt;=" &amp; $A138, Table2[AwayTeam], H$1)+SUMIFS(Table2[NewPointsHome],Table2[GameDate], "&lt;=" &amp; $A138, Table2[HomeTeam], H$1)</f>
        <v>19</v>
      </c>
      <c r="I138" s="145">
        <f>SUMIFS(Table2[NewPointsAway],Table2[GameDate], "&lt;=" &amp; $A138, Table2[AwayTeam], I$1)+SUMIFS(Table2[NewPointsHome],Table2[GameDate], "&lt;=" &amp; $A138, Table2[HomeTeam], I$1)</f>
        <v>27</v>
      </c>
      <c r="J138" s="145">
        <f>SUMIFS(Table2[NewPointsAway],Table2[GameDate], "&lt;=" &amp; $A138, Table2[AwayTeam], J$1)+SUMIFS(Table2[NewPointsHome],Table2[GameDate], "&lt;=" &amp; $A138, Table2[HomeTeam], J$1)</f>
        <v>23</v>
      </c>
      <c r="K138" s="145">
        <f>SUMIFS(Table2[NewPointsAway],Table2[GameDate], "&lt;=" &amp; $A138, Table2[AwayTeam], K$1)+SUMIFS(Table2[NewPointsHome],Table2[GameDate], "&lt;=" &amp; $A138, Table2[HomeTeam], K$1)</f>
        <v>18</v>
      </c>
      <c r="L138" s="145">
        <f>SUMIFS(Table2[NewPointsAway],Table2[GameDate], "&lt;=" &amp; $A138, Table2[AwayTeam], L$1)+SUMIFS(Table2[NewPointsHome],Table2[GameDate], "&lt;=" &amp; $A138, Table2[HomeTeam], L$1)</f>
        <v>20</v>
      </c>
      <c r="M138" s="145">
        <f>SUMIFS(Table2[NewPointsAway],Table2[GameDate], "&lt;=" &amp; $A138, Table2[AwayTeam], M$1)+SUMIFS(Table2[NewPointsHome],Table2[GameDate], "&lt;=" &amp; $A138, Table2[HomeTeam], M$1)</f>
        <v>17</v>
      </c>
      <c r="N138" s="145">
        <f>SUMIFS(Table2[NewPointsAway],Table2[GameDate], "&lt;=" &amp; $A138, Table2[AwayTeam], N$1)+SUMIFS(Table2[NewPointsHome],Table2[GameDate], "&lt;=" &amp; $A138, Table2[HomeTeam], N$1)</f>
        <v>20</v>
      </c>
      <c r="O138" s="145">
        <f>SUMIFS(Table2[NewPointsAway],Table2[GameDate], "&lt;=" &amp; $A138, Table2[AwayTeam], O$1)+SUMIFS(Table2[NewPointsHome],Table2[GameDate], "&lt;=" &amp; $A138, Table2[HomeTeam], O$1)</f>
        <v>18</v>
      </c>
      <c r="P138" s="145">
        <f>SUMIFS(Table2[NewPointsAway],Table2[GameDate], "&lt;=" &amp; $A138, Table2[AwayTeam], P$1)+SUMIFS(Table2[NewPointsHome],Table2[GameDate], "&lt;=" &amp; $A138, Table2[HomeTeam], P$1)</f>
        <v>22</v>
      </c>
      <c r="Q138" s="145">
        <f>SUMIFS(Table2[NewPointsAway],Table2[GameDate], "&lt;=" &amp; $A138, Table2[AwayTeam], Q$1)+SUMIFS(Table2[NewPointsHome],Table2[GameDate], "&lt;=" &amp; $A138, Table2[HomeTeam], Q$1)</f>
        <v>23</v>
      </c>
      <c r="R138" s="145">
        <f>SUMIFS(Table2[NewPointsAway],Table2[GameDate], "&lt;=" &amp; $A138, Table2[AwayTeam], R$1)+SUMIFS(Table2[NewPointsHome],Table2[GameDate], "&lt;=" &amp; $A138, Table2[HomeTeam], R$1)</f>
        <v>14</v>
      </c>
      <c r="S138" s="145">
        <f>SUMIFS(Table2[NewPointsAway],Table2[GameDate], "&lt;=" &amp; $A138, Table2[AwayTeam], S$1)+SUMIFS(Table2[NewPointsHome],Table2[GameDate], "&lt;=" &amp; $A138, Table2[HomeTeam], S$1)</f>
        <v>18</v>
      </c>
      <c r="T138" s="145">
        <f>SUMIFS(Table2[NewPointsAway],Table2[GameDate], "&lt;=" &amp; $A138, Table2[AwayTeam], T$1)+SUMIFS(Table2[NewPointsHome],Table2[GameDate], "&lt;=" &amp; $A138, Table2[HomeTeam], T$1)</f>
        <v>20</v>
      </c>
      <c r="U138" s="145">
        <f>SUMIFS(Table2[NewPointsAway],Table2[GameDate], "&lt;=" &amp; $A138, Table2[AwayTeam], U$1)+SUMIFS(Table2[NewPointsHome],Table2[GameDate], "&lt;=" &amp; $A138, Table2[HomeTeam], U$1)</f>
        <v>20</v>
      </c>
      <c r="V138" s="145">
        <f>SUMIFS(Table2[NewPointsAway],Table2[GameDate], "&lt;=" &amp; $A138, Table2[AwayTeam], V$1)+SUMIFS(Table2[NewPointsHome],Table2[GameDate], "&lt;=" &amp; $A138, Table2[HomeTeam], V$1)</f>
        <v>19</v>
      </c>
      <c r="W138" s="145">
        <f>SUMIFS(Table2[NewPointsAway],Table2[GameDate], "&lt;=" &amp; $A138, Table2[AwayTeam], W$1)+SUMIFS(Table2[NewPointsHome],Table2[GameDate], "&lt;=" &amp; $A138, Table2[HomeTeam], W$1)</f>
        <v>21</v>
      </c>
      <c r="X138" s="145">
        <f>SUMIFS(Table2[NewPointsAway],Table2[GameDate], "&lt;=" &amp; $A138, Table2[AwayTeam], X$1)+SUMIFS(Table2[NewPointsHome],Table2[GameDate], "&lt;=" &amp; $A138, Table2[HomeTeam], X$1)</f>
        <v>19</v>
      </c>
      <c r="Y138" s="145">
        <f>SUMIFS(Table2[NewPointsAway],Table2[GameDate], "&lt;=" &amp; $A138, Table2[AwayTeam], Y$1)+SUMIFS(Table2[NewPointsHome],Table2[GameDate], "&lt;=" &amp; $A138, Table2[HomeTeam], Y$1)</f>
        <v>19</v>
      </c>
      <c r="Z138" s="145">
        <f>SUMIFS(Table2[NewPointsAway],Table2[GameDate], "&lt;=" &amp; $A138, Table2[AwayTeam], Z$1)+SUMIFS(Table2[NewPointsHome],Table2[GameDate], "&lt;=" &amp; $A138, Table2[HomeTeam], Z$1)</f>
        <v>15</v>
      </c>
      <c r="AA138" s="145">
        <f>SUMIFS(Table2[NewPointsAway],Table2[GameDate], "&lt;=" &amp; $A138, Table2[AwayTeam], AA$1)+SUMIFS(Table2[NewPointsHome],Table2[GameDate], "&lt;=" &amp; $A138, Table2[HomeTeam], AA$1)</f>
        <v>18</v>
      </c>
      <c r="AB138" s="145">
        <f>SUMIFS(Table2[NewPointsAway],Table2[GameDate], "&lt;=" &amp; $A138, Table2[AwayTeam], AB$1)+SUMIFS(Table2[NewPointsHome],Table2[GameDate], "&lt;=" &amp; $A138, Table2[HomeTeam], AB$1)</f>
        <v>17</v>
      </c>
      <c r="AC138" s="145">
        <f>SUMIFS(Table2[NewPointsAway],Table2[GameDate], "&lt;=" &amp; $A138, Table2[AwayTeam], AC$1)+SUMIFS(Table2[NewPointsHome],Table2[GameDate], "&lt;=" &amp; $A138, Table2[HomeTeam], AC$1)</f>
        <v>18</v>
      </c>
      <c r="AD138" s="145">
        <f>SUMIFS(Table2[NewPointsAway],Table2[GameDate], "&lt;=" &amp; $A138, Table2[AwayTeam], AD$1)+SUMIFS(Table2[NewPointsHome],Table2[GameDate], "&lt;=" &amp; $A138, Table2[HomeTeam], AD$1)</f>
        <v>17</v>
      </c>
      <c r="AE138" s="145">
        <f>SUMIFS(Table2[NewPointsAway],Table2[GameDate], "&lt;=" &amp; $A138, Table2[AwayTeam], AE$1)+SUMIFS(Table2[NewPointsHome],Table2[GameDate], "&lt;=" &amp; $A138, Table2[HomeTeam], AE$1)</f>
        <v>18</v>
      </c>
      <c r="AF138" s="145">
        <f>SUMIFS(Table2[NewPointsAway],Table2[GameDate], "&lt;=" &amp; $A138, Table2[AwayTeam], AF$1)+SUMIFS(Table2[NewPointsHome],Table2[GameDate], "&lt;=" &amp; $A138, Table2[HomeTeam], AF$1)</f>
        <v>20</v>
      </c>
      <c r="AG138" s="145">
        <f>SUMIFS(Table2[NewPointsAway],Table2[GameDate], "&lt;=" &amp; $A138, Table2[AwayTeam], AG$1)+SUMIFS(Table2[NewPointsHome],Table2[GameDate], "&lt;=" &amp; $A138, Table2[HomeTeam], AG$1)</f>
        <v>17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23</v>
      </c>
      <c r="C139" s="145">
        <f>SUMIFS(Table2[NewPointsAway],Table2[GameDate], "&lt;=" &amp; $A139, Table2[AwayTeam], C$1)+SUMIFS(Table2[NewPointsHome],Table2[GameDate], "&lt;=" &amp; $A139, Table2[HomeTeam], C$1)</f>
        <v>22</v>
      </c>
      <c r="D139" s="145">
        <f>SUMIFS(Table2[NewPointsAway],Table2[GameDate], "&lt;=" &amp; $A139, Table2[AwayTeam], D$1)+SUMIFS(Table2[NewPointsHome],Table2[GameDate], "&lt;=" &amp; $A139, Table2[HomeTeam], D$1)</f>
        <v>14</v>
      </c>
      <c r="E139" s="145">
        <f>SUMIFS(Table2[NewPointsAway],Table2[GameDate], "&lt;=" &amp; $A139, Table2[AwayTeam], E$1)+SUMIFS(Table2[NewPointsHome],Table2[GameDate], "&lt;=" &amp; $A139, Table2[HomeTeam], E$1)</f>
        <v>22</v>
      </c>
      <c r="F139" s="145">
        <f>SUMIFS(Table2[NewPointsAway],Table2[GameDate], "&lt;=" &amp; $A139, Table2[AwayTeam], F$1)+SUMIFS(Table2[NewPointsHome],Table2[GameDate], "&lt;=" &amp; $A139, Table2[HomeTeam], F$1)</f>
        <v>17</v>
      </c>
      <c r="G139" s="145">
        <f>SUMIFS(Table2[NewPointsAway],Table2[GameDate], "&lt;=" &amp; $A139, Table2[AwayTeam], G$1)+SUMIFS(Table2[NewPointsHome],Table2[GameDate], "&lt;=" &amp; $A139, Table2[HomeTeam], G$1)</f>
        <v>10</v>
      </c>
      <c r="H139" s="145">
        <f>SUMIFS(Table2[NewPointsAway],Table2[GameDate], "&lt;=" &amp; $A139, Table2[AwayTeam], H$1)+SUMIFS(Table2[NewPointsHome],Table2[GameDate], "&lt;=" &amp; $A139, Table2[HomeTeam], H$1)</f>
        <v>19</v>
      </c>
      <c r="I139" s="145">
        <f>SUMIFS(Table2[NewPointsAway],Table2[GameDate], "&lt;=" &amp; $A139, Table2[AwayTeam], I$1)+SUMIFS(Table2[NewPointsHome],Table2[GameDate], "&lt;=" &amp; $A139, Table2[HomeTeam], I$1)</f>
        <v>27</v>
      </c>
      <c r="J139" s="145">
        <f>SUMIFS(Table2[NewPointsAway],Table2[GameDate], "&lt;=" &amp; $A139, Table2[AwayTeam], J$1)+SUMIFS(Table2[NewPointsHome],Table2[GameDate], "&lt;=" &amp; $A139, Table2[HomeTeam], J$1)</f>
        <v>23</v>
      </c>
      <c r="K139" s="145">
        <f>SUMIFS(Table2[NewPointsAway],Table2[GameDate], "&lt;=" &amp; $A139, Table2[AwayTeam], K$1)+SUMIFS(Table2[NewPointsHome],Table2[GameDate], "&lt;=" &amp; $A139, Table2[HomeTeam], K$1)</f>
        <v>18</v>
      </c>
      <c r="L139" s="145">
        <f>SUMIFS(Table2[NewPointsAway],Table2[GameDate], "&lt;=" &amp; $A139, Table2[AwayTeam], L$1)+SUMIFS(Table2[NewPointsHome],Table2[GameDate], "&lt;=" &amp; $A139, Table2[HomeTeam], L$1)</f>
        <v>20</v>
      </c>
      <c r="M139" s="145">
        <f>SUMIFS(Table2[NewPointsAway],Table2[GameDate], "&lt;=" &amp; $A139, Table2[AwayTeam], M$1)+SUMIFS(Table2[NewPointsHome],Table2[GameDate], "&lt;=" &amp; $A139, Table2[HomeTeam], M$1)</f>
        <v>17</v>
      </c>
      <c r="N139" s="145">
        <f>SUMIFS(Table2[NewPointsAway],Table2[GameDate], "&lt;=" &amp; $A139, Table2[AwayTeam], N$1)+SUMIFS(Table2[NewPointsHome],Table2[GameDate], "&lt;=" &amp; $A139, Table2[HomeTeam], N$1)</f>
        <v>20</v>
      </c>
      <c r="O139" s="145">
        <f>SUMIFS(Table2[NewPointsAway],Table2[GameDate], "&lt;=" &amp; $A139, Table2[AwayTeam], O$1)+SUMIFS(Table2[NewPointsHome],Table2[GameDate], "&lt;=" &amp; $A139, Table2[HomeTeam], O$1)</f>
        <v>18</v>
      </c>
      <c r="P139" s="145">
        <f>SUMIFS(Table2[NewPointsAway],Table2[GameDate], "&lt;=" &amp; $A139, Table2[AwayTeam], P$1)+SUMIFS(Table2[NewPointsHome],Table2[GameDate], "&lt;=" &amp; $A139, Table2[HomeTeam], P$1)</f>
        <v>22</v>
      </c>
      <c r="Q139" s="145">
        <f>SUMIFS(Table2[NewPointsAway],Table2[GameDate], "&lt;=" &amp; $A139, Table2[AwayTeam], Q$1)+SUMIFS(Table2[NewPointsHome],Table2[GameDate], "&lt;=" &amp; $A139, Table2[HomeTeam], Q$1)</f>
        <v>23</v>
      </c>
      <c r="R139" s="145">
        <f>SUMIFS(Table2[NewPointsAway],Table2[GameDate], "&lt;=" &amp; $A139, Table2[AwayTeam], R$1)+SUMIFS(Table2[NewPointsHome],Table2[GameDate], "&lt;=" &amp; $A139, Table2[HomeTeam], R$1)</f>
        <v>14</v>
      </c>
      <c r="S139" s="145">
        <f>SUMIFS(Table2[NewPointsAway],Table2[GameDate], "&lt;=" &amp; $A139, Table2[AwayTeam], S$1)+SUMIFS(Table2[NewPointsHome],Table2[GameDate], "&lt;=" &amp; $A139, Table2[HomeTeam], S$1)</f>
        <v>18</v>
      </c>
      <c r="T139" s="145">
        <f>SUMIFS(Table2[NewPointsAway],Table2[GameDate], "&lt;=" &amp; $A139, Table2[AwayTeam], T$1)+SUMIFS(Table2[NewPointsHome],Table2[GameDate], "&lt;=" &amp; $A139, Table2[HomeTeam], T$1)</f>
        <v>20</v>
      </c>
      <c r="U139" s="145">
        <f>SUMIFS(Table2[NewPointsAway],Table2[GameDate], "&lt;=" &amp; $A139, Table2[AwayTeam], U$1)+SUMIFS(Table2[NewPointsHome],Table2[GameDate], "&lt;=" &amp; $A139, Table2[HomeTeam], U$1)</f>
        <v>20</v>
      </c>
      <c r="V139" s="145">
        <f>SUMIFS(Table2[NewPointsAway],Table2[GameDate], "&lt;=" &amp; $A139, Table2[AwayTeam], V$1)+SUMIFS(Table2[NewPointsHome],Table2[GameDate], "&lt;=" &amp; $A139, Table2[HomeTeam], V$1)</f>
        <v>19</v>
      </c>
      <c r="W139" s="145">
        <f>SUMIFS(Table2[NewPointsAway],Table2[GameDate], "&lt;=" &amp; $A139, Table2[AwayTeam], W$1)+SUMIFS(Table2[NewPointsHome],Table2[GameDate], "&lt;=" &amp; $A139, Table2[HomeTeam], W$1)</f>
        <v>21</v>
      </c>
      <c r="X139" s="145">
        <f>SUMIFS(Table2[NewPointsAway],Table2[GameDate], "&lt;=" &amp; $A139, Table2[AwayTeam], X$1)+SUMIFS(Table2[NewPointsHome],Table2[GameDate], "&lt;=" &amp; $A139, Table2[HomeTeam], X$1)</f>
        <v>19</v>
      </c>
      <c r="Y139" s="145">
        <f>SUMIFS(Table2[NewPointsAway],Table2[GameDate], "&lt;=" &amp; $A139, Table2[AwayTeam], Y$1)+SUMIFS(Table2[NewPointsHome],Table2[GameDate], "&lt;=" &amp; $A139, Table2[HomeTeam], Y$1)</f>
        <v>19</v>
      </c>
      <c r="Z139" s="145">
        <f>SUMIFS(Table2[NewPointsAway],Table2[GameDate], "&lt;=" &amp; $A139, Table2[AwayTeam], Z$1)+SUMIFS(Table2[NewPointsHome],Table2[GameDate], "&lt;=" &amp; $A139, Table2[HomeTeam], Z$1)</f>
        <v>15</v>
      </c>
      <c r="AA139" s="145">
        <f>SUMIFS(Table2[NewPointsAway],Table2[GameDate], "&lt;=" &amp; $A139, Table2[AwayTeam], AA$1)+SUMIFS(Table2[NewPointsHome],Table2[GameDate], "&lt;=" &amp; $A139, Table2[HomeTeam], AA$1)</f>
        <v>18</v>
      </c>
      <c r="AB139" s="145">
        <f>SUMIFS(Table2[NewPointsAway],Table2[GameDate], "&lt;=" &amp; $A139, Table2[AwayTeam], AB$1)+SUMIFS(Table2[NewPointsHome],Table2[GameDate], "&lt;=" &amp; $A139, Table2[HomeTeam], AB$1)</f>
        <v>17</v>
      </c>
      <c r="AC139" s="145">
        <f>SUMIFS(Table2[NewPointsAway],Table2[GameDate], "&lt;=" &amp; $A139, Table2[AwayTeam], AC$1)+SUMIFS(Table2[NewPointsHome],Table2[GameDate], "&lt;=" &amp; $A139, Table2[HomeTeam], AC$1)</f>
        <v>18</v>
      </c>
      <c r="AD139" s="145">
        <f>SUMIFS(Table2[NewPointsAway],Table2[GameDate], "&lt;=" &amp; $A139, Table2[AwayTeam], AD$1)+SUMIFS(Table2[NewPointsHome],Table2[GameDate], "&lt;=" &amp; $A139, Table2[HomeTeam], AD$1)</f>
        <v>17</v>
      </c>
      <c r="AE139" s="145">
        <f>SUMIFS(Table2[NewPointsAway],Table2[GameDate], "&lt;=" &amp; $A139, Table2[AwayTeam], AE$1)+SUMIFS(Table2[NewPointsHome],Table2[GameDate], "&lt;=" &amp; $A139, Table2[HomeTeam], AE$1)</f>
        <v>18</v>
      </c>
      <c r="AF139" s="145">
        <f>SUMIFS(Table2[NewPointsAway],Table2[GameDate], "&lt;=" &amp; $A139, Table2[AwayTeam], AF$1)+SUMIFS(Table2[NewPointsHome],Table2[GameDate], "&lt;=" &amp; $A139, Table2[HomeTeam], AF$1)</f>
        <v>20</v>
      </c>
      <c r="AG139" s="145">
        <f>SUMIFS(Table2[NewPointsAway],Table2[GameDate], "&lt;=" &amp; $A139, Table2[AwayTeam], AG$1)+SUMIFS(Table2[NewPointsHome],Table2[GameDate], "&lt;=" &amp; $A139, Table2[HomeTeam], AG$1)</f>
        <v>17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23</v>
      </c>
      <c r="C140" s="145">
        <f>SUMIFS(Table2[NewPointsAway],Table2[GameDate], "&lt;=" &amp; $A140, Table2[AwayTeam], C$1)+SUMIFS(Table2[NewPointsHome],Table2[GameDate], "&lt;=" &amp; $A140, Table2[HomeTeam], C$1)</f>
        <v>22</v>
      </c>
      <c r="D140" s="145">
        <f>SUMIFS(Table2[NewPointsAway],Table2[GameDate], "&lt;=" &amp; $A140, Table2[AwayTeam], D$1)+SUMIFS(Table2[NewPointsHome],Table2[GameDate], "&lt;=" &amp; $A140, Table2[HomeTeam], D$1)</f>
        <v>14</v>
      </c>
      <c r="E140" s="145">
        <f>SUMIFS(Table2[NewPointsAway],Table2[GameDate], "&lt;=" &amp; $A140, Table2[AwayTeam], E$1)+SUMIFS(Table2[NewPointsHome],Table2[GameDate], "&lt;=" &amp; $A140, Table2[HomeTeam], E$1)</f>
        <v>22</v>
      </c>
      <c r="F140" s="145">
        <f>SUMIFS(Table2[NewPointsAway],Table2[GameDate], "&lt;=" &amp; $A140, Table2[AwayTeam], F$1)+SUMIFS(Table2[NewPointsHome],Table2[GameDate], "&lt;=" &amp; $A140, Table2[HomeTeam], F$1)</f>
        <v>17</v>
      </c>
      <c r="G140" s="145">
        <f>SUMIFS(Table2[NewPointsAway],Table2[GameDate], "&lt;=" &amp; $A140, Table2[AwayTeam], G$1)+SUMIFS(Table2[NewPointsHome],Table2[GameDate], "&lt;=" &amp; $A140, Table2[HomeTeam], G$1)</f>
        <v>10</v>
      </c>
      <c r="H140" s="145">
        <f>SUMIFS(Table2[NewPointsAway],Table2[GameDate], "&lt;=" &amp; $A140, Table2[AwayTeam], H$1)+SUMIFS(Table2[NewPointsHome],Table2[GameDate], "&lt;=" &amp; $A140, Table2[HomeTeam], H$1)</f>
        <v>19</v>
      </c>
      <c r="I140" s="145">
        <f>SUMIFS(Table2[NewPointsAway],Table2[GameDate], "&lt;=" &amp; $A140, Table2[AwayTeam], I$1)+SUMIFS(Table2[NewPointsHome],Table2[GameDate], "&lt;=" &amp; $A140, Table2[HomeTeam], I$1)</f>
        <v>27</v>
      </c>
      <c r="J140" s="145">
        <f>SUMIFS(Table2[NewPointsAway],Table2[GameDate], "&lt;=" &amp; $A140, Table2[AwayTeam], J$1)+SUMIFS(Table2[NewPointsHome],Table2[GameDate], "&lt;=" &amp; $A140, Table2[HomeTeam], J$1)</f>
        <v>23</v>
      </c>
      <c r="K140" s="145">
        <f>SUMIFS(Table2[NewPointsAway],Table2[GameDate], "&lt;=" &amp; $A140, Table2[AwayTeam], K$1)+SUMIFS(Table2[NewPointsHome],Table2[GameDate], "&lt;=" &amp; $A140, Table2[HomeTeam], K$1)</f>
        <v>18</v>
      </c>
      <c r="L140" s="145">
        <f>SUMIFS(Table2[NewPointsAway],Table2[GameDate], "&lt;=" &amp; $A140, Table2[AwayTeam], L$1)+SUMIFS(Table2[NewPointsHome],Table2[GameDate], "&lt;=" &amp; $A140, Table2[HomeTeam], L$1)</f>
        <v>20</v>
      </c>
      <c r="M140" s="145">
        <f>SUMIFS(Table2[NewPointsAway],Table2[GameDate], "&lt;=" &amp; $A140, Table2[AwayTeam], M$1)+SUMIFS(Table2[NewPointsHome],Table2[GameDate], "&lt;=" &amp; $A140, Table2[HomeTeam], M$1)</f>
        <v>17</v>
      </c>
      <c r="N140" s="145">
        <f>SUMIFS(Table2[NewPointsAway],Table2[GameDate], "&lt;=" &amp; $A140, Table2[AwayTeam], N$1)+SUMIFS(Table2[NewPointsHome],Table2[GameDate], "&lt;=" &amp; $A140, Table2[HomeTeam], N$1)</f>
        <v>20</v>
      </c>
      <c r="O140" s="145">
        <f>SUMIFS(Table2[NewPointsAway],Table2[GameDate], "&lt;=" &amp; $A140, Table2[AwayTeam], O$1)+SUMIFS(Table2[NewPointsHome],Table2[GameDate], "&lt;=" &amp; $A140, Table2[HomeTeam], O$1)</f>
        <v>18</v>
      </c>
      <c r="P140" s="145">
        <f>SUMIFS(Table2[NewPointsAway],Table2[GameDate], "&lt;=" &amp; $A140, Table2[AwayTeam], P$1)+SUMIFS(Table2[NewPointsHome],Table2[GameDate], "&lt;=" &amp; $A140, Table2[HomeTeam], P$1)</f>
        <v>22</v>
      </c>
      <c r="Q140" s="145">
        <f>SUMIFS(Table2[NewPointsAway],Table2[GameDate], "&lt;=" &amp; $A140, Table2[AwayTeam], Q$1)+SUMIFS(Table2[NewPointsHome],Table2[GameDate], "&lt;=" &amp; $A140, Table2[HomeTeam], Q$1)</f>
        <v>23</v>
      </c>
      <c r="R140" s="145">
        <f>SUMIFS(Table2[NewPointsAway],Table2[GameDate], "&lt;=" &amp; $A140, Table2[AwayTeam], R$1)+SUMIFS(Table2[NewPointsHome],Table2[GameDate], "&lt;=" &amp; $A140, Table2[HomeTeam], R$1)</f>
        <v>14</v>
      </c>
      <c r="S140" s="145">
        <f>SUMIFS(Table2[NewPointsAway],Table2[GameDate], "&lt;=" &amp; $A140, Table2[AwayTeam], S$1)+SUMIFS(Table2[NewPointsHome],Table2[GameDate], "&lt;=" &amp; $A140, Table2[HomeTeam], S$1)</f>
        <v>18</v>
      </c>
      <c r="T140" s="145">
        <f>SUMIFS(Table2[NewPointsAway],Table2[GameDate], "&lt;=" &amp; $A140, Table2[AwayTeam], T$1)+SUMIFS(Table2[NewPointsHome],Table2[GameDate], "&lt;=" &amp; $A140, Table2[HomeTeam], T$1)</f>
        <v>20</v>
      </c>
      <c r="U140" s="145">
        <f>SUMIFS(Table2[NewPointsAway],Table2[GameDate], "&lt;=" &amp; $A140, Table2[AwayTeam], U$1)+SUMIFS(Table2[NewPointsHome],Table2[GameDate], "&lt;=" &amp; $A140, Table2[HomeTeam], U$1)</f>
        <v>20</v>
      </c>
      <c r="V140" s="145">
        <f>SUMIFS(Table2[NewPointsAway],Table2[GameDate], "&lt;=" &amp; $A140, Table2[AwayTeam], V$1)+SUMIFS(Table2[NewPointsHome],Table2[GameDate], "&lt;=" &amp; $A140, Table2[HomeTeam], V$1)</f>
        <v>19</v>
      </c>
      <c r="W140" s="145">
        <f>SUMIFS(Table2[NewPointsAway],Table2[GameDate], "&lt;=" &amp; $A140, Table2[AwayTeam], W$1)+SUMIFS(Table2[NewPointsHome],Table2[GameDate], "&lt;=" &amp; $A140, Table2[HomeTeam], W$1)</f>
        <v>21</v>
      </c>
      <c r="X140" s="145">
        <f>SUMIFS(Table2[NewPointsAway],Table2[GameDate], "&lt;=" &amp; $A140, Table2[AwayTeam], X$1)+SUMIFS(Table2[NewPointsHome],Table2[GameDate], "&lt;=" &amp; $A140, Table2[HomeTeam], X$1)</f>
        <v>19</v>
      </c>
      <c r="Y140" s="145">
        <f>SUMIFS(Table2[NewPointsAway],Table2[GameDate], "&lt;=" &amp; $A140, Table2[AwayTeam], Y$1)+SUMIFS(Table2[NewPointsHome],Table2[GameDate], "&lt;=" &amp; $A140, Table2[HomeTeam], Y$1)</f>
        <v>19</v>
      </c>
      <c r="Z140" s="145">
        <f>SUMIFS(Table2[NewPointsAway],Table2[GameDate], "&lt;=" &amp; $A140, Table2[AwayTeam], Z$1)+SUMIFS(Table2[NewPointsHome],Table2[GameDate], "&lt;=" &amp; $A140, Table2[HomeTeam], Z$1)</f>
        <v>15</v>
      </c>
      <c r="AA140" s="145">
        <f>SUMIFS(Table2[NewPointsAway],Table2[GameDate], "&lt;=" &amp; $A140, Table2[AwayTeam], AA$1)+SUMIFS(Table2[NewPointsHome],Table2[GameDate], "&lt;=" &amp; $A140, Table2[HomeTeam], AA$1)</f>
        <v>18</v>
      </c>
      <c r="AB140" s="145">
        <f>SUMIFS(Table2[NewPointsAway],Table2[GameDate], "&lt;=" &amp; $A140, Table2[AwayTeam], AB$1)+SUMIFS(Table2[NewPointsHome],Table2[GameDate], "&lt;=" &amp; $A140, Table2[HomeTeam], AB$1)</f>
        <v>17</v>
      </c>
      <c r="AC140" s="145">
        <f>SUMIFS(Table2[NewPointsAway],Table2[GameDate], "&lt;=" &amp; $A140, Table2[AwayTeam], AC$1)+SUMIFS(Table2[NewPointsHome],Table2[GameDate], "&lt;=" &amp; $A140, Table2[HomeTeam], AC$1)</f>
        <v>18</v>
      </c>
      <c r="AD140" s="145">
        <f>SUMIFS(Table2[NewPointsAway],Table2[GameDate], "&lt;=" &amp; $A140, Table2[AwayTeam], AD$1)+SUMIFS(Table2[NewPointsHome],Table2[GameDate], "&lt;=" &amp; $A140, Table2[HomeTeam], AD$1)</f>
        <v>17</v>
      </c>
      <c r="AE140" s="145">
        <f>SUMIFS(Table2[NewPointsAway],Table2[GameDate], "&lt;=" &amp; $A140, Table2[AwayTeam], AE$1)+SUMIFS(Table2[NewPointsHome],Table2[GameDate], "&lt;=" &amp; $A140, Table2[HomeTeam], AE$1)</f>
        <v>18</v>
      </c>
      <c r="AF140" s="145">
        <f>SUMIFS(Table2[NewPointsAway],Table2[GameDate], "&lt;=" &amp; $A140, Table2[AwayTeam], AF$1)+SUMIFS(Table2[NewPointsHome],Table2[GameDate], "&lt;=" &amp; $A140, Table2[HomeTeam], AF$1)</f>
        <v>20</v>
      </c>
      <c r="AG140" s="145">
        <f>SUMIFS(Table2[NewPointsAway],Table2[GameDate], "&lt;=" &amp; $A140, Table2[AwayTeam], AG$1)+SUMIFS(Table2[NewPointsHome],Table2[GameDate], "&lt;=" &amp; $A140, Table2[HomeTeam], AG$1)</f>
        <v>17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23</v>
      </c>
      <c r="C141" s="145">
        <f>SUMIFS(Table2[NewPointsAway],Table2[GameDate], "&lt;=" &amp; $A141, Table2[AwayTeam], C$1)+SUMIFS(Table2[NewPointsHome],Table2[GameDate], "&lt;=" &amp; $A141, Table2[HomeTeam], C$1)</f>
        <v>22</v>
      </c>
      <c r="D141" s="145">
        <f>SUMIFS(Table2[NewPointsAway],Table2[GameDate], "&lt;=" &amp; $A141, Table2[AwayTeam], D$1)+SUMIFS(Table2[NewPointsHome],Table2[GameDate], "&lt;=" &amp; $A141, Table2[HomeTeam], D$1)</f>
        <v>14</v>
      </c>
      <c r="E141" s="145">
        <f>SUMIFS(Table2[NewPointsAway],Table2[GameDate], "&lt;=" &amp; $A141, Table2[AwayTeam], E$1)+SUMIFS(Table2[NewPointsHome],Table2[GameDate], "&lt;=" &amp; $A141, Table2[HomeTeam], E$1)</f>
        <v>22</v>
      </c>
      <c r="F141" s="145">
        <f>SUMIFS(Table2[NewPointsAway],Table2[GameDate], "&lt;=" &amp; $A141, Table2[AwayTeam], F$1)+SUMIFS(Table2[NewPointsHome],Table2[GameDate], "&lt;=" &amp; $A141, Table2[HomeTeam], F$1)</f>
        <v>17</v>
      </c>
      <c r="G141" s="145">
        <f>SUMIFS(Table2[NewPointsAway],Table2[GameDate], "&lt;=" &amp; $A141, Table2[AwayTeam], G$1)+SUMIFS(Table2[NewPointsHome],Table2[GameDate], "&lt;=" &amp; $A141, Table2[HomeTeam], G$1)</f>
        <v>10</v>
      </c>
      <c r="H141" s="145">
        <f>SUMIFS(Table2[NewPointsAway],Table2[GameDate], "&lt;=" &amp; $A141, Table2[AwayTeam], H$1)+SUMIFS(Table2[NewPointsHome],Table2[GameDate], "&lt;=" &amp; $A141, Table2[HomeTeam], H$1)</f>
        <v>19</v>
      </c>
      <c r="I141" s="145">
        <f>SUMIFS(Table2[NewPointsAway],Table2[GameDate], "&lt;=" &amp; $A141, Table2[AwayTeam], I$1)+SUMIFS(Table2[NewPointsHome],Table2[GameDate], "&lt;=" &amp; $A141, Table2[HomeTeam], I$1)</f>
        <v>27</v>
      </c>
      <c r="J141" s="145">
        <f>SUMIFS(Table2[NewPointsAway],Table2[GameDate], "&lt;=" &amp; $A141, Table2[AwayTeam], J$1)+SUMIFS(Table2[NewPointsHome],Table2[GameDate], "&lt;=" &amp; $A141, Table2[HomeTeam], J$1)</f>
        <v>23</v>
      </c>
      <c r="K141" s="145">
        <f>SUMIFS(Table2[NewPointsAway],Table2[GameDate], "&lt;=" &amp; $A141, Table2[AwayTeam], K$1)+SUMIFS(Table2[NewPointsHome],Table2[GameDate], "&lt;=" &amp; $A141, Table2[HomeTeam], K$1)</f>
        <v>18</v>
      </c>
      <c r="L141" s="145">
        <f>SUMIFS(Table2[NewPointsAway],Table2[GameDate], "&lt;=" &amp; $A141, Table2[AwayTeam], L$1)+SUMIFS(Table2[NewPointsHome],Table2[GameDate], "&lt;=" &amp; $A141, Table2[HomeTeam], L$1)</f>
        <v>20</v>
      </c>
      <c r="M141" s="145">
        <f>SUMIFS(Table2[NewPointsAway],Table2[GameDate], "&lt;=" &amp; $A141, Table2[AwayTeam], M$1)+SUMIFS(Table2[NewPointsHome],Table2[GameDate], "&lt;=" &amp; $A141, Table2[HomeTeam], M$1)</f>
        <v>17</v>
      </c>
      <c r="N141" s="145">
        <f>SUMIFS(Table2[NewPointsAway],Table2[GameDate], "&lt;=" &amp; $A141, Table2[AwayTeam], N$1)+SUMIFS(Table2[NewPointsHome],Table2[GameDate], "&lt;=" &amp; $A141, Table2[HomeTeam], N$1)</f>
        <v>20</v>
      </c>
      <c r="O141" s="145">
        <f>SUMIFS(Table2[NewPointsAway],Table2[GameDate], "&lt;=" &amp; $A141, Table2[AwayTeam], O$1)+SUMIFS(Table2[NewPointsHome],Table2[GameDate], "&lt;=" &amp; $A141, Table2[HomeTeam], O$1)</f>
        <v>18</v>
      </c>
      <c r="P141" s="145">
        <f>SUMIFS(Table2[NewPointsAway],Table2[GameDate], "&lt;=" &amp; $A141, Table2[AwayTeam], P$1)+SUMIFS(Table2[NewPointsHome],Table2[GameDate], "&lt;=" &amp; $A141, Table2[HomeTeam], P$1)</f>
        <v>22</v>
      </c>
      <c r="Q141" s="145">
        <f>SUMIFS(Table2[NewPointsAway],Table2[GameDate], "&lt;=" &amp; $A141, Table2[AwayTeam], Q$1)+SUMIFS(Table2[NewPointsHome],Table2[GameDate], "&lt;=" &amp; $A141, Table2[HomeTeam], Q$1)</f>
        <v>23</v>
      </c>
      <c r="R141" s="145">
        <f>SUMIFS(Table2[NewPointsAway],Table2[GameDate], "&lt;=" &amp; $A141, Table2[AwayTeam], R$1)+SUMIFS(Table2[NewPointsHome],Table2[GameDate], "&lt;=" &amp; $A141, Table2[HomeTeam], R$1)</f>
        <v>14</v>
      </c>
      <c r="S141" s="145">
        <f>SUMIFS(Table2[NewPointsAway],Table2[GameDate], "&lt;=" &amp; $A141, Table2[AwayTeam], S$1)+SUMIFS(Table2[NewPointsHome],Table2[GameDate], "&lt;=" &amp; $A141, Table2[HomeTeam], S$1)</f>
        <v>18</v>
      </c>
      <c r="T141" s="145">
        <f>SUMIFS(Table2[NewPointsAway],Table2[GameDate], "&lt;=" &amp; $A141, Table2[AwayTeam], T$1)+SUMIFS(Table2[NewPointsHome],Table2[GameDate], "&lt;=" &amp; $A141, Table2[HomeTeam], T$1)</f>
        <v>20</v>
      </c>
      <c r="U141" s="145">
        <f>SUMIFS(Table2[NewPointsAway],Table2[GameDate], "&lt;=" &amp; $A141, Table2[AwayTeam], U$1)+SUMIFS(Table2[NewPointsHome],Table2[GameDate], "&lt;=" &amp; $A141, Table2[HomeTeam], U$1)</f>
        <v>20</v>
      </c>
      <c r="V141" s="145">
        <f>SUMIFS(Table2[NewPointsAway],Table2[GameDate], "&lt;=" &amp; $A141, Table2[AwayTeam], V$1)+SUMIFS(Table2[NewPointsHome],Table2[GameDate], "&lt;=" &amp; $A141, Table2[HomeTeam], V$1)</f>
        <v>19</v>
      </c>
      <c r="W141" s="145">
        <f>SUMIFS(Table2[NewPointsAway],Table2[GameDate], "&lt;=" &amp; $A141, Table2[AwayTeam], W$1)+SUMIFS(Table2[NewPointsHome],Table2[GameDate], "&lt;=" &amp; $A141, Table2[HomeTeam], W$1)</f>
        <v>21</v>
      </c>
      <c r="X141" s="145">
        <f>SUMIFS(Table2[NewPointsAway],Table2[GameDate], "&lt;=" &amp; $A141, Table2[AwayTeam], X$1)+SUMIFS(Table2[NewPointsHome],Table2[GameDate], "&lt;=" &amp; $A141, Table2[HomeTeam], X$1)</f>
        <v>19</v>
      </c>
      <c r="Y141" s="145">
        <f>SUMIFS(Table2[NewPointsAway],Table2[GameDate], "&lt;=" &amp; $A141, Table2[AwayTeam], Y$1)+SUMIFS(Table2[NewPointsHome],Table2[GameDate], "&lt;=" &amp; $A141, Table2[HomeTeam], Y$1)</f>
        <v>19</v>
      </c>
      <c r="Z141" s="145">
        <f>SUMIFS(Table2[NewPointsAway],Table2[GameDate], "&lt;=" &amp; $A141, Table2[AwayTeam], Z$1)+SUMIFS(Table2[NewPointsHome],Table2[GameDate], "&lt;=" &amp; $A141, Table2[HomeTeam], Z$1)</f>
        <v>15</v>
      </c>
      <c r="AA141" s="145">
        <f>SUMIFS(Table2[NewPointsAway],Table2[GameDate], "&lt;=" &amp; $A141, Table2[AwayTeam], AA$1)+SUMIFS(Table2[NewPointsHome],Table2[GameDate], "&lt;=" &amp; $A141, Table2[HomeTeam], AA$1)</f>
        <v>18</v>
      </c>
      <c r="AB141" s="145">
        <f>SUMIFS(Table2[NewPointsAway],Table2[GameDate], "&lt;=" &amp; $A141, Table2[AwayTeam], AB$1)+SUMIFS(Table2[NewPointsHome],Table2[GameDate], "&lt;=" &amp; $A141, Table2[HomeTeam], AB$1)</f>
        <v>17</v>
      </c>
      <c r="AC141" s="145">
        <f>SUMIFS(Table2[NewPointsAway],Table2[GameDate], "&lt;=" &amp; $A141, Table2[AwayTeam], AC$1)+SUMIFS(Table2[NewPointsHome],Table2[GameDate], "&lt;=" &amp; $A141, Table2[HomeTeam], AC$1)</f>
        <v>18</v>
      </c>
      <c r="AD141" s="145">
        <f>SUMIFS(Table2[NewPointsAway],Table2[GameDate], "&lt;=" &amp; $A141, Table2[AwayTeam], AD$1)+SUMIFS(Table2[NewPointsHome],Table2[GameDate], "&lt;=" &amp; $A141, Table2[HomeTeam], AD$1)</f>
        <v>17</v>
      </c>
      <c r="AE141" s="145">
        <f>SUMIFS(Table2[NewPointsAway],Table2[GameDate], "&lt;=" &amp; $A141, Table2[AwayTeam], AE$1)+SUMIFS(Table2[NewPointsHome],Table2[GameDate], "&lt;=" &amp; $A141, Table2[HomeTeam], AE$1)</f>
        <v>18</v>
      </c>
      <c r="AF141" s="145">
        <f>SUMIFS(Table2[NewPointsAway],Table2[GameDate], "&lt;=" &amp; $A141, Table2[AwayTeam], AF$1)+SUMIFS(Table2[NewPointsHome],Table2[GameDate], "&lt;=" &amp; $A141, Table2[HomeTeam], AF$1)</f>
        <v>20</v>
      </c>
      <c r="AG141" s="145">
        <f>SUMIFS(Table2[NewPointsAway],Table2[GameDate], "&lt;=" &amp; $A141, Table2[AwayTeam], AG$1)+SUMIFS(Table2[NewPointsHome],Table2[GameDate], "&lt;=" &amp; $A141, Table2[HomeTeam], AG$1)</f>
        <v>17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23</v>
      </c>
      <c r="C142" s="145">
        <f>SUMIFS(Table2[NewPointsAway],Table2[GameDate], "&lt;=" &amp; $A142, Table2[AwayTeam], C$1)+SUMIFS(Table2[NewPointsHome],Table2[GameDate], "&lt;=" &amp; $A142, Table2[HomeTeam], C$1)</f>
        <v>22</v>
      </c>
      <c r="D142" s="145">
        <f>SUMIFS(Table2[NewPointsAway],Table2[GameDate], "&lt;=" &amp; $A142, Table2[AwayTeam], D$1)+SUMIFS(Table2[NewPointsHome],Table2[GameDate], "&lt;=" &amp; $A142, Table2[HomeTeam], D$1)</f>
        <v>14</v>
      </c>
      <c r="E142" s="145">
        <f>SUMIFS(Table2[NewPointsAway],Table2[GameDate], "&lt;=" &amp; $A142, Table2[AwayTeam], E$1)+SUMIFS(Table2[NewPointsHome],Table2[GameDate], "&lt;=" &amp; $A142, Table2[HomeTeam], E$1)</f>
        <v>22</v>
      </c>
      <c r="F142" s="145">
        <f>SUMIFS(Table2[NewPointsAway],Table2[GameDate], "&lt;=" &amp; $A142, Table2[AwayTeam], F$1)+SUMIFS(Table2[NewPointsHome],Table2[GameDate], "&lt;=" &amp; $A142, Table2[HomeTeam], F$1)</f>
        <v>17</v>
      </c>
      <c r="G142" s="145">
        <f>SUMIFS(Table2[NewPointsAway],Table2[GameDate], "&lt;=" &amp; $A142, Table2[AwayTeam], G$1)+SUMIFS(Table2[NewPointsHome],Table2[GameDate], "&lt;=" &amp; $A142, Table2[HomeTeam], G$1)</f>
        <v>10</v>
      </c>
      <c r="H142" s="145">
        <f>SUMIFS(Table2[NewPointsAway],Table2[GameDate], "&lt;=" &amp; $A142, Table2[AwayTeam], H$1)+SUMIFS(Table2[NewPointsHome],Table2[GameDate], "&lt;=" &amp; $A142, Table2[HomeTeam], H$1)</f>
        <v>19</v>
      </c>
      <c r="I142" s="145">
        <f>SUMIFS(Table2[NewPointsAway],Table2[GameDate], "&lt;=" &amp; $A142, Table2[AwayTeam], I$1)+SUMIFS(Table2[NewPointsHome],Table2[GameDate], "&lt;=" &amp; $A142, Table2[HomeTeam], I$1)</f>
        <v>27</v>
      </c>
      <c r="J142" s="145">
        <f>SUMIFS(Table2[NewPointsAway],Table2[GameDate], "&lt;=" &amp; $A142, Table2[AwayTeam], J$1)+SUMIFS(Table2[NewPointsHome],Table2[GameDate], "&lt;=" &amp; $A142, Table2[HomeTeam], J$1)</f>
        <v>23</v>
      </c>
      <c r="K142" s="145">
        <f>SUMIFS(Table2[NewPointsAway],Table2[GameDate], "&lt;=" &amp; $A142, Table2[AwayTeam], K$1)+SUMIFS(Table2[NewPointsHome],Table2[GameDate], "&lt;=" &amp; $A142, Table2[HomeTeam], K$1)</f>
        <v>18</v>
      </c>
      <c r="L142" s="145">
        <f>SUMIFS(Table2[NewPointsAway],Table2[GameDate], "&lt;=" &amp; $A142, Table2[AwayTeam], L$1)+SUMIFS(Table2[NewPointsHome],Table2[GameDate], "&lt;=" &amp; $A142, Table2[HomeTeam], L$1)</f>
        <v>20</v>
      </c>
      <c r="M142" s="145">
        <f>SUMIFS(Table2[NewPointsAway],Table2[GameDate], "&lt;=" &amp; $A142, Table2[AwayTeam], M$1)+SUMIFS(Table2[NewPointsHome],Table2[GameDate], "&lt;=" &amp; $A142, Table2[HomeTeam], M$1)</f>
        <v>17</v>
      </c>
      <c r="N142" s="145">
        <f>SUMIFS(Table2[NewPointsAway],Table2[GameDate], "&lt;=" &amp; $A142, Table2[AwayTeam], N$1)+SUMIFS(Table2[NewPointsHome],Table2[GameDate], "&lt;=" &amp; $A142, Table2[HomeTeam], N$1)</f>
        <v>20</v>
      </c>
      <c r="O142" s="145">
        <f>SUMIFS(Table2[NewPointsAway],Table2[GameDate], "&lt;=" &amp; $A142, Table2[AwayTeam], O$1)+SUMIFS(Table2[NewPointsHome],Table2[GameDate], "&lt;=" &amp; $A142, Table2[HomeTeam], O$1)</f>
        <v>18</v>
      </c>
      <c r="P142" s="145">
        <f>SUMIFS(Table2[NewPointsAway],Table2[GameDate], "&lt;=" &amp; $A142, Table2[AwayTeam], P$1)+SUMIFS(Table2[NewPointsHome],Table2[GameDate], "&lt;=" &amp; $A142, Table2[HomeTeam], P$1)</f>
        <v>22</v>
      </c>
      <c r="Q142" s="145">
        <f>SUMIFS(Table2[NewPointsAway],Table2[GameDate], "&lt;=" &amp; $A142, Table2[AwayTeam], Q$1)+SUMIFS(Table2[NewPointsHome],Table2[GameDate], "&lt;=" &amp; $A142, Table2[HomeTeam], Q$1)</f>
        <v>23</v>
      </c>
      <c r="R142" s="145">
        <f>SUMIFS(Table2[NewPointsAway],Table2[GameDate], "&lt;=" &amp; $A142, Table2[AwayTeam], R$1)+SUMIFS(Table2[NewPointsHome],Table2[GameDate], "&lt;=" &amp; $A142, Table2[HomeTeam], R$1)</f>
        <v>14</v>
      </c>
      <c r="S142" s="145">
        <f>SUMIFS(Table2[NewPointsAway],Table2[GameDate], "&lt;=" &amp; $A142, Table2[AwayTeam], S$1)+SUMIFS(Table2[NewPointsHome],Table2[GameDate], "&lt;=" &amp; $A142, Table2[HomeTeam], S$1)</f>
        <v>18</v>
      </c>
      <c r="T142" s="145">
        <f>SUMIFS(Table2[NewPointsAway],Table2[GameDate], "&lt;=" &amp; $A142, Table2[AwayTeam], T$1)+SUMIFS(Table2[NewPointsHome],Table2[GameDate], "&lt;=" &amp; $A142, Table2[HomeTeam], T$1)</f>
        <v>20</v>
      </c>
      <c r="U142" s="145">
        <f>SUMIFS(Table2[NewPointsAway],Table2[GameDate], "&lt;=" &amp; $A142, Table2[AwayTeam], U$1)+SUMIFS(Table2[NewPointsHome],Table2[GameDate], "&lt;=" &amp; $A142, Table2[HomeTeam], U$1)</f>
        <v>20</v>
      </c>
      <c r="V142" s="145">
        <f>SUMIFS(Table2[NewPointsAway],Table2[GameDate], "&lt;=" &amp; $A142, Table2[AwayTeam], V$1)+SUMIFS(Table2[NewPointsHome],Table2[GameDate], "&lt;=" &amp; $A142, Table2[HomeTeam], V$1)</f>
        <v>19</v>
      </c>
      <c r="W142" s="145">
        <f>SUMIFS(Table2[NewPointsAway],Table2[GameDate], "&lt;=" &amp; $A142, Table2[AwayTeam], W$1)+SUMIFS(Table2[NewPointsHome],Table2[GameDate], "&lt;=" &amp; $A142, Table2[HomeTeam], W$1)</f>
        <v>21</v>
      </c>
      <c r="X142" s="145">
        <f>SUMIFS(Table2[NewPointsAway],Table2[GameDate], "&lt;=" &amp; $A142, Table2[AwayTeam], X$1)+SUMIFS(Table2[NewPointsHome],Table2[GameDate], "&lt;=" &amp; $A142, Table2[HomeTeam], X$1)</f>
        <v>19</v>
      </c>
      <c r="Y142" s="145">
        <f>SUMIFS(Table2[NewPointsAway],Table2[GameDate], "&lt;=" &amp; $A142, Table2[AwayTeam], Y$1)+SUMIFS(Table2[NewPointsHome],Table2[GameDate], "&lt;=" &amp; $A142, Table2[HomeTeam], Y$1)</f>
        <v>19</v>
      </c>
      <c r="Z142" s="145">
        <f>SUMIFS(Table2[NewPointsAway],Table2[GameDate], "&lt;=" &amp; $A142, Table2[AwayTeam], Z$1)+SUMIFS(Table2[NewPointsHome],Table2[GameDate], "&lt;=" &amp; $A142, Table2[HomeTeam], Z$1)</f>
        <v>15</v>
      </c>
      <c r="AA142" s="145">
        <f>SUMIFS(Table2[NewPointsAway],Table2[GameDate], "&lt;=" &amp; $A142, Table2[AwayTeam], AA$1)+SUMIFS(Table2[NewPointsHome],Table2[GameDate], "&lt;=" &amp; $A142, Table2[HomeTeam], AA$1)</f>
        <v>18</v>
      </c>
      <c r="AB142" s="145">
        <f>SUMIFS(Table2[NewPointsAway],Table2[GameDate], "&lt;=" &amp; $A142, Table2[AwayTeam], AB$1)+SUMIFS(Table2[NewPointsHome],Table2[GameDate], "&lt;=" &amp; $A142, Table2[HomeTeam], AB$1)</f>
        <v>17</v>
      </c>
      <c r="AC142" s="145">
        <f>SUMIFS(Table2[NewPointsAway],Table2[GameDate], "&lt;=" &amp; $A142, Table2[AwayTeam], AC$1)+SUMIFS(Table2[NewPointsHome],Table2[GameDate], "&lt;=" &amp; $A142, Table2[HomeTeam], AC$1)</f>
        <v>18</v>
      </c>
      <c r="AD142" s="145">
        <f>SUMIFS(Table2[NewPointsAway],Table2[GameDate], "&lt;=" &amp; $A142, Table2[AwayTeam], AD$1)+SUMIFS(Table2[NewPointsHome],Table2[GameDate], "&lt;=" &amp; $A142, Table2[HomeTeam], AD$1)</f>
        <v>17</v>
      </c>
      <c r="AE142" s="145">
        <f>SUMIFS(Table2[NewPointsAway],Table2[GameDate], "&lt;=" &amp; $A142, Table2[AwayTeam], AE$1)+SUMIFS(Table2[NewPointsHome],Table2[GameDate], "&lt;=" &amp; $A142, Table2[HomeTeam], AE$1)</f>
        <v>18</v>
      </c>
      <c r="AF142" s="145">
        <f>SUMIFS(Table2[NewPointsAway],Table2[GameDate], "&lt;=" &amp; $A142, Table2[AwayTeam], AF$1)+SUMIFS(Table2[NewPointsHome],Table2[GameDate], "&lt;=" &amp; $A142, Table2[HomeTeam], AF$1)</f>
        <v>20</v>
      </c>
      <c r="AG142" s="145">
        <f>SUMIFS(Table2[NewPointsAway],Table2[GameDate], "&lt;=" &amp; $A142, Table2[AwayTeam], AG$1)+SUMIFS(Table2[NewPointsHome],Table2[GameDate], "&lt;=" &amp; $A142, Table2[HomeTeam], AG$1)</f>
        <v>17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23</v>
      </c>
      <c r="C143" s="145">
        <f>SUMIFS(Table2[NewPointsAway],Table2[GameDate], "&lt;=" &amp; $A143, Table2[AwayTeam], C$1)+SUMIFS(Table2[NewPointsHome],Table2[GameDate], "&lt;=" &amp; $A143, Table2[HomeTeam], C$1)</f>
        <v>22</v>
      </c>
      <c r="D143" s="145">
        <f>SUMIFS(Table2[NewPointsAway],Table2[GameDate], "&lt;=" &amp; $A143, Table2[AwayTeam], D$1)+SUMIFS(Table2[NewPointsHome],Table2[GameDate], "&lt;=" &amp; $A143, Table2[HomeTeam], D$1)</f>
        <v>14</v>
      </c>
      <c r="E143" s="145">
        <f>SUMIFS(Table2[NewPointsAway],Table2[GameDate], "&lt;=" &amp; $A143, Table2[AwayTeam], E$1)+SUMIFS(Table2[NewPointsHome],Table2[GameDate], "&lt;=" &amp; $A143, Table2[HomeTeam], E$1)</f>
        <v>22</v>
      </c>
      <c r="F143" s="145">
        <f>SUMIFS(Table2[NewPointsAway],Table2[GameDate], "&lt;=" &amp; $A143, Table2[AwayTeam], F$1)+SUMIFS(Table2[NewPointsHome],Table2[GameDate], "&lt;=" &amp; $A143, Table2[HomeTeam], F$1)</f>
        <v>17</v>
      </c>
      <c r="G143" s="145">
        <f>SUMIFS(Table2[NewPointsAway],Table2[GameDate], "&lt;=" &amp; $A143, Table2[AwayTeam], G$1)+SUMIFS(Table2[NewPointsHome],Table2[GameDate], "&lt;=" &amp; $A143, Table2[HomeTeam], G$1)</f>
        <v>10</v>
      </c>
      <c r="H143" s="145">
        <f>SUMIFS(Table2[NewPointsAway],Table2[GameDate], "&lt;=" &amp; $A143, Table2[AwayTeam], H$1)+SUMIFS(Table2[NewPointsHome],Table2[GameDate], "&lt;=" &amp; $A143, Table2[HomeTeam], H$1)</f>
        <v>19</v>
      </c>
      <c r="I143" s="145">
        <f>SUMIFS(Table2[NewPointsAway],Table2[GameDate], "&lt;=" &amp; $A143, Table2[AwayTeam], I$1)+SUMIFS(Table2[NewPointsHome],Table2[GameDate], "&lt;=" &amp; $A143, Table2[HomeTeam], I$1)</f>
        <v>27</v>
      </c>
      <c r="J143" s="145">
        <f>SUMIFS(Table2[NewPointsAway],Table2[GameDate], "&lt;=" &amp; $A143, Table2[AwayTeam], J$1)+SUMIFS(Table2[NewPointsHome],Table2[GameDate], "&lt;=" &amp; $A143, Table2[HomeTeam], J$1)</f>
        <v>23</v>
      </c>
      <c r="K143" s="145">
        <f>SUMIFS(Table2[NewPointsAway],Table2[GameDate], "&lt;=" &amp; $A143, Table2[AwayTeam], K$1)+SUMIFS(Table2[NewPointsHome],Table2[GameDate], "&lt;=" &amp; $A143, Table2[HomeTeam], K$1)</f>
        <v>18</v>
      </c>
      <c r="L143" s="145">
        <f>SUMIFS(Table2[NewPointsAway],Table2[GameDate], "&lt;=" &amp; $A143, Table2[AwayTeam], L$1)+SUMIFS(Table2[NewPointsHome],Table2[GameDate], "&lt;=" &amp; $A143, Table2[HomeTeam], L$1)</f>
        <v>20</v>
      </c>
      <c r="M143" s="145">
        <f>SUMIFS(Table2[NewPointsAway],Table2[GameDate], "&lt;=" &amp; $A143, Table2[AwayTeam], M$1)+SUMIFS(Table2[NewPointsHome],Table2[GameDate], "&lt;=" &amp; $A143, Table2[HomeTeam], M$1)</f>
        <v>17</v>
      </c>
      <c r="N143" s="145">
        <f>SUMIFS(Table2[NewPointsAway],Table2[GameDate], "&lt;=" &amp; $A143, Table2[AwayTeam], N$1)+SUMIFS(Table2[NewPointsHome],Table2[GameDate], "&lt;=" &amp; $A143, Table2[HomeTeam], N$1)</f>
        <v>20</v>
      </c>
      <c r="O143" s="145">
        <f>SUMIFS(Table2[NewPointsAway],Table2[GameDate], "&lt;=" &amp; $A143, Table2[AwayTeam], O$1)+SUMIFS(Table2[NewPointsHome],Table2[GameDate], "&lt;=" &amp; $A143, Table2[HomeTeam], O$1)</f>
        <v>18</v>
      </c>
      <c r="P143" s="145">
        <f>SUMIFS(Table2[NewPointsAway],Table2[GameDate], "&lt;=" &amp; $A143, Table2[AwayTeam], P$1)+SUMIFS(Table2[NewPointsHome],Table2[GameDate], "&lt;=" &amp; $A143, Table2[HomeTeam], P$1)</f>
        <v>22</v>
      </c>
      <c r="Q143" s="145">
        <f>SUMIFS(Table2[NewPointsAway],Table2[GameDate], "&lt;=" &amp; $A143, Table2[AwayTeam], Q$1)+SUMIFS(Table2[NewPointsHome],Table2[GameDate], "&lt;=" &amp; $A143, Table2[HomeTeam], Q$1)</f>
        <v>23</v>
      </c>
      <c r="R143" s="145">
        <f>SUMIFS(Table2[NewPointsAway],Table2[GameDate], "&lt;=" &amp; $A143, Table2[AwayTeam], R$1)+SUMIFS(Table2[NewPointsHome],Table2[GameDate], "&lt;=" &amp; $A143, Table2[HomeTeam], R$1)</f>
        <v>14</v>
      </c>
      <c r="S143" s="145">
        <f>SUMIFS(Table2[NewPointsAway],Table2[GameDate], "&lt;=" &amp; $A143, Table2[AwayTeam], S$1)+SUMIFS(Table2[NewPointsHome],Table2[GameDate], "&lt;=" &amp; $A143, Table2[HomeTeam], S$1)</f>
        <v>18</v>
      </c>
      <c r="T143" s="145">
        <f>SUMIFS(Table2[NewPointsAway],Table2[GameDate], "&lt;=" &amp; $A143, Table2[AwayTeam], T$1)+SUMIFS(Table2[NewPointsHome],Table2[GameDate], "&lt;=" &amp; $A143, Table2[HomeTeam], T$1)</f>
        <v>20</v>
      </c>
      <c r="U143" s="145">
        <f>SUMIFS(Table2[NewPointsAway],Table2[GameDate], "&lt;=" &amp; $A143, Table2[AwayTeam], U$1)+SUMIFS(Table2[NewPointsHome],Table2[GameDate], "&lt;=" &amp; $A143, Table2[HomeTeam], U$1)</f>
        <v>20</v>
      </c>
      <c r="V143" s="145">
        <f>SUMIFS(Table2[NewPointsAway],Table2[GameDate], "&lt;=" &amp; $A143, Table2[AwayTeam], V$1)+SUMIFS(Table2[NewPointsHome],Table2[GameDate], "&lt;=" &amp; $A143, Table2[HomeTeam], V$1)</f>
        <v>19</v>
      </c>
      <c r="W143" s="145">
        <f>SUMIFS(Table2[NewPointsAway],Table2[GameDate], "&lt;=" &amp; $A143, Table2[AwayTeam], W$1)+SUMIFS(Table2[NewPointsHome],Table2[GameDate], "&lt;=" &amp; $A143, Table2[HomeTeam], W$1)</f>
        <v>21</v>
      </c>
      <c r="X143" s="145">
        <f>SUMIFS(Table2[NewPointsAway],Table2[GameDate], "&lt;=" &amp; $A143, Table2[AwayTeam], X$1)+SUMIFS(Table2[NewPointsHome],Table2[GameDate], "&lt;=" &amp; $A143, Table2[HomeTeam], X$1)</f>
        <v>19</v>
      </c>
      <c r="Y143" s="145">
        <f>SUMIFS(Table2[NewPointsAway],Table2[GameDate], "&lt;=" &amp; $A143, Table2[AwayTeam], Y$1)+SUMIFS(Table2[NewPointsHome],Table2[GameDate], "&lt;=" &amp; $A143, Table2[HomeTeam], Y$1)</f>
        <v>19</v>
      </c>
      <c r="Z143" s="145">
        <f>SUMIFS(Table2[NewPointsAway],Table2[GameDate], "&lt;=" &amp; $A143, Table2[AwayTeam], Z$1)+SUMIFS(Table2[NewPointsHome],Table2[GameDate], "&lt;=" &amp; $A143, Table2[HomeTeam], Z$1)</f>
        <v>15</v>
      </c>
      <c r="AA143" s="145">
        <f>SUMIFS(Table2[NewPointsAway],Table2[GameDate], "&lt;=" &amp; $A143, Table2[AwayTeam], AA$1)+SUMIFS(Table2[NewPointsHome],Table2[GameDate], "&lt;=" &amp; $A143, Table2[HomeTeam], AA$1)</f>
        <v>18</v>
      </c>
      <c r="AB143" s="145">
        <f>SUMIFS(Table2[NewPointsAway],Table2[GameDate], "&lt;=" &amp; $A143, Table2[AwayTeam], AB$1)+SUMIFS(Table2[NewPointsHome],Table2[GameDate], "&lt;=" &amp; $A143, Table2[HomeTeam], AB$1)</f>
        <v>17</v>
      </c>
      <c r="AC143" s="145">
        <f>SUMIFS(Table2[NewPointsAway],Table2[GameDate], "&lt;=" &amp; $A143, Table2[AwayTeam], AC$1)+SUMIFS(Table2[NewPointsHome],Table2[GameDate], "&lt;=" &amp; $A143, Table2[HomeTeam], AC$1)</f>
        <v>18</v>
      </c>
      <c r="AD143" s="145">
        <f>SUMIFS(Table2[NewPointsAway],Table2[GameDate], "&lt;=" &amp; $A143, Table2[AwayTeam], AD$1)+SUMIFS(Table2[NewPointsHome],Table2[GameDate], "&lt;=" &amp; $A143, Table2[HomeTeam], AD$1)</f>
        <v>17</v>
      </c>
      <c r="AE143" s="145">
        <f>SUMIFS(Table2[NewPointsAway],Table2[GameDate], "&lt;=" &amp; $A143, Table2[AwayTeam], AE$1)+SUMIFS(Table2[NewPointsHome],Table2[GameDate], "&lt;=" &amp; $A143, Table2[HomeTeam], AE$1)</f>
        <v>18</v>
      </c>
      <c r="AF143" s="145">
        <f>SUMIFS(Table2[NewPointsAway],Table2[GameDate], "&lt;=" &amp; $A143, Table2[AwayTeam], AF$1)+SUMIFS(Table2[NewPointsHome],Table2[GameDate], "&lt;=" &amp; $A143, Table2[HomeTeam], AF$1)</f>
        <v>20</v>
      </c>
      <c r="AG143" s="145">
        <f>SUMIFS(Table2[NewPointsAway],Table2[GameDate], "&lt;=" &amp; $A143, Table2[AwayTeam], AG$1)+SUMIFS(Table2[NewPointsHome],Table2[GameDate], "&lt;=" &amp; $A143, Table2[HomeTeam], AG$1)</f>
        <v>17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23</v>
      </c>
      <c r="C144" s="145">
        <f>SUMIFS(Table2[NewPointsAway],Table2[GameDate], "&lt;=" &amp; $A144, Table2[AwayTeam], C$1)+SUMIFS(Table2[NewPointsHome],Table2[GameDate], "&lt;=" &amp; $A144, Table2[HomeTeam], C$1)</f>
        <v>22</v>
      </c>
      <c r="D144" s="145">
        <f>SUMIFS(Table2[NewPointsAway],Table2[GameDate], "&lt;=" &amp; $A144, Table2[AwayTeam], D$1)+SUMIFS(Table2[NewPointsHome],Table2[GameDate], "&lt;=" &amp; $A144, Table2[HomeTeam], D$1)</f>
        <v>14</v>
      </c>
      <c r="E144" s="145">
        <f>SUMIFS(Table2[NewPointsAway],Table2[GameDate], "&lt;=" &amp; $A144, Table2[AwayTeam], E$1)+SUMIFS(Table2[NewPointsHome],Table2[GameDate], "&lt;=" &amp; $A144, Table2[HomeTeam], E$1)</f>
        <v>22</v>
      </c>
      <c r="F144" s="145">
        <f>SUMIFS(Table2[NewPointsAway],Table2[GameDate], "&lt;=" &amp; $A144, Table2[AwayTeam], F$1)+SUMIFS(Table2[NewPointsHome],Table2[GameDate], "&lt;=" &amp; $A144, Table2[HomeTeam], F$1)</f>
        <v>17</v>
      </c>
      <c r="G144" s="145">
        <f>SUMIFS(Table2[NewPointsAway],Table2[GameDate], "&lt;=" &amp; $A144, Table2[AwayTeam], G$1)+SUMIFS(Table2[NewPointsHome],Table2[GameDate], "&lt;=" &amp; $A144, Table2[HomeTeam], G$1)</f>
        <v>10</v>
      </c>
      <c r="H144" s="145">
        <f>SUMIFS(Table2[NewPointsAway],Table2[GameDate], "&lt;=" &amp; $A144, Table2[AwayTeam], H$1)+SUMIFS(Table2[NewPointsHome],Table2[GameDate], "&lt;=" &amp; $A144, Table2[HomeTeam], H$1)</f>
        <v>19</v>
      </c>
      <c r="I144" s="145">
        <f>SUMIFS(Table2[NewPointsAway],Table2[GameDate], "&lt;=" &amp; $A144, Table2[AwayTeam], I$1)+SUMIFS(Table2[NewPointsHome],Table2[GameDate], "&lt;=" &amp; $A144, Table2[HomeTeam], I$1)</f>
        <v>27</v>
      </c>
      <c r="J144" s="145">
        <f>SUMIFS(Table2[NewPointsAway],Table2[GameDate], "&lt;=" &amp; $A144, Table2[AwayTeam], J$1)+SUMIFS(Table2[NewPointsHome],Table2[GameDate], "&lt;=" &amp; $A144, Table2[HomeTeam], J$1)</f>
        <v>23</v>
      </c>
      <c r="K144" s="145">
        <f>SUMIFS(Table2[NewPointsAway],Table2[GameDate], "&lt;=" &amp; $A144, Table2[AwayTeam], K$1)+SUMIFS(Table2[NewPointsHome],Table2[GameDate], "&lt;=" &amp; $A144, Table2[HomeTeam], K$1)</f>
        <v>18</v>
      </c>
      <c r="L144" s="145">
        <f>SUMIFS(Table2[NewPointsAway],Table2[GameDate], "&lt;=" &amp; $A144, Table2[AwayTeam], L$1)+SUMIFS(Table2[NewPointsHome],Table2[GameDate], "&lt;=" &amp; $A144, Table2[HomeTeam], L$1)</f>
        <v>20</v>
      </c>
      <c r="M144" s="145">
        <f>SUMIFS(Table2[NewPointsAway],Table2[GameDate], "&lt;=" &amp; $A144, Table2[AwayTeam], M$1)+SUMIFS(Table2[NewPointsHome],Table2[GameDate], "&lt;=" &amp; $A144, Table2[HomeTeam], M$1)</f>
        <v>17</v>
      </c>
      <c r="N144" s="145">
        <f>SUMIFS(Table2[NewPointsAway],Table2[GameDate], "&lt;=" &amp; $A144, Table2[AwayTeam], N$1)+SUMIFS(Table2[NewPointsHome],Table2[GameDate], "&lt;=" &amp; $A144, Table2[HomeTeam], N$1)</f>
        <v>20</v>
      </c>
      <c r="O144" s="145">
        <f>SUMIFS(Table2[NewPointsAway],Table2[GameDate], "&lt;=" &amp; $A144, Table2[AwayTeam], O$1)+SUMIFS(Table2[NewPointsHome],Table2[GameDate], "&lt;=" &amp; $A144, Table2[HomeTeam], O$1)</f>
        <v>18</v>
      </c>
      <c r="P144" s="145">
        <f>SUMIFS(Table2[NewPointsAway],Table2[GameDate], "&lt;=" &amp; $A144, Table2[AwayTeam], P$1)+SUMIFS(Table2[NewPointsHome],Table2[GameDate], "&lt;=" &amp; $A144, Table2[HomeTeam], P$1)</f>
        <v>22</v>
      </c>
      <c r="Q144" s="145">
        <f>SUMIFS(Table2[NewPointsAway],Table2[GameDate], "&lt;=" &amp; $A144, Table2[AwayTeam], Q$1)+SUMIFS(Table2[NewPointsHome],Table2[GameDate], "&lt;=" &amp; $A144, Table2[HomeTeam], Q$1)</f>
        <v>23</v>
      </c>
      <c r="R144" s="145">
        <f>SUMIFS(Table2[NewPointsAway],Table2[GameDate], "&lt;=" &amp; $A144, Table2[AwayTeam], R$1)+SUMIFS(Table2[NewPointsHome],Table2[GameDate], "&lt;=" &amp; $A144, Table2[HomeTeam], R$1)</f>
        <v>14</v>
      </c>
      <c r="S144" s="145">
        <f>SUMIFS(Table2[NewPointsAway],Table2[GameDate], "&lt;=" &amp; $A144, Table2[AwayTeam], S$1)+SUMIFS(Table2[NewPointsHome],Table2[GameDate], "&lt;=" &amp; $A144, Table2[HomeTeam], S$1)</f>
        <v>18</v>
      </c>
      <c r="T144" s="145">
        <f>SUMIFS(Table2[NewPointsAway],Table2[GameDate], "&lt;=" &amp; $A144, Table2[AwayTeam], T$1)+SUMIFS(Table2[NewPointsHome],Table2[GameDate], "&lt;=" &amp; $A144, Table2[HomeTeam], T$1)</f>
        <v>20</v>
      </c>
      <c r="U144" s="145">
        <f>SUMIFS(Table2[NewPointsAway],Table2[GameDate], "&lt;=" &amp; $A144, Table2[AwayTeam], U$1)+SUMIFS(Table2[NewPointsHome],Table2[GameDate], "&lt;=" &amp; $A144, Table2[HomeTeam], U$1)</f>
        <v>20</v>
      </c>
      <c r="V144" s="145">
        <f>SUMIFS(Table2[NewPointsAway],Table2[GameDate], "&lt;=" &amp; $A144, Table2[AwayTeam], V$1)+SUMIFS(Table2[NewPointsHome],Table2[GameDate], "&lt;=" &amp; $A144, Table2[HomeTeam], V$1)</f>
        <v>19</v>
      </c>
      <c r="W144" s="145">
        <f>SUMIFS(Table2[NewPointsAway],Table2[GameDate], "&lt;=" &amp; $A144, Table2[AwayTeam], W$1)+SUMIFS(Table2[NewPointsHome],Table2[GameDate], "&lt;=" &amp; $A144, Table2[HomeTeam], W$1)</f>
        <v>21</v>
      </c>
      <c r="X144" s="145">
        <f>SUMIFS(Table2[NewPointsAway],Table2[GameDate], "&lt;=" &amp; $A144, Table2[AwayTeam], X$1)+SUMIFS(Table2[NewPointsHome],Table2[GameDate], "&lt;=" &amp; $A144, Table2[HomeTeam], X$1)</f>
        <v>19</v>
      </c>
      <c r="Y144" s="145">
        <f>SUMIFS(Table2[NewPointsAway],Table2[GameDate], "&lt;=" &amp; $A144, Table2[AwayTeam], Y$1)+SUMIFS(Table2[NewPointsHome],Table2[GameDate], "&lt;=" &amp; $A144, Table2[HomeTeam], Y$1)</f>
        <v>19</v>
      </c>
      <c r="Z144" s="145">
        <f>SUMIFS(Table2[NewPointsAway],Table2[GameDate], "&lt;=" &amp; $A144, Table2[AwayTeam], Z$1)+SUMIFS(Table2[NewPointsHome],Table2[GameDate], "&lt;=" &amp; $A144, Table2[HomeTeam], Z$1)</f>
        <v>15</v>
      </c>
      <c r="AA144" s="145">
        <f>SUMIFS(Table2[NewPointsAway],Table2[GameDate], "&lt;=" &amp; $A144, Table2[AwayTeam], AA$1)+SUMIFS(Table2[NewPointsHome],Table2[GameDate], "&lt;=" &amp; $A144, Table2[HomeTeam], AA$1)</f>
        <v>18</v>
      </c>
      <c r="AB144" s="145">
        <f>SUMIFS(Table2[NewPointsAway],Table2[GameDate], "&lt;=" &amp; $A144, Table2[AwayTeam], AB$1)+SUMIFS(Table2[NewPointsHome],Table2[GameDate], "&lt;=" &amp; $A144, Table2[HomeTeam], AB$1)</f>
        <v>17</v>
      </c>
      <c r="AC144" s="145">
        <f>SUMIFS(Table2[NewPointsAway],Table2[GameDate], "&lt;=" &amp; $A144, Table2[AwayTeam], AC$1)+SUMIFS(Table2[NewPointsHome],Table2[GameDate], "&lt;=" &amp; $A144, Table2[HomeTeam], AC$1)</f>
        <v>18</v>
      </c>
      <c r="AD144" s="145">
        <f>SUMIFS(Table2[NewPointsAway],Table2[GameDate], "&lt;=" &amp; $A144, Table2[AwayTeam], AD$1)+SUMIFS(Table2[NewPointsHome],Table2[GameDate], "&lt;=" &amp; $A144, Table2[HomeTeam], AD$1)</f>
        <v>17</v>
      </c>
      <c r="AE144" s="145">
        <f>SUMIFS(Table2[NewPointsAway],Table2[GameDate], "&lt;=" &amp; $A144, Table2[AwayTeam], AE$1)+SUMIFS(Table2[NewPointsHome],Table2[GameDate], "&lt;=" &amp; $A144, Table2[HomeTeam], AE$1)</f>
        <v>18</v>
      </c>
      <c r="AF144" s="145">
        <f>SUMIFS(Table2[NewPointsAway],Table2[GameDate], "&lt;=" &amp; $A144, Table2[AwayTeam], AF$1)+SUMIFS(Table2[NewPointsHome],Table2[GameDate], "&lt;=" &amp; $A144, Table2[HomeTeam], AF$1)</f>
        <v>20</v>
      </c>
      <c r="AG144" s="145">
        <f>SUMIFS(Table2[NewPointsAway],Table2[GameDate], "&lt;=" &amp; $A144, Table2[AwayTeam], AG$1)+SUMIFS(Table2[NewPointsHome],Table2[GameDate], "&lt;=" &amp; $A144, Table2[HomeTeam], AG$1)</f>
        <v>17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23</v>
      </c>
      <c r="C145" s="145">
        <f>SUMIFS(Table2[NewPointsAway],Table2[GameDate], "&lt;=" &amp; $A145, Table2[AwayTeam], C$1)+SUMIFS(Table2[NewPointsHome],Table2[GameDate], "&lt;=" &amp; $A145, Table2[HomeTeam], C$1)</f>
        <v>22</v>
      </c>
      <c r="D145" s="145">
        <f>SUMIFS(Table2[NewPointsAway],Table2[GameDate], "&lt;=" &amp; $A145, Table2[AwayTeam], D$1)+SUMIFS(Table2[NewPointsHome],Table2[GameDate], "&lt;=" &amp; $A145, Table2[HomeTeam], D$1)</f>
        <v>14</v>
      </c>
      <c r="E145" s="145">
        <f>SUMIFS(Table2[NewPointsAway],Table2[GameDate], "&lt;=" &amp; $A145, Table2[AwayTeam], E$1)+SUMIFS(Table2[NewPointsHome],Table2[GameDate], "&lt;=" &amp; $A145, Table2[HomeTeam], E$1)</f>
        <v>22</v>
      </c>
      <c r="F145" s="145">
        <f>SUMIFS(Table2[NewPointsAway],Table2[GameDate], "&lt;=" &amp; $A145, Table2[AwayTeam], F$1)+SUMIFS(Table2[NewPointsHome],Table2[GameDate], "&lt;=" &amp; $A145, Table2[HomeTeam], F$1)</f>
        <v>17</v>
      </c>
      <c r="G145" s="145">
        <f>SUMIFS(Table2[NewPointsAway],Table2[GameDate], "&lt;=" &amp; $A145, Table2[AwayTeam], G$1)+SUMIFS(Table2[NewPointsHome],Table2[GameDate], "&lt;=" &amp; $A145, Table2[HomeTeam], G$1)</f>
        <v>10</v>
      </c>
      <c r="H145" s="145">
        <f>SUMIFS(Table2[NewPointsAway],Table2[GameDate], "&lt;=" &amp; $A145, Table2[AwayTeam], H$1)+SUMIFS(Table2[NewPointsHome],Table2[GameDate], "&lt;=" &amp; $A145, Table2[HomeTeam], H$1)</f>
        <v>19</v>
      </c>
      <c r="I145" s="145">
        <f>SUMIFS(Table2[NewPointsAway],Table2[GameDate], "&lt;=" &amp; $A145, Table2[AwayTeam], I$1)+SUMIFS(Table2[NewPointsHome],Table2[GameDate], "&lt;=" &amp; $A145, Table2[HomeTeam], I$1)</f>
        <v>27</v>
      </c>
      <c r="J145" s="145">
        <f>SUMIFS(Table2[NewPointsAway],Table2[GameDate], "&lt;=" &amp; $A145, Table2[AwayTeam], J$1)+SUMIFS(Table2[NewPointsHome],Table2[GameDate], "&lt;=" &amp; $A145, Table2[HomeTeam], J$1)</f>
        <v>23</v>
      </c>
      <c r="K145" s="145">
        <f>SUMIFS(Table2[NewPointsAway],Table2[GameDate], "&lt;=" &amp; $A145, Table2[AwayTeam], K$1)+SUMIFS(Table2[NewPointsHome],Table2[GameDate], "&lt;=" &amp; $A145, Table2[HomeTeam], K$1)</f>
        <v>18</v>
      </c>
      <c r="L145" s="145">
        <f>SUMIFS(Table2[NewPointsAway],Table2[GameDate], "&lt;=" &amp; $A145, Table2[AwayTeam], L$1)+SUMIFS(Table2[NewPointsHome],Table2[GameDate], "&lt;=" &amp; $A145, Table2[HomeTeam], L$1)</f>
        <v>20</v>
      </c>
      <c r="M145" s="145">
        <f>SUMIFS(Table2[NewPointsAway],Table2[GameDate], "&lt;=" &amp; $A145, Table2[AwayTeam], M$1)+SUMIFS(Table2[NewPointsHome],Table2[GameDate], "&lt;=" &amp; $A145, Table2[HomeTeam], M$1)</f>
        <v>17</v>
      </c>
      <c r="N145" s="145">
        <f>SUMIFS(Table2[NewPointsAway],Table2[GameDate], "&lt;=" &amp; $A145, Table2[AwayTeam], N$1)+SUMIFS(Table2[NewPointsHome],Table2[GameDate], "&lt;=" &amp; $A145, Table2[HomeTeam], N$1)</f>
        <v>20</v>
      </c>
      <c r="O145" s="145">
        <f>SUMIFS(Table2[NewPointsAway],Table2[GameDate], "&lt;=" &amp; $A145, Table2[AwayTeam], O$1)+SUMIFS(Table2[NewPointsHome],Table2[GameDate], "&lt;=" &amp; $A145, Table2[HomeTeam], O$1)</f>
        <v>18</v>
      </c>
      <c r="P145" s="145">
        <f>SUMIFS(Table2[NewPointsAway],Table2[GameDate], "&lt;=" &amp; $A145, Table2[AwayTeam], P$1)+SUMIFS(Table2[NewPointsHome],Table2[GameDate], "&lt;=" &amp; $A145, Table2[HomeTeam], P$1)</f>
        <v>22</v>
      </c>
      <c r="Q145" s="145">
        <f>SUMIFS(Table2[NewPointsAway],Table2[GameDate], "&lt;=" &amp; $A145, Table2[AwayTeam], Q$1)+SUMIFS(Table2[NewPointsHome],Table2[GameDate], "&lt;=" &amp; $A145, Table2[HomeTeam], Q$1)</f>
        <v>23</v>
      </c>
      <c r="R145" s="145">
        <f>SUMIFS(Table2[NewPointsAway],Table2[GameDate], "&lt;=" &amp; $A145, Table2[AwayTeam], R$1)+SUMIFS(Table2[NewPointsHome],Table2[GameDate], "&lt;=" &amp; $A145, Table2[HomeTeam], R$1)</f>
        <v>14</v>
      </c>
      <c r="S145" s="145">
        <f>SUMIFS(Table2[NewPointsAway],Table2[GameDate], "&lt;=" &amp; $A145, Table2[AwayTeam], S$1)+SUMIFS(Table2[NewPointsHome],Table2[GameDate], "&lt;=" &amp; $A145, Table2[HomeTeam], S$1)</f>
        <v>18</v>
      </c>
      <c r="T145" s="145">
        <f>SUMIFS(Table2[NewPointsAway],Table2[GameDate], "&lt;=" &amp; $A145, Table2[AwayTeam], T$1)+SUMIFS(Table2[NewPointsHome],Table2[GameDate], "&lt;=" &amp; $A145, Table2[HomeTeam], T$1)</f>
        <v>20</v>
      </c>
      <c r="U145" s="145">
        <f>SUMIFS(Table2[NewPointsAway],Table2[GameDate], "&lt;=" &amp; $A145, Table2[AwayTeam], U$1)+SUMIFS(Table2[NewPointsHome],Table2[GameDate], "&lt;=" &amp; $A145, Table2[HomeTeam], U$1)</f>
        <v>20</v>
      </c>
      <c r="V145" s="145">
        <f>SUMIFS(Table2[NewPointsAway],Table2[GameDate], "&lt;=" &amp; $A145, Table2[AwayTeam], V$1)+SUMIFS(Table2[NewPointsHome],Table2[GameDate], "&lt;=" &amp; $A145, Table2[HomeTeam], V$1)</f>
        <v>19</v>
      </c>
      <c r="W145" s="145">
        <f>SUMIFS(Table2[NewPointsAway],Table2[GameDate], "&lt;=" &amp; $A145, Table2[AwayTeam], W$1)+SUMIFS(Table2[NewPointsHome],Table2[GameDate], "&lt;=" &amp; $A145, Table2[HomeTeam], W$1)</f>
        <v>21</v>
      </c>
      <c r="X145" s="145">
        <f>SUMIFS(Table2[NewPointsAway],Table2[GameDate], "&lt;=" &amp; $A145, Table2[AwayTeam], X$1)+SUMIFS(Table2[NewPointsHome],Table2[GameDate], "&lt;=" &amp; $A145, Table2[HomeTeam], X$1)</f>
        <v>19</v>
      </c>
      <c r="Y145" s="145">
        <f>SUMIFS(Table2[NewPointsAway],Table2[GameDate], "&lt;=" &amp; $A145, Table2[AwayTeam], Y$1)+SUMIFS(Table2[NewPointsHome],Table2[GameDate], "&lt;=" &amp; $A145, Table2[HomeTeam], Y$1)</f>
        <v>19</v>
      </c>
      <c r="Z145" s="145">
        <f>SUMIFS(Table2[NewPointsAway],Table2[GameDate], "&lt;=" &amp; $A145, Table2[AwayTeam], Z$1)+SUMIFS(Table2[NewPointsHome],Table2[GameDate], "&lt;=" &amp; $A145, Table2[HomeTeam], Z$1)</f>
        <v>15</v>
      </c>
      <c r="AA145" s="145">
        <f>SUMIFS(Table2[NewPointsAway],Table2[GameDate], "&lt;=" &amp; $A145, Table2[AwayTeam], AA$1)+SUMIFS(Table2[NewPointsHome],Table2[GameDate], "&lt;=" &amp; $A145, Table2[HomeTeam], AA$1)</f>
        <v>18</v>
      </c>
      <c r="AB145" s="145">
        <f>SUMIFS(Table2[NewPointsAway],Table2[GameDate], "&lt;=" &amp; $A145, Table2[AwayTeam], AB$1)+SUMIFS(Table2[NewPointsHome],Table2[GameDate], "&lt;=" &amp; $A145, Table2[HomeTeam], AB$1)</f>
        <v>17</v>
      </c>
      <c r="AC145" s="145">
        <f>SUMIFS(Table2[NewPointsAway],Table2[GameDate], "&lt;=" &amp; $A145, Table2[AwayTeam], AC$1)+SUMIFS(Table2[NewPointsHome],Table2[GameDate], "&lt;=" &amp; $A145, Table2[HomeTeam], AC$1)</f>
        <v>18</v>
      </c>
      <c r="AD145" s="145">
        <f>SUMIFS(Table2[NewPointsAway],Table2[GameDate], "&lt;=" &amp; $A145, Table2[AwayTeam], AD$1)+SUMIFS(Table2[NewPointsHome],Table2[GameDate], "&lt;=" &amp; $A145, Table2[HomeTeam], AD$1)</f>
        <v>17</v>
      </c>
      <c r="AE145" s="145">
        <f>SUMIFS(Table2[NewPointsAway],Table2[GameDate], "&lt;=" &amp; $A145, Table2[AwayTeam], AE$1)+SUMIFS(Table2[NewPointsHome],Table2[GameDate], "&lt;=" &amp; $A145, Table2[HomeTeam], AE$1)</f>
        <v>18</v>
      </c>
      <c r="AF145" s="145">
        <f>SUMIFS(Table2[NewPointsAway],Table2[GameDate], "&lt;=" &amp; $A145, Table2[AwayTeam], AF$1)+SUMIFS(Table2[NewPointsHome],Table2[GameDate], "&lt;=" &amp; $A145, Table2[HomeTeam], AF$1)</f>
        <v>20</v>
      </c>
      <c r="AG145" s="145">
        <f>SUMIFS(Table2[NewPointsAway],Table2[GameDate], "&lt;=" &amp; $A145, Table2[AwayTeam], AG$1)+SUMIFS(Table2[NewPointsHome],Table2[GameDate], "&lt;=" &amp; $A145, Table2[HomeTeam], AG$1)</f>
        <v>17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23</v>
      </c>
      <c r="C146" s="145">
        <f>SUMIFS(Table2[NewPointsAway],Table2[GameDate], "&lt;=" &amp; $A146, Table2[AwayTeam], C$1)+SUMIFS(Table2[NewPointsHome],Table2[GameDate], "&lt;=" &amp; $A146, Table2[HomeTeam], C$1)</f>
        <v>22</v>
      </c>
      <c r="D146" s="145">
        <f>SUMIFS(Table2[NewPointsAway],Table2[GameDate], "&lt;=" &amp; $A146, Table2[AwayTeam], D$1)+SUMIFS(Table2[NewPointsHome],Table2[GameDate], "&lt;=" &amp; $A146, Table2[HomeTeam], D$1)</f>
        <v>14</v>
      </c>
      <c r="E146" s="145">
        <f>SUMIFS(Table2[NewPointsAway],Table2[GameDate], "&lt;=" &amp; $A146, Table2[AwayTeam], E$1)+SUMIFS(Table2[NewPointsHome],Table2[GameDate], "&lt;=" &amp; $A146, Table2[HomeTeam], E$1)</f>
        <v>22</v>
      </c>
      <c r="F146" s="145">
        <f>SUMIFS(Table2[NewPointsAway],Table2[GameDate], "&lt;=" &amp; $A146, Table2[AwayTeam], F$1)+SUMIFS(Table2[NewPointsHome],Table2[GameDate], "&lt;=" &amp; $A146, Table2[HomeTeam], F$1)</f>
        <v>17</v>
      </c>
      <c r="G146" s="145">
        <f>SUMIFS(Table2[NewPointsAway],Table2[GameDate], "&lt;=" &amp; $A146, Table2[AwayTeam], G$1)+SUMIFS(Table2[NewPointsHome],Table2[GameDate], "&lt;=" &amp; $A146, Table2[HomeTeam], G$1)</f>
        <v>10</v>
      </c>
      <c r="H146" s="145">
        <f>SUMIFS(Table2[NewPointsAway],Table2[GameDate], "&lt;=" &amp; $A146, Table2[AwayTeam], H$1)+SUMIFS(Table2[NewPointsHome],Table2[GameDate], "&lt;=" &amp; $A146, Table2[HomeTeam], H$1)</f>
        <v>19</v>
      </c>
      <c r="I146" s="145">
        <f>SUMIFS(Table2[NewPointsAway],Table2[GameDate], "&lt;=" &amp; $A146, Table2[AwayTeam], I$1)+SUMIFS(Table2[NewPointsHome],Table2[GameDate], "&lt;=" &amp; $A146, Table2[HomeTeam], I$1)</f>
        <v>27</v>
      </c>
      <c r="J146" s="145">
        <f>SUMIFS(Table2[NewPointsAway],Table2[GameDate], "&lt;=" &amp; $A146, Table2[AwayTeam], J$1)+SUMIFS(Table2[NewPointsHome],Table2[GameDate], "&lt;=" &amp; $A146, Table2[HomeTeam], J$1)</f>
        <v>23</v>
      </c>
      <c r="K146" s="145">
        <f>SUMIFS(Table2[NewPointsAway],Table2[GameDate], "&lt;=" &amp; $A146, Table2[AwayTeam], K$1)+SUMIFS(Table2[NewPointsHome],Table2[GameDate], "&lt;=" &amp; $A146, Table2[HomeTeam], K$1)</f>
        <v>18</v>
      </c>
      <c r="L146" s="145">
        <f>SUMIFS(Table2[NewPointsAway],Table2[GameDate], "&lt;=" &amp; $A146, Table2[AwayTeam], L$1)+SUMIFS(Table2[NewPointsHome],Table2[GameDate], "&lt;=" &amp; $A146, Table2[HomeTeam], L$1)</f>
        <v>20</v>
      </c>
      <c r="M146" s="145">
        <f>SUMIFS(Table2[NewPointsAway],Table2[GameDate], "&lt;=" &amp; $A146, Table2[AwayTeam], M$1)+SUMIFS(Table2[NewPointsHome],Table2[GameDate], "&lt;=" &amp; $A146, Table2[HomeTeam], M$1)</f>
        <v>17</v>
      </c>
      <c r="N146" s="145">
        <f>SUMIFS(Table2[NewPointsAway],Table2[GameDate], "&lt;=" &amp; $A146, Table2[AwayTeam], N$1)+SUMIFS(Table2[NewPointsHome],Table2[GameDate], "&lt;=" &amp; $A146, Table2[HomeTeam], N$1)</f>
        <v>20</v>
      </c>
      <c r="O146" s="145">
        <f>SUMIFS(Table2[NewPointsAway],Table2[GameDate], "&lt;=" &amp; $A146, Table2[AwayTeam], O$1)+SUMIFS(Table2[NewPointsHome],Table2[GameDate], "&lt;=" &amp; $A146, Table2[HomeTeam], O$1)</f>
        <v>18</v>
      </c>
      <c r="P146" s="145">
        <f>SUMIFS(Table2[NewPointsAway],Table2[GameDate], "&lt;=" &amp; $A146, Table2[AwayTeam], P$1)+SUMIFS(Table2[NewPointsHome],Table2[GameDate], "&lt;=" &amp; $A146, Table2[HomeTeam], P$1)</f>
        <v>22</v>
      </c>
      <c r="Q146" s="145">
        <f>SUMIFS(Table2[NewPointsAway],Table2[GameDate], "&lt;=" &amp; $A146, Table2[AwayTeam], Q$1)+SUMIFS(Table2[NewPointsHome],Table2[GameDate], "&lt;=" &amp; $A146, Table2[HomeTeam], Q$1)</f>
        <v>23</v>
      </c>
      <c r="R146" s="145">
        <f>SUMIFS(Table2[NewPointsAway],Table2[GameDate], "&lt;=" &amp; $A146, Table2[AwayTeam], R$1)+SUMIFS(Table2[NewPointsHome],Table2[GameDate], "&lt;=" &amp; $A146, Table2[HomeTeam], R$1)</f>
        <v>14</v>
      </c>
      <c r="S146" s="145">
        <f>SUMIFS(Table2[NewPointsAway],Table2[GameDate], "&lt;=" &amp; $A146, Table2[AwayTeam], S$1)+SUMIFS(Table2[NewPointsHome],Table2[GameDate], "&lt;=" &amp; $A146, Table2[HomeTeam], S$1)</f>
        <v>18</v>
      </c>
      <c r="T146" s="145">
        <f>SUMIFS(Table2[NewPointsAway],Table2[GameDate], "&lt;=" &amp; $A146, Table2[AwayTeam], T$1)+SUMIFS(Table2[NewPointsHome],Table2[GameDate], "&lt;=" &amp; $A146, Table2[HomeTeam], T$1)</f>
        <v>20</v>
      </c>
      <c r="U146" s="145">
        <f>SUMIFS(Table2[NewPointsAway],Table2[GameDate], "&lt;=" &amp; $A146, Table2[AwayTeam], U$1)+SUMIFS(Table2[NewPointsHome],Table2[GameDate], "&lt;=" &amp; $A146, Table2[HomeTeam], U$1)</f>
        <v>20</v>
      </c>
      <c r="V146" s="145">
        <f>SUMIFS(Table2[NewPointsAway],Table2[GameDate], "&lt;=" &amp; $A146, Table2[AwayTeam], V$1)+SUMIFS(Table2[NewPointsHome],Table2[GameDate], "&lt;=" &amp; $A146, Table2[HomeTeam], V$1)</f>
        <v>19</v>
      </c>
      <c r="W146" s="145">
        <f>SUMIFS(Table2[NewPointsAway],Table2[GameDate], "&lt;=" &amp; $A146, Table2[AwayTeam], W$1)+SUMIFS(Table2[NewPointsHome],Table2[GameDate], "&lt;=" &amp; $A146, Table2[HomeTeam], W$1)</f>
        <v>21</v>
      </c>
      <c r="X146" s="145">
        <f>SUMIFS(Table2[NewPointsAway],Table2[GameDate], "&lt;=" &amp; $A146, Table2[AwayTeam], X$1)+SUMIFS(Table2[NewPointsHome],Table2[GameDate], "&lt;=" &amp; $A146, Table2[HomeTeam], X$1)</f>
        <v>19</v>
      </c>
      <c r="Y146" s="145">
        <f>SUMIFS(Table2[NewPointsAway],Table2[GameDate], "&lt;=" &amp; $A146, Table2[AwayTeam], Y$1)+SUMIFS(Table2[NewPointsHome],Table2[GameDate], "&lt;=" &amp; $A146, Table2[HomeTeam], Y$1)</f>
        <v>19</v>
      </c>
      <c r="Z146" s="145">
        <f>SUMIFS(Table2[NewPointsAway],Table2[GameDate], "&lt;=" &amp; $A146, Table2[AwayTeam], Z$1)+SUMIFS(Table2[NewPointsHome],Table2[GameDate], "&lt;=" &amp; $A146, Table2[HomeTeam], Z$1)</f>
        <v>15</v>
      </c>
      <c r="AA146" s="145">
        <f>SUMIFS(Table2[NewPointsAway],Table2[GameDate], "&lt;=" &amp; $A146, Table2[AwayTeam], AA$1)+SUMIFS(Table2[NewPointsHome],Table2[GameDate], "&lt;=" &amp; $A146, Table2[HomeTeam], AA$1)</f>
        <v>18</v>
      </c>
      <c r="AB146" s="145">
        <f>SUMIFS(Table2[NewPointsAway],Table2[GameDate], "&lt;=" &amp; $A146, Table2[AwayTeam], AB$1)+SUMIFS(Table2[NewPointsHome],Table2[GameDate], "&lt;=" &amp; $A146, Table2[HomeTeam], AB$1)</f>
        <v>17</v>
      </c>
      <c r="AC146" s="145">
        <f>SUMIFS(Table2[NewPointsAway],Table2[GameDate], "&lt;=" &amp; $A146, Table2[AwayTeam], AC$1)+SUMIFS(Table2[NewPointsHome],Table2[GameDate], "&lt;=" &amp; $A146, Table2[HomeTeam], AC$1)</f>
        <v>18</v>
      </c>
      <c r="AD146" s="145">
        <f>SUMIFS(Table2[NewPointsAway],Table2[GameDate], "&lt;=" &amp; $A146, Table2[AwayTeam], AD$1)+SUMIFS(Table2[NewPointsHome],Table2[GameDate], "&lt;=" &amp; $A146, Table2[HomeTeam], AD$1)</f>
        <v>17</v>
      </c>
      <c r="AE146" s="145">
        <f>SUMIFS(Table2[NewPointsAway],Table2[GameDate], "&lt;=" &amp; $A146, Table2[AwayTeam], AE$1)+SUMIFS(Table2[NewPointsHome],Table2[GameDate], "&lt;=" &amp; $A146, Table2[HomeTeam], AE$1)</f>
        <v>18</v>
      </c>
      <c r="AF146" s="145">
        <f>SUMIFS(Table2[NewPointsAway],Table2[GameDate], "&lt;=" &amp; $A146, Table2[AwayTeam], AF$1)+SUMIFS(Table2[NewPointsHome],Table2[GameDate], "&lt;=" &amp; $A146, Table2[HomeTeam], AF$1)</f>
        <v>20</v>
      </c>
      <c r="AG146" s="145">
        <f>SUMIFS(Table2[NewPointsAway],Table2[GameDate], "&lt;=" &amp; $A146, Table2[AwayTeam], AG$1)+SUMIFS(Table2[NewPointsHome],Table2[GameDate], "&lt;=" &amp; $A146, Table2[HomeTeam], AG$1)</f>
        <v>17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23</v>
      </c>
      <c r="C147" s="145">
        <f>SUMIFS(Table2[NewPointsAway],Table2[GameDate], "&lt;=" &amp; $A147, Table2[AwayTeam], C$1)+SUMIFS(Table2[NewPointsHome],Table2[GameDate], "&lt;=" &amp; $A147, Table2[HomeTeam], C$1)</f>
        <v>22</v>
      </c>
      <c r="D147" s="145">
        <f>SUMIFS(Table2[NewPointsAway],Table2[GameDate], "&lt;=" &amp; $A147, Table2[AwayTeam], D$1)+SUMIFS(Table2[NewPointsHome],Table2[GameDate], "&lt;=" &amp; $A147, Table2[HomeTeam], D$1)</f>
        <v>14</v>
      </c>
      <c r="E147" s="145">
        <f>SUMIFS(Table2[NewPointsAway],Table2[GameDate], "&lt;=" &amp; $A147, Table2[AwayTeam], E$1)+SUMIFS(Table2[NewPointsHome],Table2[GameDate], "&lt;=" &amp; $A147, Table2[HomeTeam], E$1)</f>
        <v>22</v>
      </c>
      <c r="F147" s="145">
        <f>SUMIFS(Table2[NewPointsAway],Table2[GameDate], "&lt;=" &amp; $A147, Table2[AwayTeam], F$1)+SUMIFS(Table2[NewPointsHome],Table2[GameDate], "&lt;=" &amp; $A147, Table2[HomeTeam], F$1)</f>
        <v>17</v>
      </c>
      <c r="G147" s="145">
        <f>SUMIFS(Table2[NewPointsAway],Table2[GameDate], "&lt;=" &amp; $A147, Table2[AwayTeam], G$1)+SUMIFS(Table2[NewPointsHome],Table2[GameDate], "&lt;=" &amp; $A147, Table2[HomeTeam], G$1)</f>
        <v>10</v>
      </c>
      <c r="H147" s="145">
        <f>SUMIFS(Table2[NewPointsAway],Table2[GameDate], "&lt;=" &amp; $A147, Table2[AwayTeam], H$1)+SUMIFS(Table2[NewPointsHome],Table2[GameDate], "&lt;=" &amp; $A147, Table2[HomeTeam], H$1)</f>
        <v>19</v>
      </c>
      <c r="I147" s="145">
        <f>SUMIFS(Table2[NewPointsAway],Table2[GameDate], "&lt;=" &amp; $A147, Table2[AwayTeam], I$1)+SUMIFS(Table2[NewPointsHome],Table2[GameDate], "&lt;=" &amp; $A147, Table2[HomeTeam], I$1)</f>
        <v>27</v>
      </c>
      <c r="J147" s="145">
        <f>SUMIFS(Table2[NewPointsAway],Table2[GameDate], "&lt;=" &amp; $A147, Table2[AwayTeam], J$1)+SUMIFS(Table2[NewPointsHome],Table2[GameDate], "&lt;=" &amp; $A147, Table2[HomeTeam], J$1)</f>
        <v>23</v>
      </c>
      <c r="K147" s="145">
        <f>SUMIFS(Table2[NewPointsAway],Table2[GameDate], "&lt;=" &amp; $A147, Table2[AwayTeam], K$1)+SUMIFS(Table2[NewPointsHome],Table2[GameDate], "&lt;=" &amp; $A147, Table2[HomeTeam], K$1)</f>
        <v>18</v>
      </c>
      <c r="L147" s="145">
        <f>SUMIFS(Table2[NewPointsAway],Table2[GameDate], "&lt;=" &amp; $A147, Table2[AwayTeam], L$1)+SUMIFS(Table2[NewPointsHome],Table2[GameDate], "&lt;=" &amp; $A147, Table2[HomeTeam], L$1)</f>
        <v>20</v>
      </c>
      <c r="M147" s="145">
        <f>SUMIFS(Table2[NewPointsAway],Table2[GameDate], "&lt;=" &amp; $A147, Table2[AwayTeam], M$1)+SUMIFS(Table2[NewPointsHome],Table2[GameDate], "&lt;=" &amp; $A147, Table2[HomeTeam], M$1)</f>
        <v>17</v>
      </c>
      <c r="N147" s="145">
        <f>SUMIFS(Table2[NewPointsAway],Table2[GameDate], "&lt;=" &amp; $A147, Table2[AwayTeam], N$1)+SUMIFS(Table2[NewPointsHome],Table2[GameDate], "&lt;=" &amp; $A147, Table2[HomeTeam], N$1)</f>
        <v>20</v>
      </c>
      <c r="O147" s="145">
        <f>SUMIFS(Table2[NewPointsAway],Table2[GameDate], "&lt;=" &amp; $A147, Table2[AwayTeam], O$1)+SUMIFS(Table2[NewPointsHome],Table2[GameDate], "&lt;=" &amp; $A147, Table2[HomeTeam], O$1)</f>
        <v>18</v>
      </c>
      <c r="P147" s="145">
        <f>SUMIFS(Table2[NewPointsAway],Table2[GameDate], "&lt;=" &amp; $A147, Table2[AwayTeam], P$1)+SUMIFS(Table2[NewPointsHome],Table2[GameDate], "&lt;=" &amp; $A147, Table2[HomeTeam], P$1)</f>
        <v>22</v>
      </c>
      <c r="Q147" s="145">
        <f>SUMIFS(Table2[NewPointsAway],Table2[GameDate], "&lt;=" &amp; $A147, Table2[AwayTeam], Q$1)+SUMIFS(Table2[NewPointsHome],Table2[GameDate], "&lt;=" &amp; $A147, Table2[HomeTeam], Q$1)</f>
        <v>23</v>
      </c>
      <c r="R147" s="145">
        <f>SUMIFS(Table2[NewPointsAway],Table2[GameDate], "&lt;=" &amp; $A147, Table2[AwayTeam], R$1)+SUMIFS(Table2[NewPointsHome],Table2[GameDate], "&lt;=" &amp; $A147, Table2[HomeTeam], R$1)</f>
        <v>14</v>
      </c>
      <c r="S147" s="145">
        <f>SUMIFS(Table2[NewPointsAway],Table2[GameDate], "&lt;=" &amp; $A147, Table2[AwayTeam], S$1)+SUMIFS(Table2[NewPointsHome],Table2[GameDate], "&lt;=" &amp; $A147, Table2[HomeTeam], S$1)</f>
        <v>18</v>
      </c>
      <c r="T147" s="145">
        <f>SUMIFS(Table2[NewPointsAway],Table2[GameDate], "&lt;=" &amp; $A147, Table2[AwayTeam], T$1)+SUMIFS(Table2[NewPointsHome],Table2[GameDate], "&lt;=" &amp; $A147, Table2[HomeTeam], T$1)</f>
        <v>20</v>
      </c>
      <c r="U147" s="145">
        <f>SUMIFS(Table2[NewPointsAway],Table2[GameDate], "&lt;=" &amp; $A147, Table2[AwayTeam], U$1)+SUMIFS(Table2[NewPointsHome],Table2[GameDate], "&lt;=" &amp; $A147, Table2[HomeTeam], U$1)</f>
        <v>20</v>
      </c>
      <c r="V147" s="145">
        <f>SUMIFS(Table2[NewPointsAway],Table2[GameDate], "&lt;=" &amp; $A147, Table2[AwayTeam], V$1)+SUMIFS(Table2[NewPointsHome],Table2[GameDate], "&lt;=" &amp; $A147, Table2[HomeTeam], V$1)</f>
        <v>19</v>
      </c>
      <c r="W147" s="145">
        <f>SUMIFS(Table2[NewPointsAway],Table2[GameDate], "&lt;=" &amp; $A147, Table2[AwayTeam], W$1)+SUMIFS(Table2[NewPointsHome],Table2[GameDate], "&lt;=" &amp; $A147, Table2[HomeTeam], W$1)</f>
        <v>21</v>
      </c>
      <c r="X147" s="145">
        <f>SUMIFS(Table2[NewPointsAway],Table2[GameDate], "&lt;=" &amp; $A147, Table2[AwayTeam], X$1)+SUMIFS(Table2[NewPointsHome],Table2[GameDate], "&lt;=" &amp; $A147, Table2[HomeTeam], X$1)</f>
        <v>19</v>
      </c>
      <c r="Y147" s="145">
        <f>SUMIFS(Table2[NewPointsAway],Table2[GameDate], "&lt;=" &amp; $A147, Table2[AwayTeam], Y$1)+SUMIFS(Table2[NewPointsHome],Table2[GameDate], "&lt;=" &amp; $A147, Table2[HomeTeam], Y$1)</f>
        <v>19</v>
      </c>
      <c r="Z147" s="145">
        <f>SUMIFS(Table2[NewPointsAway],Table2[GameDate], "&lt;=" &amp; $A147, Table2[AwayTeam], Z$1)+SUMIFS(Table2[NewPointsHome],Table2[GameDate], "&lt;=" &amp; $A147, Table2[HomeTeam], Z$1)</f>
        <v>15</v>
      </c>
      <c r="AA147" s="145">
        <f>SUMIFS(Table2[NewPointsAway],Table2[GameDate], "&lt;=" &amp; $A147, Table2[AwayTeam], AA$1)+SUMIFS(Table2[NewPointsHome],Table2[GameDate], "&lt;=" &amp; $A147, Table2[HomeTeam], AA$1)</f>
        <v>18</v>
      </c>
      <c r="AB147" s="145">
        <f>SUMIFS(Table2[NewPointsAway],Table2[GameDate], "&lt;=" &amp; $A147, Table2[AwayTeam], AB$1)+SUMIFS(Table2[NewPointsHome],Table2[GameDate], "&lt;=" &amp; $A147, Table2[HomeTeam], AB$1)</f>
        <v>17</v>
      </c>
      <c r="AC147" s="145">
        <f>SUMIFS(Table2[NewPointsAway],Table2[GameDate], "&lt;=" &amp; $A147, Table2[AwayTeam], AC$1)+SUMIFS(Table2[NewPointsHome],Table2[GameDate], "&lt;=" &amp; $A147, Table2[HomeTeam], AC$1)</f>
        <v>18</v>
      </c>
      <c r="AD147" s="145">
        <f>SUMIFS(Table2[NewPointsAway],Table2[GameDate], "&lt;=" &amp; $A147, Table2[AwayTeam], AD$1)+SUMIFS(Table2[NewPointsHome],Table2[GameDate], "&lt;=" &amp; $A147, Table2[HomeTeam], AD$1)</f>
        <v>17</v>
      </c>
      <c r="AE147" s="145">
        <f>SUMIFS(Table2[NewPointsAway],Table2[GameDate], "&lt;=" &amp; $A147, Table2[AwayTeam], AE$1)+SUMIFS(Table2[NewPointsHome],Table2[GameDate], "&lt;=" &amp; $A147, Table2[HomeTeam], AE$1)</f>
        <v>18</v>
      </c>
      <c r="AF147" s="145">
        <f>SUMIFS(Table2[NewPointsAway],Table2[GameDate], "&lt;=" &amp; $A147, Table2[AwayTeam], AF$1)+SUMIFS(Table2[NewPointsHome],Table2[GameDate], "&lt;=" &amp; $A147, Table2[HomeTeam], AF$1)</f>
        <v>20</v>
      </c>
      <c r="AG147" s="145">
        <f>SUMIFS(Table2[NewPointsAway],Table2[GameDate], "&lt;=" &amp; $A147, Table2[AwayTeam], AG$1)+SUMIFS(Table2[NewPointsHome],Table2[GameDate], "&lt;=" &amp; $A147, Table2[HomeTeam], AG$1)</f>
        <v>17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23</v>
      </c>
      <c r="C148" s="145">
        <f>SUMIFS(Table2[NewPointsAway],Table2[GameDate], "&lt;=" &amp; $A148, Table2[AwayTeam], C$1)+SUMIFS(Table2[NewPointsHome],Table2[GameDate], "&lt;=" &amp; $A148, Table2[HomeTeam], C$1)</f>
        <v>22</v>
      </c>
      <c r="D148" s="145">
        <f>SUMIFS(Table2[NewPointsAway],Table2[GameDate], "&lt;=" &amp; $A148, Table2[AwayTeam], D$1)+SUMIFS(Table2[NewPointsHome],Table2[GameDate], "&lt;=" &amp; $A148, Table2[HomeTeam], D$1)</f>
        <v>14</v>
      </c>
      <c r="E148" s="145">
        <f>SUMIFS(Table2[NewPointsAway],Table2[GameDate], "&lt;=" &amp; $A148, Table2[AwayTeam], E$1)+SUMIFS(Table2[NewPointsHome],Table2[GameDate], "&lt;=" &amp; $A148, Table2[HomeTeam], E$1)</f>
        <v>22</v>
      </c>
      <c r="F148" s="145">
        <f>SUMIFS(Table2[NewPointsAway],Table2[GameDate], "&lt;=" &amp; $A148, Table2[AwayTeam], F$1)+SUMIFS(Table2[NewPointsHome],Table2[GameDate], "&lt;=" &amp; $A148, Table2[HomeTeam], F$1)</f>
        <v>17</v>
      </c>
      <c r="G148" s="145">
        <f>SUMIFS(Table2[NewPointsAway],Table2[GameDate], "&lt;=" &amp; $A148, Table2[AwayTeam], G$1)+SUMIFS(Table2[NewPointsHome],Table2[GameDate], "&lt;=" &amp; $A148, Table2[HomeTeam], G$1)</f>
        <v>10</v>
      </c>
      <c r="H148" s="145">
        <f>SUMIFS(Table2[NewPointsAway],Table2[GameDate], "&lt;=" &amp; $A148, Table2[AwayTeam], H$1)+SUMIFS(Table2[NewPointsHome],Table2[GameDate], "&lt;=" &amp; $A148, Table2[HomeTeam], H$1)</f>
        <v>19</v>
      </c>
      <c r="I148" s="145">
        <f>SUMIFS(Table2[NewPointsAway],Table2[GameDate], "&lt;=" &amp; $A148, Table2[AwayTeam], I$1)+SUMIFS(Table2[NewPointsHome],Table2[GameDate], "&lt;=" &amp; $A148, Table2[HomeTeam], I$1)</f>
        <v>27</v>
      </c>
      <c r="J148" s="145">
        <f>SUMIFS(Table2[NewPointsAway],Table2[GameDate], "&lt;=" &amp; $A148, Table2[AwayTeam], J$1)+SUMIFS(Table2[NewPointsHome],Table2[GameDate], "&lt;=" &amp; $A148, Table2[HomeTeam], J$1)</f>
        <v>23</v>
      </c>
      <c r="K148" s="145">
        <f>SUMIFS(Table2[NewPointsAway],Table2[GameDate], "&lt;=" &amp; $A148, Table2[AwayTeam], K$1)+SUMIFS(Table2[NewPointsHome],Table2[GameDate], "&lt;=" &amp; $A148, Table2[HomeTeam], K$1)</f>
        <v>18</v>
      </c>
      <c r="L148" s="145">
        <f>SUMIFS(Table2[NewPointsAway],Table2[GameDate], "&lt;=" &amp; $A148, Table2[AwayTeam], L$1)+SUMIFS(Table2[NewPointsHome],Table2[GameDate], "&lt;=" &amp; $A148, Table2[HomeTeam], L$1)</f>
        <v>20</v>
      </c>
      <c r="M148" s="145">
        <f>SUMIFS(Table2[NewPointsAway],Table2[GameDate], "&lt;=" &amp; $A148, Table2[AwayTeam], M$1)+SUMIFS(Table2[NewPointsHome],Table2[GameDate], "&lt;=" &amp; $A148, Table2[HomeTeam], M$1)</f>
        <v>17</v>
      </c>
      <c r="N148" s="145">
        <f>SUMIFS(Table2[NewPointsAway],Table2[GameDate], "&lt;=" &amp; $A148, Table2[AwayTeam], N$1)+SUMIFS(Table2[NewPointsHome],Table2[GameDate], "&lt;=" &amp; $A148, Table2[HomeTeam], N$1)</f>
        <v>20</v>
      </c>
      <c r="O148" s="145">
        <f>SUMIFS(Table2[NewPointsAway],Table2[GameDate], "&lt;=" &amp; $A148, Table2[AwayTeam], O$1)+SUMIFS(Table2[NewPointsHome],Table2[GameDate], "&lt;=" &amp; $A148, Table2[HomeTeam], O$1)</f>
        <v>18</v>
      </c>
      <c r="P148" s="145">
        <f>SUMIFS(Table2[NewPointsAway],Table2[GameDate], "&lt;=" &amp; $A148, Table2[AwayTeam], P$1)+SUMIFS(Table2[NewPointsHome],Table2[GameDate], "&lt;=" &amp; $A148, Table2[HomeTeam], P$1)</f>
        <v>22</v>
      </c>
      <c r="Q148" s="145">
        <f>SUMIFS(Table2[NewPointsAway],Table2[GameDate], "&lt;=" &amp; $A148, Table2[AwayTeam], Q$1)+SUMIFS(Table2[NewPointsHome],Table2[GameDate], "&lt;=" &amp; $A148, Table2[HomeTeam], Q$1)</f>
        <v>23</v>
      </c>
      <c r="R148" s="145">
        <f>SUMIFS(Table2[NewPointsAway],Table2[GameDate], "&lt;=" &amp; $A148, Table2[AwayTeam], R$1)+SUMIFS(Table2[NewPointsHome],Table2[GameDate], "&lt;=" &amp; $A148, Table2[HomeTeam], R$1)</f>
        <v>14</v>
      </c>
      <c r="S148" s="145">
        <f>SUMIFS(Table2[NewPointsAway],Table2[GameDate], "&lt;=" &amp; $A148, Table2[AwayTeam], S$1)+SUMIFS(Table2[NewPointsHome],Table2[GameDate], "&lt;=" &amp; $A148, Table2[HomeTeam], S$1)</f>
        <v>18</v>
      </c>
      <c r="T148" s="145">
        <f>SUMIFS(Table2[NewPointsAway],Table2[GameDate], "&lt;=" &amp; $A148, Table2[AwayTeam], T$1)+SUMIFS(Table2[NewPointsHome],Table2[GameDate], "&lt;=" &amp; $A148, Table2[HomeTeam], T$1)</f>
        <v>20</v>
      </c>
      <c r="U148" s="145">
        <f>SUMIFS(Table2[NewPointsAway],Table2[GameDate], "&lt;=" &amp; $A148, Table2[AwayTeam], U$1)+SUMIFS(Table2[NewPointsHome],Table2[GameDate], "&lt;=" &amp; $A148, Table2[HomeTeam], U$1)</f>
        <v>20</v>
      </c>
      <c r="V148" s="145">
        <f>SUMIFS(Table2[NewPointsAway],Table2[GameDate], "&lt;=" &amp; $A148, Table2[AwayTeam], V$1)+SUMIFS(Table2[NewPointsHome],Table2[GameDate], "&lt;=" &amp; $A148, Table2[HomeTeam], V$1)</f>
        <v>19</v>
      </c>
      <c r="W148" s="145">
        <f>SUMIFS(Table2[NewPointsAway],Table2[GameDate], "&lt;=" &amp; $A148, Table2[AwayTeam], W$1)+SUMIFS(Table2[NewPointsHome],Table2[GameDate], "&lt;=" &amp; $A148, Table2[HomeTeam], W$1)</f>
        <v>21</v>
      </c>
      <c r="X148" s="145">
        <f>SUMIFS(Table2[NewPointsAway],Table2[GameDate], "&lt;=" &amp; $A148, Table2[AwayTeam], X$1)+SUMIFS(Table2[NewPointsHome],Table2[GameDate], "&lt;=" &amp; $A148, Table2[HomeTeam], X$1)</f>
        <v>19</v>
      </c>
      <c r="Y148" s="145">
        <f>SUMIFS(Table2[NewPointsAway],Table2[GameDate], "&lt;=" &amp; $A148, Table2[AwayTeam], Y$1)+SUMIFS(Table2[NewPointsHome],Table2[GameDate], "&lt;=" &amp; $A148, Table2[HomeTeam], Y$1)</f>
        <v>19</v>
      </c>
      <c r="Z148" s="145">
        <f>SUMIFS(Table2[NewPointsAway],Table2[GameDate], "&lt;=" &amp; $A148, Table2[AwayTeam], Z$1)+SUMIFS(Table2[NewPointsHome],Table2[GameDate], "&lt;=" &amp; $A148, Table2[HomeTeam], Z$1)</f>
        <v>15</v>
      </c>
      <c r="AA148" s="145">
        <f>SUMIFS(Table2[NewPointsAway],Table2[GameDate], "&lt;=" &amp; $A148, Table2[AwayTeam], AA$1)+SUMIFS(Table2[NewPointsHome],Table2[GameDate], "&lt;=" &amp; $A148, Table2[HomeTeam], AA$1)</f>
        <v>18</v>
      </c>
      <c r="AB148" s="145">
        <f>SUMIFS(Table2[NewPointsAway],Table2[GameDate], "&lt;=" &amp; $A148, Table2[AwayTeam], AB$1)+SUMIFS(Table2[NewPointsHome],Table2[GameDate], "&lt;=" &amp; $A148, Table2[HomeTeam], AB$1)</f>
        <v>17</v>
      </c>
      <c r="AC148" s="145">
        <f>SUMIFS(Table2[NewPointsAway],Table2[GameDate], "&lt;=" &amp; $A148, Table2[AwayTeam], AC$1)+SUMIFS(Table2[NewPointsHome],Table2[GameDate], "&lt;=" &amp; $A148, Table2[HomeTeam], AC$1)</f>
        <v>18</v>
      </c>
      <c r="AD148" s="145">
        <f>SUMIFS(Table2[NewPointsAway],Table2[GameDate], "&lt;=" &amp; $A148, Table2[AwayTeam], AD$1)+SUMIFS(Table2[NewPointsHome],Table2[GameDate], "&lt;=" &amp; $A148, Table2[HomeTeam], AD$1)</f>
        <v>17</v>
      </c>
      <c r="AE148" s="145">
        <f>SUMIFS(Table2[NewPointsAway],Table2[GameDate], "&lt;=" &amp; $A148, Table2[AwayTeam], AE$1)+SUMIFS(Table2[NewPointsHome],Table2[GameDate], "&lt;=" &amp; $A148, Table2[HomeTeam], AE$1)</f>
        <v>18</v>
      </c>
      <c r="AF148" s="145">
        <f>SUMIFS(Table2[NewPointsAway],Table2[GameDate], "&lt;=" &amp; $A148, Table2[AwayTeam], AF$1)+SUMIFS(Table2[NewPointsHome],Table2[GameDate], "&lt;=" &amp; $A148, Table2[HomeTeam], AF$1)</f>
        <v>20</v>
      </c>
      <c r="AG148" s="145">
        <f>SUMIFS(Table2[NewPointsAway],Table2[GameDate], "&lt;=" &amp; $A148, Table2[AwayTeam], AG$1)+SUMIFS(Table2[NewPointsHome],Table2[GameDate], "&lt;=" &amp; $A148, Table2[HomeTeam], AG$1)</f>
        <v>17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23</v>
      </c>
      <c r="C149" s="145">
        <f>SUMIFS(Table2[NewPointsAway],Table2[GameDate], "&lt;=" &amp; $A149, Table2[AwayTeam], C$1)+SUMIFS(Table2[NewPointsHome],Table2[GameDate], "&lt;=" &amp; $A149, Table2[HomeTeam], C$1)</f>
        <v>22</v>
      </c>
      <c r="D149" s="145">
        <f>SUMIFS(Table2[NewPointsAway],Table2[GameDate], "&lt;=" &amp; $A149, Table2[AwayTeam], D$1)+SUMIFS(Table2[NewPointsHome],Table2[GameDate], "&lt;=" &amp; $A149, Table2[HomeTeam], D$1)</f>
        <v>14</v>
      </c>
      <c r="E149" s="145">
        <f>SUMIFS(Table2[NewPointsAway],Table2[GameDate], "&lt;=" &amp; $A149, Table2[AwayTeam], E$1)+SUMIFS(Table2[NewPointsHome],Table2[GameDate], "&lt;=" &amp; $A149, Table2[HomeTeam], E$1)</f>
        <v>22</v>
      </c>
      <c r="F149" s="145">
        <f>SUMIFS(Table2[NewPointsAway],Table2[GameDate], "&lt;=" &amp; $A149, Table2[AwayTeam], F$1)+SUMIFS(Table2[NewPointsHome],Table2[GameDate], "&lt;=" &amp; $A149, Table2[HomeTeam], F$1)</f>
        <v>17</v>
      </c>
      <c r="G149" s="145">
        <f>SUMIFS(Table2[NewPointsAway],Table2[GameDate], "&lt;=" &amp; $A149, Table2[AwayTeam], G$1)+SUMIFS(Table2[NewPointsHome],Table2[GameDate], "&lt;=" &amp; $A149, Table2[HomeTeam], G$1)</f>
        <v>10</v>
      </c>
      <c r="H149" s="145">
        <f>SUMIFS(Table2[NewPointsAway],Table2[GameDate], "&lt;=" &amp; $A149, Table2[AwayTeam], H$1)+SUMIFS(Table2[NewPointsHome],Table2[GameDate], "&lt;=" &amp; $A149, Table2[HomeTeam], H$1)</f>
        <v>19</v>
      </c>
      <c r="I149" s="145">
        <f>SUMIFS(Table2[NewPointsAway],Table2[GameDate], "&lt;=" &amp; $A149, Table2[AwayTeam], I$1)+SUMIFS(Table2[NewPointsHome],Table2[GameDate], "&lt;=" &amp; $A149, Table2[HomeTeam], I$1)</f>
        <v>27</v>
      </c>
      <c r="J149" s="145">
        <f>SUMIFS(Table2[NewPointsAway],Table2[GameDate], "&lt;=" &amp; $A149, Table2[AwayTeam], J$1)+SUMIFS(Table2[NewPointsHome],Table2[GameDate], "&lt;=" &amp; $A149, Table2[HomeTeam], J$1)</f>
        <v>23</v>
      </c>
      <c r="K149" s="145">
        <f>SUMIFS(Table2[NewPointsAway],Table2[GameDate], "&lt;=" &amp; $A149, Table2[AwayTeam], K$1)+SUMIFS(Table2[NewPointsHome],Table2[GameDate], "&lt;=" &amp; $A149, Table2[HomeTeam], K$1)</f>
        <v>18</v>
      </c>
      <c r="L149" s="145">
        <f>SUMIFS(Table2[NewPointsAway],Table2[GameDate], "&lt;=" &amp; $A149, Table2[AwayTeam], L$1)+SUMIFS(Table2[NewPointsHome],Table2[GameDate], "&lt;=" &amp; $A149, Table2[HomeTeam], L$1)</f>
        <v>20</v>
      </c>
      <c r="M149" s="145">
        <f>SUMIFS(Table2[NewPointsAway],Table2[GameDate], "&lt;=" &amp; $A149, Table2[AwayTeam], M$1)+SUMIFS(Table2[NewPointsHome],Table2[GameDate], "&lt;=" &amp; $A149, Table2[HomeTeam], M$1)</f>
        <v>17</v>
      </c>
      <c r="N149" s="145">
        <f>SUMIFS(Table2[NewPointsAway],Table2[GameDate], "&lt;=" &amp; $A149, Table2[AwayTeam], N$1)+SUMIFS(Table2[NewPointsHome],Table2[GameDate], "&lt;=" &amp; $A149, Table2[HomeTeam], N$1)</f>
        <v>20</v>
      </c>
      <c r="O149" s="145">
        <f>SUMIFS(Table2[NewPointsAway],Table2[GameDate], "&lt;=" &amp; $A149, Table2[AwayTeam], O$1)+SUMIFS(Table2[NewPointsHome],Table2[GameDate], "&lt;=" &amp; $A149, Table2[HomeTeam], O$1)</f>
        <v>18</v>
      </c>
      <c r="P149" s="145">
        <f>SUMIFS(Table2[NewPointsAway],Table2[GameDate], "&lt;=" &amp; $A149, Table2[AwayTeam], P$1)+SUMIFS(Table2[NewPointsHome],Table2[GameDate], "&lt;=" &amp; $A149, Table2[HomeTeam], P$1)</f>
        <v>22</v>
      </c>
      <c r="Q149" s="145">
        <f>SUMIFS(Table2[NewPointsAway],Table2[GameDate], "&lt;=" &amp; $A149, Table2[AwayTeam], Q$1)+SUMIFS(Table2[NewPointsHome],Table2[GameDate], "&lt;=" &amp; $A149, Table2[HomeTeam], Q$1)</f>
        <v>23</v>
      </c>
      <c r="R149" s="145">
        <f>SUMIFS(Table2[NewPointsAway],Table2[GameDate], "&lt;=" &amp; $A149, Table2[AwayTeam], R$1)+SUMIFS(Table2[NewPointsHome],Table2[GameDate], "&lt;=" &amp; $A149, Table2[HomeTeam], R$1)</f>
        <v>14</v>
      </c>
      <c r="S149" s="145">
        <f>SUMIFS(Table2[NewPointsAway],Table2[GameDate], "&lt;=" &amp; $A149, Table2[AwayTeam], S$1)+SUMIFS(Table2[NewPointsHome],Table2[GameDate], "&lt;=" &amp; $A149, Table2[HomeTeam], S$1)</f>
        <v>18</v>
      </c>
      <c r="T149" s="145">
        <f>SUMIFS(Table2[NewPointsAway],Table2[GameDate], "&lt;=" &amp; $A149, Table2[AwayTeam], T$1)+SUMIFS(Table2[NewPointsHome],Table2[GameDate], "&lt;=" &amp; $A149, Table2[HomeTeam], T$1)</f>
        <v>20</v>
      </c>
      <c r="U149" s="145">
        <f>SUMIFS(Table2[NewPointsAway],Table2[GameDate], "&lt;=" &amp; $A149, Table2[AwayTeam], U$1)+SUMIFS(Table2[NewPointsHome],Table2[GameDate], "&lt;=" &amp; $A149, Table2[HomeTeam], U$1)</f>
        <v>20</v>
      </c>
      <c r="V149" s="145">
        <f>SUMIFS(Table2[NewPointsAway],Table2[GameDate], "&lt;=" &amp; $A149, Table2[AwayTeam], V$1)+SUMIFS(Table2[NewPointsHome],Table2[GameDate], "&lt;=" &amp; $A149, Table2[HomeTeam], V$1)</f>
        <v>19</v>
      </c>
      <c r="W149" s="145">
        <f>SUMIFS(Table2[NewPointsAway],Table2[GameDate], "&lt;=" &amp; $A149, Table2[AwayTeam], W$1)+SUMIFS(Table2[NewPointsHome],Table2[GameDate], "&lt;=" &amp; $A149, Table2[HomeTeam], W$1)</f>
        <v>21</v>
      </c>
      <c r="X149" s="145">
        <f>SUMIFS(Table2[NewPointsAway],Table2[GameDate], "&lt;=" &amp; $A149, Table2[AwayTeam], X$1)+SUMIFS(Table2[NewPointsHome],Table2[GameDate], "&lt;=" &amp; $A149, Table2[HomeTeam], X$1)</f>
        <v>19</v>
      </c>
      <c r="Y149" s="145">
        <f>SUMIFS(Table2[NewPointsAway],Table2[GameDate], "&lt;=" &amp; $A149, Table2[AwayTeam], Y$1)+SUMIFS(Table2[NewPointsHome],Table2[GameDate], "&lt;=" &amp; $A149, Table2[HomeTeam], Y$1)</f>
        <v>19</v>
      </c>
      <c r="Z149" s="145">
        <f>SUMIFS(Table2[NewPointsAway],Table2[GameDate], "&lt;=" &amp; $A149, Table2[AwayTeam], Z$1)+SUMIFS(Table2[NewPointsHome],Table2[GameDate], "&lt;=" &amp; $A149, Table2[HomeTeam], Z$1)</f>
        <v>15</v>
      </c>
      <c r="AA149" s="145">
        <f>SUMIFS(Table2[NewPointsAway],Table2[GameDate], "&lt;=" &amp; $A149, Table2[AwayTeam], AA$1)+SUMIFS(Table2[NewPointsHome],Table2[GameDate], "&lt;=" &amp; $A149, Table2[HomeTeam], AA$1)</f>
        <v>18</v>
      </c>
      <c r="AB149" s="145">
        <f>SUMIFS(Table2[NewPointsAway],Table2[GameDate], "&lt;=" &amp; $A149, Table2[AwayTeam], AB$1)+SUMIFS(Table2[NewPointsHome],Table2[GameDate], "&lt;=" &amp; $A149, Table2[HomeTeam], AB$1)</f>
        <v>17</v>
      </c>
      <c r="AC149" s="145">
        <f>SUMIFS(Table2[NewPointsAway],Table2[GameDate], "&lt;=" &amp; $A149, Table2[AwayTeam], AC$1)+SUMIFS(Table2[NewPointsHome],Table2[GameDate], "&lt;=" &amp; $A149, Table2[HomeTeam], AC$1)</f>
        <v>18</v>
      </c>
      <c r="AD149" s="145">
        <f>SUMIFS(Table2[NewPointsAway],Table2[GameDate], "&lt;=" &amp; $A149, Table2[AwayTeam], AD$1)+SUMIFS(Table2[NewPointsHome],Table2[GameDate], "&lt;=" &amp; $A149, Table2[HomeTeam], AD$1)</f>
        <v>17</v>
      </c>
      <c r="AE149" s="145">
        <f>SUMIFS(Table2[NewPointsAway],Table2[GameDate], "&lt;=" &amp; $A149, Table2[AwayTeam], AE$1)+SUMIFS(Table2[NewPointsHome],Table2[GameDate], "&lt;=" &amp; $A149, Table2[HomeTeam], AE$1)</f>
        <v>18</v>
      </c>
      <c r="AF149" s="145">
        <f>SUMIFS(Table2[NewPointsAway],Table2[GameDate], "&lt;=" &amp; $A149, Table2[AwayTeam], AF$1)+SUMIFS(Table2[NewPointsHome],Table2[GameDate], "&lt;=" &amp; $A149, Table2[HomeTeam], AF$1)</f>
        <v>20</v>
      </c>
      <c r="AG149" s="145">
        <f>SUMIFS(Table2[NewPointsAway],Table2[GameDate], "&lt;=" &amp; $A149, Table2[AwayTeam], AG$1)+SUMIFS(Table2[NewPointsHome],Table2[GameDate], "&lt;=" &amp; $A149, Table2[HomeTeam], AG$1)</f>
        <v>17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23</v>
      </c>
      <c r="C150" s="145">
        <f>SUMIFS(Table2[NewPointsAway],Table2[GameDate], "&lt;=" &amp; $A150, Table2[AwayTeam], C$1)+SUMIFS(Table2[NewPointsHome],Table2[GameDate], "&lt;=" &amp; $A150, Table2[HomeTeam], C$1)</f>
        <v>22</v>
      </c>
      <c r="D150" s="145">
        <f>SUMIFS(Table2[NewPointsAway],Table2[GameDate], "&lt;=" &amp; $A150, Table2[AwayTeam], D$1)+SUMIFS(Table2[NewPointsHome],Table2[GameDate], "&lt;=" &amp; $A150, Table2[HomeTeam], D$1)</f>
        <v>14</v>
      </c>
      <c r="E150" s="145">
        <f>SUMIFS(Table2[NewPointsAway],Table2[GameDate], "&lt;=" &amp; $A150, Table2[AwayTeam], E$1)+SUMIFS(Table2[NewPointsHome],Table2[GameDate], "&lt;=" &amp; $A150, Table2[HomeTeam], E$1)</f>
        <v>22</v>
      </c>
      <c r="F150" s="145">
        <f>SUMIFS(Table2[NewPointsAway],Table2[GameDate], "&lt;=" &amp; $A150, Table2[AwayTeam], F$1)+SUMIFS(Table2[NewPointsHome],Table2[GameDate], "&lt;=" &amp; $A150, Table2[HomeTeam], F$1)</f>
        <v>17</v>
      </c>
      <c r="G150" s="145">
        <f>SUMIFS(Table2[NewPointsAway],Table2[GameDate], "&lt;=" &amp; $A150, Table2[AwayTeam], G$1)+SUMIFS(Table2[NewPointsHome],Table2[GameDate], "&lt;=" &amp; $A150, Table2[HomeTeam], G$1)</f>
        <v>10</v>
      </c>
      <c r="H150" s="145">
        <f>SUMIFS(Table2[NewPointsAway],Table2[GameDate], "&lt;=" &amp; $A150, Table2[AwayTeam], H$1)+SUMIFS(Table2[NewPointsHome],Table2[GameDate], "&lt;=" &amp; $A150, Table2[HomeTeam], H$1)</f>
        <v>19</v>
      </c>
      <c r="I150" s="145">
        <f>SUMIFS(Table2[NewPointsAway],Table2[GameDate], "&lt;=" &amp; $A150, Table2[AwayTeam], I$1)+SUMIFS(Table2[NewPointsHome],Table2[GameDate], "&lt;=" &amp; $A150, Table2[HomeTeam], I$1)</f>
        <v>27</v>
      </c>
      <c r="J150" s="145">
        <f>SUMIFS(Table2[NewPointsAway],Table2[GameDate], "&lt;=" &amp; $A150, Table2[AwayTeam], J$1)+SUMIFS(Table2[NewPointsHome],Table2[GameDate], "&lt;=" &amp; $A150, Table2[HomeTeam], J$1)</f>
        <v>23</v>
      </c>
      <c r="K150" s="145">
        <f>SUMIFS(Table2[NewPointsAway],Table2[GameDate], "&lt;=" &amp; $A150, Table2[AwayTeam], K$1)+SUMIFS(Table2[NewPointsHome],Table2[GameDate], "&lt;=" &amp; $A150, Table2[HomeTeam], K$1)</f>
        <v>18</v>
      </c>
      <c r="L150" s="145">
        <f>SUMIFS(Table2[NewPointsAway],Table2[GameDate], "&lt;=" &amp; $A150, Table2[AwayTeam], L$1)+SUMIFS(Table2[NewPointsHome],Table2[GameDate], "&lt;=" &amp; $A150, Table2[HomeTeam], L$1)</f>
        <v>20</v>
      </c>
      <c r="M150" s="145">
        <f>SUMIFS(Table2[NewPointsAway],Table2[GameDate], "&lt;=" &amp; $A150, Table2[AwayTeam], M$1)+SUMIFS(Table2[NewPointsHome],Table2[GameDate], "&lt;=" &amp; $A150, Table2[HomeTeam], M$1)</f>
        <v>17</v>
      </c>
      <c r="N150" s="145">
        <f>SUMIFS(Table2[NewPointsAway],Table2[GameDate], "&lt;=" &amp; $A150, Table2[AwayTeam], N$1)+SUMIFS(Table2[NewPointsHome],Table2[GameDate], "&lt;=" &amp; $A150, Table2[HomeTeam], N$1)</f>
        <v>20</v>
      </c>
      <c r="O150" s="145">
        <f>SUMIFS(Table2[NewPointsAway],Table2[GameDate], "&lt;=" &amp; $A150, Table2[AwayTeam], O$1)+SUMIFS(Table2[NewPointsHome],Table2[GameDate], "&lt;=" &amp; $A150, Table2[HomeTeam], O$1)</f>
        <v>18</v>
      </c>
      <c r="P150" s="145">
        <f>SUMIFS(Table2[NewPointsAway],Table2[GameDate], "&lt;=" &amp; $A150, Table2[AwayTeam], P$1)+SUMIFS(Table2[NewPointsHome],Table2[GameDate], "&lt;=" &amp; $A150, Table2[HomeTeam], P$1)</f>
        <v>22</v>
      </c>
      <c r="Q150" s="145">
        <f>SUMIFS(Table2[NewPointsAway],Table2[GameDate], "&lt;=" &amp; $A150, Table2[AwayTeam], Q$1)+SUMIFS(Table2[NewPointsHome],Table2[GameDate], "&lt;=" &amp; $A150, Table2[HomeTeam], Q$1)</f>
        <v>23</v>
      </c>
      <c r="R150" s="145">
        <f>SUMIFS(Table2[NewPointsAway],Table2[GameDate], "&lt;=" &amp; $A150, Table2[AwayTeam], R$1)+SUMIFS(Table2[NewPointsHome],Table2[GameDate], "&lt;=" &amp; $A150, Table2[HomeTeam], R$1)</f>
        <v>14</v>
      </c>
      <c r="S150" s="145">
        <f>SUMIFS(Table2[NewPointsAway],Table2[GameDate], "&lt;=" &amp; $A150, Table2[AwayTeam], S$1)+SUMIFS(Table2[NewPointsHome],Table2[GameDate], "&lt;=" &amp; $A150, Table2[HomeTeam], S$1)</f>
        <v>18</v>
      </c>
      <c r="T150" s="145">
        <f>SUMIFS(Table2[NewPointsAway],Table2[GameDate], "&lt;=" &amp; $A150, Table2[AwayTeam], T$1)+SUMIFS(Table2[NewPointsHome],Table2[GameDate], "&lt;=" &amp; $A150, Table2[HomeTeam], T$1)</f>
        <v>20</v>
      </c>
      <c r="U150" s="145">
        <f>SUMIFS(Table2[NewPointsAway],Table2[GameDate], "&lt;=" &amp; $A150, Table2[AwayTeam], U$1)+SUMIFS(Table2[NewPointsHome],Table2[GameDate], "&lt;=" &amp; $A150, Table2[HomeTeam], U$1)</f>
        <v>20</v>
      </c>
      <c r="V150" s="145">
        <f>SUMIFS(Table2[NewPointsAway],Table2[GameDate], "&lt;=" &amp; $A150, Table2[AwayTeam], V$1)+SUMIFS(Table2[NewPointsHome],Table2[GameDate], "&lt;=" &amp; $A150, Table2[HomeTeam], V$1)</f>
        <v>19</v>
      </c>
      <c r="W150" s="145">
        <f>SUMIFS(Table2[NewPointsAway],Table2[GameDate], "&lt;=" &amp; $A150, Table2[AwayTeam], W$1)+SUMIFS(Table2[NewPointsHome],Table2[GameDate], "&lt;=" &amp; $A150, Table2[HomeTeam], W$1)</f>
        <v>21</v>
      </c>
      <c r="X150" s="145">
        <f>SUMIFS(Table2[NewPointsAway],Table2[GameDate], "&lt;=" &amp; $A150, Table2[AwayTeam], X$1)+SUMIFS(Table2[NewPointsHome],Table2[GameDate], "&lt;=" &amp; $A150, Table2[HomeTeam], X$1)</f>
        <v>19</v>
      </c>
      <c r="Y150" s="145">
        <f>SUMIFS(Table2[NewPointsAway],Table2[GameDate], "&lt;=" &amp; $A150, Table2[AwayTeam], Y$1)+SUMIFS(Table2[NewPointsHome],Table2[GameDate], "&lt;=" &amp; $A150, Table2[HomeTeam], Y$1)</f>
        <v>19</v>
      </c>
      <c r="Z150" s="145">
        <f>SUMIFS(Table2[NewPointsAway],Table2[GameDate], "&lt;=" &amp; $A150, Table2[AwayTeam], Z$1)+SUMIFS(Table2[NewPointsHome],Table2[GameDate], "&lt;=" &amp; $A150, Table2[HomeTeam], Z$1)</f>
        <v>15</v>
      </c>
      <c r="AA150" s="145">
        <f>SUMIFS(Table2[NewPointsAway],Table2[GameDate], "&lt;=" &amp; $A150, Table2[AwayTeam], AA$1)+SUMIFS(Table2[NewPointsHome],Table2[GameDate], "&lt;=" &amp; $A150, Table2[HomeTeam], AA$1)</f>
        <v>18</v>
      </c>
      <c r="AB150" s="145">
        <f>SUMIFS(Table2[NewPointsAway],Table2[GameDate], "&lt;=" &amp; $A150, Table2[AwayTeam], AB$1)+SUMIFS(Table2[NewPointsHome],Table2[GameDate], "&lt;=" &amp; $A150, Table2[HomeTeam], AB$1)</f>
        <v>17</v>
      </c>
      <c r="AC150" s="145">
        <f>SUMIFS(Table2[NewPointsAway],Table2[GameDate], "&lt;=" &amp; $A150, Table2[AwayTeam], AC$1)+SUMIFS(Table2[NewPointsHome],Table2[GameDate], "&lt;=" &amp; $A150, Table2[HomeTeam], AC$1)</f>
        <v>18</v>
      </c>
      <c r="AD150" s="145">
        <f>SUMIFS(Table2[NewPointsAway],Table2[GameDate], "&lt;=" &amp; $A150, Table2[AwayTeam], AD$1)+SUMIFS(Table2[NewPointsHome],Table2[GameDate], "&lt;=" &amp; $A150, Table2[HomeTeam], AD$1)</f>
        <v>17</v>
      </c>
      <c r="AE150" s="145">
        <f>SUMIFS(Table2[NewPointsAway],Table2[GameDate], "&lt;=" &amp; $A150, Table2[AwayTeam], AE$1)+SUMIFS(Table2[NewPointsHome],Table2[GameDate], "&lt;=" &amp; $A150, Table2[HomeTeam], AE$1)</f>
        <v>18</v>
      </c>
      <c r="AF150" s="145">
        <f>SUMIFS(Table2[NewPointsAway],Table2[GameDate], "&lt;=" &amp; $A150, Table2[AwayTeam], AF$1)+SUMIFS(Table2[NewPointsHome],Table2[GameDate], "&lt;=" &amp; $A150, Table2[HomeTeam], AF$1)</f>
        <v>20</v>
      </c>
      <c r="AG150" s="145">
        <f>SUMIFS(Table2[NewPointsAway],Table2[GameDate], "&lt;=" &amp; $A150, Table2[AwayTeam], AG$1)+SUMIFS(Table2[NewPointsHome],Table2[GameDate], "&lt;=" &amp; $A150, Table2[HomeTeam], AG$1)</f>
        <v>17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23</v>
      </c>
      <c r="C151" s="145">
        <f>SUMIFS(Table2[NewPointsAway],Table2[GameDate], "&lt;=" &amp; $A151, Table2[AwayTeam], C$1)+SUMIFS(Table2[NewPointsHome],Table2[GameDate], "&lt;=" &amp; $A151, Table2[HomeTeam], C$1)</f>
        <v>22</v>
      </c>
      <c r="D151" s="145">
        <f>SUMIFS(Table2[NewPointsAway],Table2[GameDate], "&lt;=" &amp; $A151, Table2[AwayTeam], D$1)+SUMIFS(Table2[NewPointsHome],Table2[GameDate], "&lt;=" &amp; $A151, Table2[HomeTeam], D$1)</f>
        <v>14</v>
      </c>
      <c r="E151" s="145">
        <f>SUMIFS(Table2[NewPointsAway],Table2[GameDate], "&lt;=" &amp; $A151, Table2[AwayTeam], E$1)+SUMIFS(Table2[NewPointsHome],Table2[GameDate], "&lt;=" &amp; $A151, Table2[HomeTeam], E$1)</f>
        <v>22</v>
      </c>
      <c r="F151" s="145">
        <f>SUMIFS(Table2[NewPointsAway],Table2[GameDate], "&lt;=" &amp; $A151, Table2[AwayTeam], F$1)+SUMIFS(Table2[NewPointsHome],Table2[GameDate], "&lt;=" &amp; $A151, Table2[HomeTeam], F$1)</f>
        <v>17</v>
      </c>
      <c r="G151" s="145">
        <f>SUMIFS(Table2[NewPointsAway],Table2[GameDate], "&lt;=" &amp; $A151, Table2[AwayTeam], G$1)+SUMIFS(Table2[NewPointsHome],Table2[GameDate], "&lt;=" &amp; $A151, Table2[HomeTeam], G$1)</f>
        <v>10</v>
      </c>
      <c r="H151" s="145">
        <f>SUMIFS(Table2[NewPointsAway],Table2[GameDate], "&lt;=" &amp; $A151, Table2[AwayTeam], H$1)+SUMIFS(Table2[NewPointsHome],Table2[GameDate], "&lt;=" &amp; $A151, Table2[HomeTeam], H$1)</f>
        <v>19</v>
      </c>
      <c r="I151" s="145">
        <f>SUMIFS(Table2[NewPointsAway],Table2[GameDate], "&lt;=" &amp; $A151, Table2[AwayTeam], I$1)+SUMIFS(Table2[NewPointsHome],Table2[GameDate], "&lt;=" &amp; $A151, Table2[HomeTeam], I$1)</f>
        <v>27</v>
      </c>
      <c r="J151" s="145">
        <f>SUMIFS(Table2[NewPointsAway],Table2[GameDate], "&lt;=" &amp; $A151, Table2[AwayTeam], J$1)+SUMIFS(Table2[NewPointsHome],Table2[GameDate], "&lt;=" &amp; $A151, Table2[HomeTeam], J$1)</f>
        <v>23</v>
      </c>
      <c r="K151" s="145">
        <f>SUMIFS(Table2[NewPointsAway],Table2[GameDate], "&lt;=" &amp; $A151, Table2[AwayTeam], K$1)+SUMIFS(Table2[NewPointsHome],Table2[GameDate], "&lt;=" &amp; $A151, Table2[HomeTeam], K$1)</f>
        <v>18</v>
      </c>
      <c r="L151" s="145">
        <f>SUMIFS(Table2[NewPointsAway],Table2[GameDate], "&lt;=" &amp; $A151, Table2[AwayTeam], L$1)+SUMIFS(Table2[NewPointsHome],Table2[GameDate], "&lt;=" &amp; $A151, Table2[HomeTeam], L$1)</f>
        <v>20</v>
      </c>
      <c r="M151" s="145">
        <f>SUMIFS(Table2[NewPointsAway],Table2[GameDate], "&lt;=" &amp; $A151, Table2[AwayTeam], M$1)+SUMIFS(Table2[NewPointsHome],Table2[GameDate], "&lt;=" &amp; $A151, Table2[HomeTeam], M$1)</f>
        <v>17</v>
      </c>
      <c r="N151" s="145">
        <f>SUMIFS(Table2[NewPointsAway],Table2[GameDate], "&lt;=" &amp; $A151, Table2[AwayTeam], N$1)+SUMIFS(Table2[NewPointsHome],Table2[GameDate], "&lt;=" &amp; $A151, Table2[HomeTeam], N$1)</f>
        <v>20</v>
      </c>
      <c r="O151" s="145">
        <f>SUMIFS(Table2[NewPointsAway],Table2[GameDate], "&lt;=" &amp; $A151, Table2[AwayTeam], O$1)+SUMIFS(Table2[NewPointsHome],Table2[GameDate], "&lt;=" &amp; $A151, Table2[HomeTeam], O$1)</f>
        <v>18</v>
      </c>
      <c r="P151" s="145">
        <f>SUMIFS(Table2[NewPointsAway],Table2[GameDate], "&lt;=" &amp; $A151, Table2[AwayTeam], P$1)+SUMIFS(Table2[NewPointsHome],Table2[GameDate], "&lt;=" &amp; $A151, Table2[HomeTeam], P$1)</f>
        <v>22</v>
      </c>
      <c r="Q151" s="145">
        <f>SUMIFS(Table2[NewPointsAway],Table2[GameDate], "&lt;=" &amp; $A151, Table2[AwayTeam], Q$1)+SUMIFS(Table2[NewPointsHome],Table2[GameDate], "&lt;=" &amp; $A151, Table2[HomeTeam], Q$1)</f>
        <v>23</v>
      </c>
      <c r="R151" s="145">
        <f>SUMIFS(Table2[NewPointsAway],Table2[GameDate], "&lt;=" &amp; $A151, Table2[AwayTeam], R$1)+SUMIFS(Table2[NewPointsHome],Table2[GameDate], "&lt;=" &amp; $A151, Table2[HomeTeam], R$1)</f>
        <v>14</v>
      </c>
      <c r="S151" s="145">
        <f>SUMIFS(Table2[NewPointsAway],Table2[GameDate], "&lt;=" &amp; $A151, Table2[AwayTeam], S$1)+SUMIFS(Table2[NewPointsHome],Table2[GameDate], "&lt;=" &amp; $A151, Table2[HomeTeam], S$1)</f>
        <v>18</v>
      </c>
      <c r="T151" s="145">
        <f>SUMIFS(Table2[NewPointsAway],Table2[GameDate], "&lt;=" &amp; $A151, Table2[AwayTeam], T$1)+SUMIFS(Table2[NewPointsHome],Table2[GameDate], "&lt;=" &amp; $A151, Table2[HomeTeam], T$1)</f>
        <v>20</v>
      </c>
      <c r="U151" s="145">
        <f>SUMIFS(Table2[NewPointsAway],Table2[GameDate], "&lt;=" &amp; $A151, Table2[AwayTeam], U$1)+SUMIFS(Table2[NewPointsHome],Table2[GameDate], "&lt;=" &amp; $A151, Table2[HomeTeam], U$1)</f>
        <v>20</v>
      </c>
      <c r="V151" s="145">
        <f>SUMIFS(Table2[NewPointsAway],Table2[GameDate], "&lt;=" &amp; $A151, Table2[AwayTeam], V$1)+SUMIFS(Table2[NewPointsHome],Table2[GameDate], "&lt;=" &amp; $A151, Table2[HomeTeam], V$1)</f>
        <v>19</v>
      </c>
      <c r="W151" s="145">
        <f>SUMIFS(Table2[NewPointsAway],Table2[GameDate], "&lt;=" &amp; $A151, Table2[AwayTeam], W$1)+SUMIFS(Table2[NewPointsHome],Table2[GameDate], "&lt;=" &amp; $A151, Table2[HomeTeam], W$1)</f>
        <v>21</v>
      </c>
      <c r="X151" s="145">
        <f>SUMIFS(Table2[NewPointsAway],Table2[GameDate], "&lt;=" &amp; $A151, Table2[AwayTeam], X$1)+SUMIFS(Table2[NewPointsHome],Table2[GameDate], "&lt;=" &amp; $A151, Table2[HomeTeam], X$1)</f>
        <v>19</v>
      </c>
      <c r="Y151" s="145">
        <f>SUMIFS(Table2[NewPointsAway],Table2[GameDate], "&lt;=" &amp; $A151, Table2[AwayTeam], Y$1)+SUMIFS(Table2[NewPointsHome],Table2[GameDate], "&lt;=" &amp; $A151, Table2[HomeTeam], Y$1)</f>
        <v>19</v>
      </c>
      <c r="Z151" s="145">
        <f>SUMIFS(Table2[NewPointsAway],Table2[GameDate], "&lt;=" &amp; $A151, Table2[AwayTeam], Z$1)+SUMIFS(Table2[NewPointsHome],Table2[GameDate], "&lt;=" &amp; $A151, Table2[HomeTeam], Z$1)</f>
        <v>15</v>
      </c>
      <c r="AA151" s="145">
        <f>SUMIFS(Table2[NewPointsAway],Table2[GameDate], "&lt;=" &amp; $A151, Table2[AwayTeam], AA$1)+SUMIFS(Table2[NewPointsHome],Table2[GameDate], "&lt;=" &amp; $A151, Table2[HomeTeam], AA$1)</f>
        <v>18</v>
      </c>
      <c r="AB151" s="145">
        <f>SUMIFS(Table2[NewPointsAway],Table2[GameDate], "&lt;=" &amp; $A151, Table2[AwayTeam], AB$1)+SUMIFS(Table2[NewPointsHome],Table2[GameDate], "&lt;=" &amp; $A151, Table2[HomeTeam], AB$1)</f>
        <v>17</v>
      </c>
      <c r="AC151" s="145">
        <f>SUMIFS(Table2[NewPointsAway],Table2[GameDate], "&lt;=" &amp; $A151, Table2[AwayTeam], AC$1)+SUMIFS(Table2[NewPointsHome],Table2[GameDate], "&lt;=" &amp; $A151, Table2[HomeTeam], AC$1)</f>
        <v>18</v>
      </c>
      <c r="AD151" s="145">
        <f>SUMIFS(Table2[NewPointsAway],Table2[GameDate], "&lt;=" &amp; $A151, Table2[AwayTeam], AD$1)+SUMIFS(Table2[NewPointsHome],Table2[GameDate], "&lt;=" &amp; $A151, Table2[HomeTeam], AD$1)</f>
        <v>17</v>
      </c>
      <c r="AE151" s="145">
        <f>SUMIFS(Table2[NewPointsAway],Table2[GameDate], "&lt;=" &amp; $A151, Table2[AwayTeam], AE$1)+SUMIFS(Table2[NewPointsHome],Table2[GameDate], "&lt;=" &amp; $A151, Table2[HomeTeam], AE$1)</f>
        <v>18</v>
      </c>
      <c r="AF151" s="145">
        <f>SUMIFS(Table2[NewPointsAway],Table2[GameDate], "&lt;=" &amp; $A151, Table2[AwayTeam], AF$1)+SUMIFS(Table2[NewPointsHome],Table2[GameDate], "&lt;=" &amp; $A151, Table2[HomeTeam], AF$1)</f>
        <v>20</v>
      </c>
      <c r="AG151" s="145">
        <f>SUMIFS(Table2[NewPointsAway],Table2[GameDate], "&lt;=" &amp; $A151, Table2[AwayTeam], AG$1)+SUMIFS(Table2[NewPointsHome],Table2[GameDate], "&lt;=" &amp; $A151, Table2[HomeTeam], AG$1)</f>
        <v>17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23</v>
      </c>
      <c r="C152" s="145">
        <f>SUMIFS(Table2[NewPointsAway],Table2[GameDate], "&lt;=" &amp; $A152, Table2[AwayTeam], C$1)+SUMIFS(Table2[NewPointsHome],Table2[GameDate], "&lt;=" &amp; $A152, Table2[HomeTeam], C$1)</f>
        <v>22</v>
      </c>
      <c r="D152" s="145">
        <f>SUMIFS(Table2[NewPointsAway],Table2[GameDate], "&lt;=" &amp; $A152, Table2[AwayTeam], D$1)+SUMIFS(Table2[NewPointsHome],Table2[GameDate], "&lt;=" &amp; $A152, Table2[HomeTeam], D$1)</f>
        <v>14</v>
      </c>
      <c r="E152" s="145">
        <f>SUMIFS(Table2[NewPointsAway],Table2[GameDate], "&lt;=" &amp; $A152, Table2[AwayTeam], E$1)+SUMIFS(Table2[NewPointsHome],Table2[GameDate], "&lt;=" &amp; $A152, Table2[HomeTeam], E$1)</f>
        <v>22</v>
      </c>
      <c r="F152" s="145">
        <f>SUMIFS(Table2[NewPointsAway],Table2[GameDate], "&lt;=" &amp; $A152, Table2[AwayTeam], F$1)+SUMIFS(Table2[NewPointsHome],Table2[GameDate], "&lt;=" &amp; $A152, Table2[HomeTeam], F$1)</f>
        <v>17</v>
      </c>
      <c r="G152" s="145">
        <f>SUMIFS(Table2[NewPointsAway],Table2[GameDate], "&lt;=" &amp; $A152, Table2[AwayTeam], G$1)+SUMIFS(Table2[NewPointsHome],Table2[GameDate], "&lt;=" &amp; $A152, Table2[HomeTeam], G$1)</f>
        <v>10</v>
      </c>
      <c r="H152" s="145">
        <f>SUMIFS(Table2[NewPointsAway],Table2[GameDate], "&lt;=" &amp; $A152, Table2[AwayTeam], H$1)+SUMIFS(Table2[NewPointsHome],Table2[GameDate], "&lt;=" &amp; $A152, Table2[HomeTeam], H$1)</f>
        <v>19</v>
      </c>
      <c r="I152" s="145">
        <f>SUMIFS(Table2[NewPointsAway],Table2[GameDate], "&lt;=" &amp; $A152, Table2[AwayTeam], I$1)+SUMIFS(Table2[NewPointsHome],Table2[GameDate], "&lt;=" &amp; $A152, Table2[HomeTeam], I$1)</f>
        <v>27</v>
      </c>
      <c r="J152" s="145">
        <f>SUMIFS(Table2[NewPointsAway],Table2[GameDate], "&lt;=" &amp; $A152, Table2[AwayTeam], J$1)+SUMIFS(Table2[NewPointsHome],Table2[GameDate], "&lt;=" &amp; $A152, Table2[HomeTeam], J$1)</f>
        <v>23</v>
      </c>
      <c r="K152" s="145">
        <f>SUMIFS(Table2[NewPointsAway],Table2[GameDate], "&lt;=" &amp; $A152, Table2[AwayTeam], K$1)+SUMIFS(Table2[NewPointsHome],Table2[GameDate], "&lt;=" &amp; $A152, Table2[HomeTeam], K$1)</f>
        <v>18</v>
      </c>
      <c r="L152" s="145">
        <f>SUMIFS(Table2[NewPointsAway],Table2[GameDate], "&lt;=" &amp; $A152, Table2[AwayTeam], L$1)+SUMIFS(Table2[NewPointsHome],Table2[GameDate], "&lt;=" &amp; $A152, Table2[HomeTeam], L$1)</f>
        <v>20</v>
      </c>
      <c r="M152" s="145">
        <f>SUMIFS(Table2[NewPointsAway],Table2[GameDate], "&lt;=" &amp; $A152, Table2[AwayTeam], M$1)+SUMIFS(Table2[NewPointsHome],Table2[GameDate], "&lt;=" &amp; $A152, Table2[HomeTeam], M$1)</f>
        <v>17</v>
      </c>
      <c r="N152" s="145">
        <f>SUMIFS(Table2[NewPointsAway],Table2[GameDate], "&lt;=" &amp; $A152, Table2[AwayTeam], N$1)+SUMIFS(Table2[NewPointsHome],Table2[GameDate], "&lt;=" &amp; $A152, Table2[HomeTeam], N$1)</f>
        <v>20</v>
      </c>
      <c r="O152" s="145">
        <f>SUMIFS(Table2[NewPointsAway],Table2[GameDate], "&lt;=" &amp; $A152, Table2[AwayTeam], O$1)+SUMIFS(Table2[NewPointsHome],Table2[GameDate], "&lt;=" &amp; $A152, Table2[HomeTeam], O$1)</f>
        <v>18</v>
      </c>
      <c r="P152" s="145">
        <f>SUMIFS(Table2[NewPointsAway],Table2[GameDate], "&lt;=" &amp; $A152, Table2[AwayTeam], P$1)+SUMIFS(Table2[NewPointsHome],Table2[GameDate], "&lt;=" &amp; $A152, Table2[HomeTeam], P$1)</f>
        <v>22</v>
      </c>
      <c r="Q152" s="145">
        <f>SUMIFS(Table2[NewPointsAway],Table2[GameDate], "&lt;=" &amp; $A152, Table2[AwayTeam], Q$1)+SUMIFS(Table2[NewPointsHome],Table2[GameDate], "&lt;=" &amp; $A152, Table2[HomeTeam], Q$1)</f>
        <v>23</v>
      </c>
      <c r="R152" s="145">
        <f>SUMIFS(Table2[NewPointsAway],Table2[GameDate], "&lt;=" &amp; $A152, Table2[AwayTeam], R$1)+SUMIFS(Table2[NewPointsHome],Table2[GameDate], "&lt;=" &amp; $A152, Table2[HomeTeam], R$1)</f>
        <v>14</v>
      </c>
      <c r="S152" s="145">
        <f>SUMIFS(Table2[NewPointsAway],Table2[GameDate], "&lt;=" &amp; $A152, Table2[AwayTeam], S$1)+SUMIFS(Table2[NewPointsHome],Table2[GameDate], "&lt;=" &amp; $A152, Table2[HomeTeam], S$1)</f>
        <v>18</v>
      </c>
      <c r="T152" s="145">
        <f>SUMIFS(Table2[NewPointsAway],Table2[GameDate], "&lt;=" &amp; $A152, Table2[AwayTeam], T$1)+SUMIFS(Table2[NewPointsHome],Table2[GameDate], "&lt;=" &amp; $A152, Table2[HomeTeam], T$1)</f>
        <v>20</v>
      </c>
      <c r="U152" s="145">
        <f>SUMIFS(Table2[NewPointsAway],Table2[GameDate], "&lt;=" &amp; $A152, Table2[AwayTeam], U$1)+SUMIFS(Table2[NewPointsHome],Table2[GameDate], "&lt;=" &amp; $A152, Table2[HomeTeam], U$1)</f>
        <v>20</v>
      </c>
      <c r="V152" s="145">
        <f>SUMIFS(Table2[NewPointsAway],Table2[GameDate], "&lt;=" &amp; $A152, Table2[AwayTeam], V$1)+SUMIFS(Table2[NewPointsHome],Table2[GameDate], "&lt;=" &amp; $A152, Table2[HomeTeam], V$1)</f>
        <v>19</v>
      </c>
      <c r="W152" s="145">
        <f>SUMIFS(Table2[NewPointsAway],Table2[GameDate], "&lt;=" &amp; $A152, Table2[AwayTeam], W$1)+SUMIFS(Table2[NewPointsHome],Table2[GameDate], "&lt;=" &amp; $A152, Table2[HomeTeam], W$1)</f>
        <v>21</v>
      </c>
      <c r="X152" s="145">
        <f>SUMIFS(Table2[NewPointsAway],Table2[GameDate], "&lt;=" &amp; $A152, Table2[AwayTeam], X$1)+SUMIFS(Table2[NewPointsHome],Table2[GameDate], "&lt;=" &amp; $A152, Table2[HomeTeam], X$1)</f>
        <v>19</v>
      </c>
      <c r="Y152" s="145">
        <f>SUMIFS(Table2[NewPointsAway],Table2[GameDate], "&lt;=" &amp; $A152, Table2[AwayTeam], Y$1)+SUMIFS(Table2[NewPointsHome],Table2[GameDate], "&lt;=" &amp; $A152, Table2[HomeTeam], Y$1)</f>
        <v>19</v>
      </c>
      <c r="Z152" s="145">
        <f>SUMIFS(Table2[NewPointsAway],Table2[GameDate], "&lt;=" &amp; $A152, Table2[AwayTeam], Z$1)+SUMIFS(Table2[NewPointsHome],Table2[GameDate], "&lt;=" &amp; $A152, Table2[HomeTeam], Z$1)</f>
        <v>15</v>
      </c>
      <c r="AA152" s="145">
        <f>SUMIFS(Table2[NewPointsAway],Table2[GameDate], "&lt;=" &amp; $A152, Table2[AwayTeam], AA$1)+SUMIFS(Table2[NewPointsHome],Table2[GameDate], "&lt;=" &amp; $A152, Table2[HomeTeam], AA$1)</f>
        <v>18</v>
      </c>
      <c r="AB152" s="145">
        <f>SUMIFS(Table2[NewPointsAway],Table2[GameDate], "&lt;=" &amp; $A152, Table2[AwayTeam], AB$1)+SUMIFS(Table2[NewPointsHome],Table2[GameDate], "&lt;=" &amp; $A152, Table2[HomeTeam], AB$1)</f>
        <v>17</v>
      </c>
      <c r="AC152" s="145">
        <f>SUMIFS(Table2[NewPointsAway],Table2[GameDate], "&lt;=" &amp; $A152, Table2[AwayTeam], AC$1)+SUMIFS(Table2[NewPointsHome],Table2[GameDate], "&lt;=" &amp; $A152, Table2[HomeTeam], AC$1)</f>
        <v>18</v>
      </c>
      <c r="AD152" s="145">
        <f>SUMIFS(Table2[NewPointsAway],Table2[GameDate], "&lt;=" &amp; $A152, Table2[AwayTeam], AD$1)+SUMIFS(Table2[NewPointsHome],Table2[GameDate], "&lt;=" &amp; $A152, Table2[HomeTeam], AD$1)</f>
        <v>17</v>
      </c>
      <c r="AE152" s="145">
        <f>SUMIFS(Table2[NewPointsAway],Table2[GameDate], "&lt;=" &amp; $A152, Table2[AwayTeam], AE$1)+SUMIFS(Table2[NewPointsHome],Table2[GameDate], "&lt;=" &amp; $A152, Table2[HomeTeam], AE$1)</f>
        <v>18</v>
      </c>
      <c r="AF152" s="145">
        <f>SUMIFS(Table2[NewPointsAway],Table2[GameDate], "&lt;=" &amp; $A152, Table2[AwayTeam], AF$1)+SUMIFS(Table2[NewPointsHome],Table2[GameDate], "&lt;=" &amp; $A152, Table2[HomeTeam], AF$1)</f>
        <v>20</v>
      </c>
      <c r="AG152" s="145">
        <f>SUMIFS(Table2[NewPointsAway],Table2[GameDate], "&lt;=" &amp; $A152, Table2[AwayTeam], AG$1)+SUMIFS(Table2[NewPointsHome],Table2[GameDate], "&lt;=" &amp; $A152, Table2[HomeTeam], AG$1)</f>
        <v>17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23</v>
      </c>
      <c r="C153" s="145">
        <f>SUMIFS(Table2[NewPointsAway],Table2[GameDate], "&lt;=" &amp; $A153, Table2[AwayTeam], C$1)+SUMIFS(Table2[NewPointsHome],Table2[GameDate], "&lt;=" &amp; $A153, Table2[HomeTeam], C$1)</f>
        <v>22</v>
      </c>
      <c r="D153" s="145">
        <f>SUMIFS(Table2[NewPointsAway],Table2[GameDate], "&lt;=" &amp; $A153, Table2[AwayTeam], D$1)+SUMIFS(Table2[NewPointsHome],Table2[GameDate], "&lt;=" &amp; $A153, Table2[HomeTeam], D$1)</f>
        <v>14</v>
      </c>
      <c r="E153" s="145">
        <f>SUMIFS(Table2[NewPointsAway],Table2[GameDate], "&lt;=" &amp; $A153, Table2[AwayTeam], E$1)+SUMIFS(Table2[NewPointsHome],Table2[GameDate], "&lt;=" &amp; $A153, Table2[HomeTeam], E$1)</f>
        <v>22</v>
      </c>
      <c r="F153" s="145">
        <f>SUMIFS(Table2[NewPointsAway],Table2[GameDate], "&lt;=" &amp; $A153, Table2[AwayTeam], F$1)+SUMIFS(Table2[NewPointsHome],Table2[GameDate], "&lt;=" &amp; $A153, Table2[HomeTeam], F$1)</f>
        <v>17</v>
      </c>
      <c r="G153" s="145">
        <f>SUMIFS(Table2[NewPointsAway],Table2[GameDate], "&lt;=" &amp; $A153, Table2[AwayTeam], G$1)+SUMIFS(Table2[NewPointsHome],Table2[GameDate], "&lt;=" &amp; $A153, Table2[HomeTeam], G$1)</f>
        <v>10</v>
      </c>
      <c r="H153" s="145">
        <f>SUMIFS(Table2[NewPointsAway],Table2[GameDate], "&lt;=" &amp; $A153, Table2[AwayTeam], H$1)+SUMIFS(Table2[NewPointsHome],Table2[GameDate], "&lt;=" &amp; $A153, Table2[HomeTeam], H$1)</f>
        <v>19</v>
      </c>
      <c r="I153" s="145">
        <f>SUMIFS(Table2[NewPointsAway],Table2[GameDate], "&lt;=" &amp; $A153, Table2[AwayTeam], I$1)+SUMIFS(Table2[NewPointsHome],Table2[GameDate], "&lt;=" &amp; $A153, Table2[HomeTeam], I$1)</f>
        <v>27</v>
      </c>
      <c r="J153" s="145">
        <f>SUMIFS(Table2[NewPointsAway],Table2[GameDate], "&lt;=" &amp; $A153, Table2[AwayTeam], J$1)+SUMIFS(Table2[NewPointsHome],Table2[GameDate], "&lt;=" &amp; $A153, Table2[HomeTeam], J$1)</f>
        <v>23</v>
      </c>
      <c r="K153" s="145">
        <f>SUMIFS(Table2[NewPointsAway],Table2[GameDate], "&lt;=" &amp; $A153, Table2[AwayTeam], K$1)+SUMIFS(Table2[NewPointsHome],Table2[GameDate], "&lt;=" &amp; $A153, Table2[HomeTeam], K$1)</f>
        <v>18</v>
      </c>
      <c r="L153" s="145">
        <f>SUMIFS(Table2[NewPointsAway],Table2[GameDate], "&lt;=" &amp; $A153, Table2[AwayTeam], L$1)+SUMIFS(Table2[NewPointsHome],Table2[GameDate], "&lt;=" &amp; $A153, Table2[HomeTeam], L$1)</f>
        <v>20</v>
      </c>
      <c r="M153" s="145">
        <f>SUMIFS(Table2[NewPointsAway],Table2[GameDate], "&lt;=" &amp; $A153, Table2[AwayTeam], M$1)+SUMIFS(Table2[NewPointsHome],Table2[GameDate], "&lt;=" &amp; $A153, Table2[HomeTeam], M$1)</f>
        <v>17</v>
      </c>
      <c r="N153" s="145">
        <f>SUMIFS(Table2[NewPointsAway],Table2[GameDate], "&lt;=" &amp; $A153, Table2[AwayTeam], N$1)+SUMIFS(Table2[NewPointsHome],Table2[GameDate], "&lt;=" &amp; $A153, Table2[HomeTeam], N$1)</f>
        <v>20</v>
      </c>
      <c r="O153" s="145">
        <f>SUMIFS(Table2[NewPointsAway],Table2[GameDate], "&lt;=" &amp; $A153, Table2[AwayTeam], O$1)+SUMIFS(Table2[NewPointsHome],Table2[GameDate], "&lt;=" &amp; $A153, Table2[HomeTeam], O$1)</f>
        <v>18</v>
      </c>
      <c r="P153" s="145">
        <f>SUMIFS(Table2[NewPointsAway],Table2[GameDate], "&lt;=" &amp; $A153, Table2[AwayTeam], P$1)+SUMIFS(Table2[NewPointsHome],Table2[GameDate], "&lt;=" &amp; $A153, Table2[HomeTeam], P$1)</f>
        <v>22</v>
      </c>
      <c r="Q153" s="145">
        <f>SUMIFS(Table2[NewPointsAway],Table2[GameDate], "&lt;=" &amp; $A153, Table2[AwayTeam], Q$1)+SUMIFS(Table2[NewPointsHome],Table2[GameDate], "&lt;=" &amp; $A153, Table2[HomeTeam], Q$1)</f>
        <v>23</v>
      </c>
      <c r="R153" s="145">
        <f>SUMIFS(Table2[NewPointsAway],Table2[GameDate], "&lt;=" &amp; $A153, Table2[AwayTeam], R$1)+SUMIFS(Table2[NewPointsHome],Table2[GameDate], "&lt;=" &amp; $A153, Table2[HomeTeam], R$1)</f>
        <v>14</v>
      </c>
      <c r="S153" s="145">
        <f>SUMIFS(Table2[NewPointsAway],Table2[GameDate], "&lt;=" &amp; $A153, Table2[AwayTeam], S$1)+SUMIFS(Table2[NewPointsHome],Table2[GameDate], "&lt;=" &amp; $A153, Table2[HomeTeam], S$1)</f>
        <v>18</v>
      </c>
      <c r="T153" s="145">
        <f>SUMIFS(Table2[NewPointsAway],Table2[GameDate], "&lt;=" &amp; $A153, Table2[AwayTeam], T$1)+SUMIFS(Table2[NewPointsHome],Table2[GameDate], "&lt;=" &amp; $A153, Table2[HomeTeam], T$1)</f>
        <v>20</v>
      </c>
      <c r="U153" s="145">
        <f>SUMIFS(Table2[NewPointsAway],Table2[GameDate], "&lt;=" &amp; $A153, Table2[AwayTeam], U$1)+SUMIFS(Table2[NewPointsHome],Table2[GameDate], "&lt;=" &amp; $A153, Table2[HomeTeam], U$1)</f>
        <v>20</v>
      </c>
      <c r="V153" s="145">
        <f>SUMIFS(Table2[NewPointsAway],Table2[GameDate], "&lt;=" &amp; $A153, Table2[AwayTeam], V$1)+SUMIFS(Table2[NewPointsHome],Table2[GameDate], "&lt;=" &amp; $A153, Table2[HomeTeam], V$1)</f>
        <v>19</v>
      </c>
      <c r="W153" s="145">
        <f>SUMIFS(Table2[NewPointsAway],Table2[GameDate], "&lt;=" &amp; $A153, Table2[AwayTeam], W$1)+SUMIFS(Table2[NewPointsHome],Table2[GameDate], "&lt;=" &amp; $A153, Table2[HomeTeam], W$1)</f>
        <v>21</v>
      </c>
      <c r="X153" s="145">
        <f>SUMIFS(Table2[NewPointsAway],Table2[GameDate], "&lt;=" &amp; $A153, Table2[AwayTeam], X$1)+SUMIFS(Table2[NewPointsHome],Table2[GameDate], "&lt;=" &amp; $A153, Table2[HomeTeam], X$1)</f>
        <v>19</v>
      </c>
      <c r="Y153" s="145">
        <f>SUMIFS(Table2[NewPointsAway],Table2[GameDate], "&lt;=" &amp; $A153, Table2[AwayTeam], Y$1)+SUMIFS(Table2[NewPointsHome],Table2[GameDate], "&lt;=" &amp; $A153, Table2[HomeTeam], Y$1)</f>
        <v>19</v>
      </c>
      <c r="Z153" s="145">
        <f>SUMIFS(Table2[NewPointsAway],Table2[GameDate], "&lt;=" &amp; $A153, Table2[AwayTeam], Z$1)+SUMIFS(Table2[NewPointsHome],Table2[GameDate], "&lt;=" &amp; $A153, Table2[HomeTeam], Z$1)</f>
        <v>15</v>
      </c>
      <c r="AA153" s="145">
        <f>SUMIFS(Table2[NewPointsAway],Table2[GameDate], "&lt;=" &amp; $A153, Table2[AwayTeam], AA$1)+SUMIFS(Table2[NewPointsHome],Table2[GameDate], "&lt;=" &amp; $A153, Table2[HomeTeam], AA$1)</f>
        <v>18</v>
      </c>
      <c r="AB153" s="145">
        <f>SUMIFS(Table2[NewPointsAway],Table2[GameDate], "&lt;=" &amp; $A153, Table2[AwayTeam], AB$1)+SUMIFS(Table2[NewPointsHome],Table2[GameDate], "&lt;=" &amp; $A153, Table2[HomeTeam], AB$1)</f>
        <v>17</v>
      </c>
      <c r="AC153" s="145">
        <f>SUMIFS(Table2[NewPointsAway],Table2[GameDate], "&lt;=" &amp; $A153, Table2[AwayTeam], AC$1)+SUMIFS(Table2[NewPointsHome],Table2[GameDate], "&lt;=" &amp; $A153, Table2[HomeTeam], AC$1)</f>
        <v>18</v>
      </c>
      <c r="AD153" s="145">
        <f>SUMIFS(Table2[NewPointsAway],Table2[GameDate], "&lt;=" &amp; $A153, Table2[AwayTeam], AD$1)+SUMIFS(Table2[NewPointsHome],Table2[GameDate], "&lt;=" &amp; $A153, Table2[HomeTeam], AD$1)</f>
        <v>17</v>
      </c>
      <c r="AE153" s="145">
        <f>SUMIFS(Table2[NewPointsAway],Table2[GameDate], "&lt;=" &amp; $A153, Table2[AwayTeam], AE$1)+SUMIFS(Table2[NewPointsHome],Table2[GameDate], "&lt;=" &amp; $A153, Table2[HomeTeam], AE$1)</f>
        <v>18</v>
      </c>
      <c r="AF153" s="145">
        <f>SUMIFS(Table2[NewPointsAway],Table2[GameDate], "&lt;=" &amp; $A153, Table2[AwayTeam], AF$1)+SUMIFS(Table2[NewPointsHome],Table2[GameDate], "&lt;=" &amp; $A153, Table2[HomeTeam], AF$1)</f>
        <v>20</v>
      </c>
      <c r="AG153" s="145">
        <f>SUMIFS(Table2[NewPointsAway],Table2[GameDate], "&lt;=" &amp; $A153, Table2[AwayTeam], AG$1)+SUMIFS(Table2[NewPointsHome],Table2[GameDate], "&lt;=" &amp; $A153, Table2[HomeTeam], AG$1)</f>
        <v>17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23</v>
      </c>
      <c r="C154" s="145">
        <f>SUMIFS(Table2[NewPointsAway],Table2[GameDate], "&lt;=" &amp; $A154, Table2[AwayTeam], C$1)+SUMIFS(Table2[NewPointsHome],Table2[GameDate], "&lt;=" &amp; $A154, Table2[HomeTeam], C$1)</f>
        <v>22</v>
      </c>
      <c r="D154" s="145">
        <f>SUMIFS(Table2[NewPointsAway],Table2[GameDate], "&lt;=" &amp; $A154, Table2[AwayTeam], D$1)+SUMIFS(Table2[NewPointsHome],Table2[GameDate], "&lt;=" &amp; $A154, Table2[HomeTeam], D$1)</f>
        <v>14</v>
      </c>
      <c r="E154" s="145">
        <f>SUMIFS(Table2[NewPointsAway],Table2[GameDate], "&lt;=" &amp; $A154, Table2[AwayTeam], E$1)+SUMIFS(Table2[NewPointsHome],Table2[GameDate], "&lt;=" &amp; $A154, Table2[HomeTeam], E$1)</f>
        <v>22</v>
      </c>
      <c r="F154" s="145">
        <f>SUMIFS(Table2[NewPointsAway],Table2[GameDate], "&lt;=" &amp; $A154, Table2[AwayTeam], F$1)+SUMIFS(Table2[NewPointsHome],Table2[GameDate], "&lt;=" &amp; $A154, Table2[HomeTeam], F$1)</f>
        <v>17</v>
      </c>
      <c r="G154" s="145">
        <f>SUMIFS(Table2[NewPointsAway],Table2[GameDate], "&lt;=" &amp; $A154, Table2[AwayTeam], G$1)+SUMIFS(Table2[NewPointsHome],Table2[GameDate], "&lt;=" &amp; $A154, Table2[HomeTeam], G$1)</f>
        <v>10</v>
      </c>
      <c r="H154" s="145">
        <f>SUMIFS(Table2[NewPointsAway],Table2[GameDate], "&lt;=" &amp; $A154, Table2[AwayTeam], H$1)+SUMIFS(Table2[NewPointsHome],Table2[GameDate], "&lt;=" &amp; $A154, Table2[HomeTeam], H$1)</f>
        <v>19</v>
      </c>
      <c r="I154" s="145">
        <f>SUMIFS(Table2[NewPointsAway],Table2[GameDate], "&lt;=" &amp; $A154, Table2[AwayTeam], I$1)+SUMIFS(Table2[NewPointsHome],Table2[GameDate], "&lt;=" &amp; $A154, Table2[HomeTeam], I$1)</f>
        <v>27</v>
      </c>
      <c r="J154" s="145">
        <f>SUMIFS(Table2[NewPointsAway],Table2[GameDate], "&lt;=" &amp; $A154, Table2[AwayTeam], J$1)+SUMIFS(Table2[NewPointsHome],Table2[GameDate], "&lt;=" &amp; $A154, Table2[HomeTeam], J$1)</f>
        <v>23</v>
      </c>
      <c r="K154" s="145">
        <f>SUMIFS(Table2[NewPointsAway],Table2[GameDate], "&lt;=" &amp; $A154, Table2[AwayTeam], K$1)+SUMIFS(Table2[NewPointsHome],Table2[GameDate], "&lt;=" &amp; $A154, Table2[HomeTeam], K$1)</f>
        <v>18</v>
      </c>
      <c r="L154" s="145">
        <f>SUMIFS(Table2[NewPointsAway],Table2[GameDate], "&lt;=" &amp; $A154, Table2[AwayTeam], L$1)+SUMIFS(Table2[NewPointsHome],Table2[GameDate], "&lt;=" &amp; $A154, Table2[HomeTeam], L$1)</f>
        <v>20</v>
      </c>
      <c r="M154" s="145">
        <f>SUMIFS(Table2[NewPointsAway],Table2[GameDate], "&lt;=" &amp; $A154, Table2[AwayTeam], M$1)+SUMIFS(Table2[NewPointsHome],Table2[GameDate], "&lt;=" &amp; $A154, Table2[HomeTeam], M$1)</f>
        <v>17</v>
      </c>
      <c r="N154" s="145">
        <f>SUMIFS(Table2[NewPointsAway],Table2[GameDate], "&lt;=" &amp; $A154, Table2[AwayTeam], N$1)+SUMIFS(Table2[NewPointsHome],Table2[GameDate], "&lt;=" &amp; $A154, Table2[HomeTeam], N$1)</f>
        <v>20</v>
      </c>
      <c r="O154" s="145">
        <f>SUMIFS(Table2[NewPointsAway],Table2[GameDate], "&lt;=" &amp; $A154, Table2[AwayTeam], O$1)+SUMIFS(Table2[NewPointsHome],Table2[GameDate], "&lt;=" &amp; $A154, Table2[HomeTeam], O$1)</f>
        <v>18</v>
      </c>
      <c r="P154" s="145">
        <f>SUMIFS(Table2[NewPointsAway],Table2[GameDate], "&lt;=" &amp; $A154, Table2[AwayTeam], P$1)+SUMIFS(Table2[NewPointsHome],Table2[GameDate], "&lt;=" &amp; $A154, Table2[HomeTeam], P$1)</f>
        <v>22</v>
      </c>
      <c r="Q154" s="145">
        <f>SUMIFS(Table2[NewPointsAway],Table2[GameDate], "&lt;=" &amp; $A154, Table2[AwayTeam], Q$1)+SUMIFS(Table2[NewPointsHome],Table2[GameDate], "&lt;=" &amp; $A154, Table2[HomeTeam], Q$1)</f>
        <v>23</v>
      </c>
      <c r="R154" s="145">
        <f>SUMIFS(Table2[NewPointsAway],Table2[GameDate], "&lt;=" &amp; $A154, Table2[AwayTeam], R$1)+SUMIFS(Table2[NewPointsHome],Table2[GameDate], "&lt;=" &amp; $A154, Table2[HomeTeam], R$1)</f>
        <v>14</v>
      </c>
      <c r="S154" s="145">
        <f>SUMIFS(Table2[NewPointsAway],Table2[GameDate], "&lt;=" &amp; $A154, Table2[AwayTeam], S$1)+SUMIFS(Table2[NewPointsHome],Table2[GameDate], "&lt;=" &amp; $A154, Table2[HomeTeam], S$1)</f>
        <v>18</v>
      </c>
      <c r="T154" s="145">
        <f>SUMIFS(Table2[NewPointsAway],Table2[GameDate], "&lt;=" &amp; $A154, Table2[AwayTeam], T$1)+SUMIFS(Table2[NewPointsHome],Table2[GameDate], "&lt;=" &amp; $A154, Table2[HomeTeam], T$1)</f>
        <v>20</v>
      </c>
      <c r="U154" s="145">
        <f>SUMIFS(Table2[NewPointsAway],Table2[GameDate], "&lt;=" &amp; $A154, Table2[AwayTeam], U$1)+SUMIFS(Table2[NewPointsHome],Table2[GameDate], "&lt;=" &amp; $A154, Table2[HomeTeam], U$1)</f>
        <v>20</v>
      </c>
      <c r="V154" s="145">
        <f>SUMIFS(Table2[NewPointsAway],Table2[GameDate], "&lt;=" &amp; $A154, Table2[AwayTeam], V$1)+SUMIFS(Table2[NewPointsHome],Table2[GameDate], "&lt;=" &amp; $A154, Table2[HomeTeam], V$1)</f>
        <v>19</v>
      </c>
      <c r="W154" s="145">
        <f>SUMIFS(Table2[NewPointsAway],Table2[GameDate], "&lt;=" &amp; $A154, Table2[AwayTeam], W$1)+SUMIFS(Table2[NewPointsHome],Table2[GameDate], "&lt;=" &amp; $A154, Table2[HomeTeam], W$1)</f>
        <v>21</v>
      </c>
      <c r="X154" s="145">
        <f>SUMIFS(Table2[NewPointsAway],Table2[GameDate], "&lt;=" &amp; $A154, Table2[AwayTeam], X$1)+SUMIFS(Table2[NewPointsHome],Table2[GameDate], "&lt;=" &amp; $A154, Table2[HomeTeam], X$1)</f>
        <v>19</v>
      </c>
      <c r="Y154" s="145">
        <f>SUMIFS(Table2[NewPointsAway],Table2[GameDate], "&lt;=" &amp; $A154, Table2[AwayTeam], Y$1)+SUMIFS(Table2[NewPointsHome],Table2[GameDate], "&lt;=" &amp; $A154, Table2[HomeTeam], Y$1)</f>
        <v>19</v>
      </c>
      <c r="Z154" s="145">
        <f>SUMIFS(Table2[NewPointsAway],Table2[GameDate], "&lt;=" &amp; $A154, Table2[AwayTeam], Z$1)+SUMIFS(Table2[NewPointsHome],Table2[GameDate], "&lt;=" &amp; $A154, Table2[HomeTeam], Z$1)</f>
        <v>15</v>
      </c>
      <c r="AA154" s="145">
        <f>SUMIFS(Table2[NewPointsAway],Table2[GameDate], "&lt;=" &amp; $A154, Table2[AwayTeam], AA$1)+SUMIFS(Table2[NewPointsHome],Table2[GameDate], "&lt;=" &amp; $A154, Table2[HomeTeam], AA$1)</f>
        <v>18</v>
      </c>
      <c r="AB154" s="145">
        <f>SUMIFS(Table2[NewPointsAway],Table2[GameDate], "&lt;=" &amp; $A154, Table2[AwayTeam], AB$1)+SUMIFS(Table2[NewPointsHome],Table2[GameDate], "&lt;=" &amp; $A154, Table2[HomeTeam], AB$1)</f>
        <v>17</v>
      </c>
      <c r="AC154" s="145">
        <f>SUMIFS(Table2[NewPointsAway],Table2[GameDate], "&lt;=" &amp; $A154, Table2[AwayTeam], AC$1)+SUMIFS(Table2[NewPointsHome],Table2[GameDate], "&lt;=" &amp; $A154, Table2[HomeTeam], AC$1)</f>
        <v>18</v>
      </c>
      <c r="AD154" s="145">
        <f>SUMIFS(Table2[NewPointsAway],Table2[GameDate], "&lt;=" &amp; $A154, Table2[AwayTeam], AD$1)+SUMIFS(Table2[NewPointsHome],Table2[GameDate], "&lt;=" &amp; $A154, Table2[HomeTeam], AD$1)</f>
        <v>17</v>
      </c>
      <c r="AE154" s="145">
        <f>SUMIFS(Table2[NewPointsAway],Table2[GameDate], "&lt;=" &amp; $A154, Table2[AwayTeam], AE$1)+SUMIFS(Table2[NewPointsHome],Table2[GameDate], "&lt;=" &amp; $A154, Table2[HomeTeam], AE$1)</f>
        <v>18</v>
      </c>
      <c r="AF154" s="145">
        <f>SUMIFS(Table2[NewPointsAway],Table2[GameDate], "&lt;=" &amp; $A154, Table2[AwayTeam], AF$1)+SUMIFS(Table2[NewPointsHome],Table2[GameDate], "&lt;=" &amp; $A154, Table2[HomeTeam], AF$1)</f>
        <v>20</v>
      </c>
      <c r="AG154" s="145">
        <f>SUMIFS(Table2[NewPointsAway],Table2[GameDate], "&lt;=" &amp; $A154, Table2[AwayTeam], AG$1)+SUMIFS(Table2[NewPointsHome],Table2[GameDate], "&lt;=" &amp; $A154, Table2[HomeTeam], AG$1)</f>
        <v>17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23</v>
      </c>
      <c r="C155" s="145">
        <f>SUMIFS(Table2[NewPointsAway],Table2[GameDate], "&lt;=" &amp; $A155, Table2[AwayTeam], C$1)+SUMIFS(Table2[NewPointsHome],Table2[GameDate], "&lt;=" &amp; $A155, Table2[HomeTeam], C$1)</f>
        <v>22</v>
      </c>
      <c r="D155" s="145">
        <f>SUMIFS(Table2[NewPointsAway],Table2[GameDate], "&lt;=" &amp; $A155, Table2[AwayTeam], D$1)+SUMIFS(Table2[NewPointsHome],Table2[GameDate], "&lt;=" &amp; $A155, Table2[HomeTeam], D$1)</f>
        <v>14</v>
      </c>
      <c r="E155" s="145">
        <f>SUMIFS(Table2[NewPointsAway],Table2[GameDate], "&lt;=" &amp; $A155, Table2[AwayTeam], E$1)+SUMIFS(Table2[NewPointsHome],Table2[GameDate], "&lt;=" &amp; $A155, Table2[HomeTeam], E$1)</f>
        <v>22</v>
      </c>
      <c r="F155" s="145">
        <f>SUMIFS(Table2[NewPointsAway],Table2[GameDate], "&lt;=" &amp; $A155, Table2[AwayTeam], F$1)+SUMIFS(Table2[NewPointsHome],Table2[GameDate], "&lt;=" &amp; $A155, Table2[HomeTeam], F$1)</f>
        <v>17</v>
      </c>
      <c r="G155" s="145">
        <f>SUMIFS(Table2[NewPointsAway],Table2[GameDate], "&lt;=" &amp; $A155, Table2[AwayTeam], G$1)+SUMIFS(Table2[NewPointsHome],Table2[GameDate], "&lt;=" &amp; $A155, Table2[HomeTeam], G$1)</f>
        <v>10</v>
      </c>
      <c r="H155" s="145">
        <f>SUMIFS(Table2[NewPointsAway],Table2[GameDate], "&lt;=" &amp; $A155, Table2[AwayTeam], H$1)+SUMIFS(Table2[NewPointsHome],Table2[GameDate], "&lt;=" &amp; $A155, Table2[HomeTeam], H$1)</f>
        <v>19</v>
      </c>
      <c r="I155" s="145">
        <f>SUMIFS(Table2[NewPointsAway],Table2[GameDate], "&lt;=" &amp; $A155, Table2[AwayTeam], I$1)+SUMIFS(Table2[NewPointsHome],Table2[GameDate], "&lt;=" &amp; $A155, Table2[HomeTeam], I$1)</f>
        <v>27</v>
      </c>
      <c r="J155" s="145">
        <f>SUMIFS(Table2[NewPointsAway],Table2[GameDate], "&lt;=" &amp; $A155, Table2[AwayTeam], J$1)+SUMIFS(Table2[NewPointsHome],Table2[GameDate], "&lt;=" &amp; $A155, Table2[HomeTeam], J$1)</f>
        <v>23</v>
      </c>
      <c r="K155" s="145">
        <f>SUMIFS(Table2[NewPointsAway],Table2[GameDate], "&lt;=" &amp; $A155, Table2[AwayTeam], K$1)+SUMIFS(Table2[NewPointsHome],Table2[GameDate], "&lt;=" &amp; $A155, Table2[HomeTeam], K$1)</f>
        <v>18</v>
      </c>
      <c r="L155" s="145">
        <f>SUMIFS(Table2[NewPointsAway],Table2[GameDate], "&lt;=" &amp; $A155, Table2[AwayTeam], L$1)+SUMIFS(Table2[NewPointsHome],Table2[GameDate], "&lt;=" &amp; $A155, Table2[HomeTeam], L$1)</f>
        <v>20</v>
      </c>
      <c r="M155" s="145">
        <f>SUMIFS(Table2[NewPointsAway],Table2[GameDate], "&lt;=" &amp; $A155, Table2[AwayTeam], M$1)+SUMIFS(Table2[NewPointsHome],Table2[GameDate], "&lt;=" &amp; $A155, Table2[HomeTeam], M$1)</f>
        <v>17</v>
      </c>
      <c r="N155" s="145">
        <f>SUMIFS(Table2[NewPointsAway],Table2[GameDate], "&lt;=" &amp; $A155, Table2[AwayTeam], N$1)+SUMIFS(Table2[NewPointsHome],Table2[GameDate], "&lt;=" &amp; $A155, Table2[HomeTeam], N$1)</f>
        <v>20</v>
      </c>
      <c r="O155" s="145">
        <f>SUMIFS(Table2[NewPointsAway],Table2[GameDate], "&lt;=" &amp; $A155, Table2[AwayTeam], O$1)+SUMIFS(Table2[NewPointsHome],Table2[GameDate], "&lt;=" &amp; $A155, Table2[HomeTeam], O$1)</f>
        <v>18</v>
      </c>
      <c r="P155" s="145">
        <f>SUMIFS(Table2[NewPointsAway],Table2[GameDate], "&lt;=" &amp; $A155, Table2[AwayTeam], P$1)+SUMIFS(Table2[NewPointsHome],Table2[GameDate], "&lt;=" &amp; $A155, Table2[HomeTeam], P$1)</f>
        <v>22</v>
      </c>
      <c r="Q155" s="145">
        <f>SUMIFS(Table2[NewPointsAway],Table2[GameDate], "&lt;=" &amp; $A155, Table2[AwayTeam], Q$1)+SUMIFS(Table2[NewPointsHome],Table2[GameDate], "&lt;=" &amp; $A155, Table2[HomeTeam], Q$1)</f>
        <v>23</v>
      </c>
      <c r="R155" s="145">
        <f>SUMIFS(Table2[NewPointsAway],Table2[GameDate], "&lt;=" &amp; $A155, Table2[AwayTeam], R$1)+SUMIFS(Table2[NewPointsHome],Table2[GameDate], "&lt;=" &amp; $A155, Table2[HomeTeam], R$1)</f>
        <v>14</v>
      </c>
      <c r="S155" s="145">
        <f>SUMIFS(Table2[NewPointsAway],Table2[GameDate], "&lt;=" &amp; $A155, Table2[AwayTeam], S$1)+SUMIFS(Table2[NewPointsHome],Table2[GameDate], "&lt;=" &amp; $A155, Table2[HomeTeam], S$1)</f>
        <v>18</v>
      </c>
      <c r="T155" s="145">
        <f>SUMIFS(Table2[NewPointsAway],Table2[GameDate], "&lt;=" &amp; $A155, Table2[AwayTeam], T$1)+SUMIFS(Table2[NewPointsHome],Table2[GameDate], "&lt;=" &amp; $A155, Table2[HomeTeam], T$1)</f>
        <v>20</v>
      </c>
      <c r="U155" s="145">
        <f>SUMIFS(Table2[NewPointsAway],Table2[GameDate], "&lt;=" &amp; $A155, Table2[AwayTeam], U$1)+SUMIFS(Table2[NewPointsHome],Table2[GameDate], "&lt;=" &amp; $A155, Table2[HomeTeam], U$1)</f>
        <v>20</v>
      </c>
      <c r="V155" s="145">
        <f>SUMIFS(Table2[NewPointsAway],Table2[GameDate], "&lt;=" &amp; $A155, Table2[AwayTeam], V$1)+SUMIFS(Table2[NewPointsHome],Table2[GameDate], "&lt;=" &amp; $A155, Table2[HomeTeam], V$1)</f>
        <v>19</v>
      </c>
      <c r="W155" s="145">
        <f>SUMIFS(Table2[NewPointsAway],Table2[GameDate], "&lt;=" &amp; $A155, Table2[AwayTeam], W$1)+SUMIFS(Table2[NewPointsHome],Table2[GameDate], "&lt;=" &amp; $A155, Table2[HomeTeam], W$1)</f>
        <v>21</v>
      </c>
      <c r="X155" s="145">
        <f>SUMIFS(Table2[NewPointsAway],Table2[GameDate], "&lt;=" &amp; $A155, Table2[AwayTeam], X$1)+SUMIFS(Table2[NewPointsHome],Table2[GameDate], "&lt;=" &amp; $A155, Table2[HomeTeam], X$1)</f>
        <v>19</v>
      </c>
      <c r="Y155" s="145">
        <f>SUMIFS(Table2[NewPointsAway],Table2[GameDate], "&lt;=" &amp; $A155, Table2[AwayTeam], Y$1)+SUMIFS(Table2[NewPointsHome],Table2[GameDate], "&lt;=" &amp; $A155, Table2[HomeTeam], Y$1)</f>
        <v>19</v>
      </c>
      <c r="Z155" s="145">
        <f>SUMIFS(Table2[NewPointsAway],Table2[GameDate], "&lt;=" &amp; $A155, Table2[AwayTeam], Z$1)+SUMIFS(Table2[NewPointsHome],Table2[GameDate], "&lt;=" &amp; $A155, Table2[HomeTeam], Z$1)</f>
        <v>15</v>
      </c>
      <c r="AA155" s="145">
        <f>SUMIFS(Table2[NewPointsAway],Table2[GameDate], "&lt;=" &amp; $A155, Table2[AwayTeam], AA$1)+SUMIFS(Table2[NewPointsHome],Table2[GameDate], "&lt;=" &amp; $A155, Table2[HomeTeam], AA$1)</f>
        <v>18</v>
      </c>
      <c r="AB155" s="145">
        <f>SUMIFS(Table2[NewPointsAway],Table2[GameDate], "&lt;=" &amp; $A155, Table2[AwayTeam], AB$1)+SUMIFS(Table2[NewPointsHome],Table2[GameDate], "&lt;=" &amp; $A155, Table2[HomeTeam], AB$1)</f>
        <v>17</v>
      </c>
      <c r="AC155" s="145">
        <f>SUMIFS(Table2[NewPointsAway],Table2[GameDate], "&lt;=" &amp; $A155, Table2[AwayTeam], AC$1)+SUMIFS(Table2[NewPointsHome],Table2[GameDate], "&lt;=" &amp; $A155, Table2[HomeTeam], AC$1)</f>
        <v>18</v>
      </c>
      <c r="AD155" s="145">
        <f>SUMIFS(Table2[NewPointsAway],Table2[GameDate], "&lt;=" &amp; $A155, Table2[AwayTeam], AD$1)+SUMIFS(Table2[NewPointsHome],Table2[GameDate], "&lt;=" &amp; $A155, Table2[HomeTeam], AD$1)</f>
        <v>17</v>
      </c>
      <c r="AE155" s="145">
        <f>SUMIFS(Table2[NewPointsAway],Table2[GameDate], "&lt;=" &amp; $A155, Table2[AwayTeam], AE$1)+SUMIFS(Table2[NewPointsHome],Table2[GameDate], "&lt;=" &amp; $A155, Table2[HomeTeam], AE$1)</f>
        <v>18</v>
      </c>
      <c r="AF155" s="145">
        <f>SUMIFS(Table2[NewPointsAway],Table2[GameDate], "&lt;=" &amp; $A155, Table2[AwayTeam], AF$1)+SUMIFS(Table2[NewPointsHome],Table2[GameDate], "&lt;=" &amp; $A155, Table2[HomeTeam], AF$1)</f>
        <v>20</v>
      </c>
      <c r="AG155" s="145">
        <f>SUMIFS(Table2[NewPointsAway],Table2[GameDate], "&lt;=" &amp; $A155, Table2[AwayTeam], AG$1)+SUMIFS(Table2[NewPointsHome],Table2[GameDate], "&lt;=" &amp; $A155, Table2[HomeTeam], AG$1)</f>
        <v>17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23</v>
      </c>
      <c r="C156" s="145">
        <f>SUMIFS(Table2[NewPointsAway],Table2[GameDate], "&lt;=" &amp; $A156, Table2[AwayTeam], C$1)+SUMIFS(Table2[NewPointsHome],Table2[GameDate], "&lt;=" &amp; $A156, Table2[HomeTeam], C$1)</f>
        <v>22</v>
      </c>
      <c r="D156" s="145">
        <f>SUMIFS(Table2[NewPointsAway],Table2[GameDate], "&lt;=" &amp; $A156, Table2[AwayTeam], D$1)+SUMIFS(Table2[NewPointsHome],Table2[GameDate], "&lt;=" &amp; $A156, Table2[HomeTeam], D$1)</f>
        <v>14</v>
      </c>
      <c r="E156" s="145">
        <f>SUMIFS(Table2[NewPointsAway],Table2[GameDate], "&lt;=" &amp; $A156, Table2[AwayTeam], E$1)+SUMIFS(Table2[NewPointsHome],Table2[GameDate], "&lt;=" &amp; $A156, Table2[HomeTeam], E$1)</f>
        <v>22</v>
      </c>
      <c r="F156" s="145">
        <f>SUMIFS(Table2[NewPointsAway],Table2[GameDate], "&lt;=" &amp; $A156, Table2[AwayTeam], F$1)+SUMIFS(Table2[NewPointsHome],Table2[GameDate], "&lt;=" &amp; $A156, Table2[HomeTeam], F$1)</f>
        <v>17</v>
      </c>
      <c r="G156" s="145">
        <f>SUMIFS(Table2[NewPointsAway],Table2[GameDate], "&lt;=" &amp; $A156, Table2[AwayTeam], G$1)+SUMIFS(Table2[NewPointsHome],Table2[GameDate], "&lt;=" &amp; $A156, Table2[HomeTeam], G$1)</f>
        <v>10</v>
      </c>
      <c r="H156" s="145">
        <f>SUMIFS(Table2[NewPointsAway],Table2[GameDate], "&lt;=" &amp; $A156, Table2[AwayTeam], H$1)+SUMIFS(Table2[NewPointsHome],Table2[GameDate], "&lt;=" &amp; $A156, Table2[HomeTeam], H$1)</f>
        <v>19</v>
      </c>
      <c r="I156" s="145">
        <f>SUMIFS(Table2[NewPointsAway],Table2[GameDate], "&lt;=" &amp; $A156, Table2[AwayTeam], I$1)+SUMIFS(Table2[NewPointsHome],Table2[GameDate], "&lt;=" &amp; $A156, Table2[HomeTeam], I$1)</f>
        <v>27</v>
      </c>
      <c r="J156" s="145">
        <f>SUMIFS(Table2[NewPointsAway],Table2[GameDate], "&lt;=" &amp; $A156, Table2[AwayTeam], J$1)+SUMIFS(Table2[NewPointsHome],Table2[GameDate], "&lt;=" &amp; $A156, Table2[HomeTeam], J$1)</f>
        <v>23</v>
      </c>
      <c r="K156" s="145">
        <f>SUMIFS(Table2[NewPointsAway],Table2[GameDate], "&lt;=" &amp; $A156, Table2[AwayTeam], K$1)+SUMIFS(Table2[NewPointsHome],Table2[GameDate], "&lt;=" &amp; $A156, Table2[HomeTeam], K$1)</f>
        <v>18</v>
      </c>
      <c r="L156" s="145">
        <f>SUMIFS(Table2[NewPointsAway],Table2[GameDate], "&lt;=" &amp; $A156, Table2[AwayTeam], L$1)+SUMIFS(Table2[NewPointsHome],Table2[GameDate], "&lt;=" &amp; $A156, Table2[HomeTeam], L$1)</f>
        <v>20</v>
      </c>
      <c r="M156" s="145">
        <f>SUMIFS(Table2[NewPointsAway],Table2[GameDate], "&lt;=" &amp; $A156, Table2[AwayTeam], M$1)+SUMIFS(Table2[NewPointsHome],Table2[GameDate], "&lt;=" &amp; $A156, Table2[HomeTeam], M$1)</f>
        <v>17</v>
      </c>
      <c r="N156" s="145">
        <f>SUMIFS(Table2[NewPointsAway],Table2[GameDate], "&lt;=" &amp; $A156, Table2[AwayTeam], N$1)+SUMIFS(Table2[NewPointsHome],Table2[GameDate], "&lt;=" &amp; $A156, Table2[HomeTeam], N$1)</f>
        <v>20</v>
      </c>
      <c r="O156" s="145">
        <f>SUMIFS(Table2[NewPointsAway],Table2[GameDate], "&lt;=" &amp; $A156, Table2[AwayTeam], O$1)+SUMIFS(Table2[NewPointsHome],Table2[GameDate], "&lt;=" &amp; $A156, Table2[HomeTeam], O$1)</f>
        <v>18</v>
      </c>
      <c r="P156" s="145">
        <f>SUMIFS(Table2[NewPointsAway],Table2[GameDate], "&lt;=" &amp; $A156, Table2[AwayTeam], P$1)+SUMIFS(Table2[NewPointsHome],Table2[GameDate], "&lt;=" &amp; $A156, Table2[HomeTeam], P$1)</f>
        <v>22</v>
      </c>
      <c r="Q156" s="145">
        <f>SUMIFS(Table2[NewPointsAway],Table2[GameDate], "&lt;=" &amp; $A156, Table2[AwayTeam], Q$1)+SUMIFS(Table2[NewPointsHome],Table2[GameDate], "&lt;=" &amp; $A156, Table2[HomeTeam], Q$1)</f>
        <v>23</v>
      </c>
      <c r="R156" s="145">
        <f>SUMIFS(Table2[NewPointsAway],Table2[GameDate], "&lt;=" &amp; $A156, Table2[AwayTeam], R$1)+SUMIFS(Table2[NewPointsHome],Table2[GameDate], "&lt;=" &amp; $A156, Table2[HomeTeam], R$1)</f>
        <v>14</v>
      </c>
      <c r="S156" s="145">
        <f>SUMIFS(Table2[NewPointsAway],Table2[GameDate], "&lt;=" &amp; $A156, Table2[AwayTeam], S$1)+SUMIFS(Table2[NewPointsHome],Table2[GameDate], "&lt;=" &amp; $A156, Table2[HomeTeam], S$1)</f>
        <v>18</v>
      </c>
      <c r="T156" s="145">
        <f>SUMIFS(Table2[NewPointsAway],Table2[GameDate], "&lt;=" &amp; $A156, Table2[AwayTeam], T$1)+SUMIFS(Table2[NewPointsHome],Table2[GameDate], "&lt;=" &amp; $A156, Table2[HomeTeam], T$1)</f>
        <v>20</v>
      </c>
      <c r="U156" s="145">
        <f>SUMIFS(Table2[NewPointsAway],Table2[GameDate], "&lt;=" &amp; $A156, Table2[AwayTeam], U$1)+SUMIFS(Table2[NewPointsHome],Table2[GameDate], "&lt;=" &amp; $A156, Table2[HomeTeam], U$1)</f>
        <v>20</v>
      </c>
      <c r="V156" s="145">
        <f>SUMIFS(Table2[NewPointsAway],Table2[GameDate], "&lt;=" &amp; $A156, Table2[AwayTeam], V$1)+SUMIFS(Table2[NewPointsHome],Table2[GameDate], "&lt;=" &amp; $A156, Table2[HomeTeam], V$1)</f>
        <v>19</v>
      </c>
      <c r="W156" s="145">
        <f>SUMIFS(Table2[NewPointsAway],Table2[GameDate], "&lt;=" &amp; $A156, Table2[AwayTeam], W$1)+SUMIFS(Table2[NewPointsHome],Table2[GameDate], "&lt;=" &amp; $A156, Table2[HomeTeam], W$1)</f>
        <v>21</v>
      </c>
      <c r="X156" s="145">
        <f>SUMIFS(Table2[NewPointsAway],Table2[GameDate], "&lt;=" &amp; $A156, Table2[AwayTeam], X$1)+SUMIFS(Table2[NewPointsHome],Table2[GameDate], "&lt;=" &amp; $A156, Table2[HomeTeam], X$1)</f>
        <v>19</v>
      </c>
      <c r="Y156" s="145">
        <f>SUMIFS(Table2[NewPointsAway],Table2[GameDate], "&lt;=" &amp; $A156, Table2[AwayTeam], Y$1)+SUMIFS(Table2[NewPointsHome],Table2[GameDate], "&lt;=" &amp; $A156, Table2[HomeTeam], Y$1)</f>
        <v>19</v>
      </c>
      <c r="Z156" s="145">
        <f>SUMIFS(Table2[NewPointsAway],Table2[GameDate], "&lt;=" &amp; $A156, Table2[AwayTeam], Z$1)+SUMIFS(Table2[NewPointsHome],Table2[GameDate], "&lt;=" &amp; $A156, Table2[HomeTeam], Z$1)</f>
        <v>15</v>
      </c>
      <c r="AA156" s="145">
        <f>SUMIFS(Table2[NewPointsAway],Table2[GameDate], "&lt;=" &amp; $A156, Table2[AwayTeam], AA$1)+SUMIFS(Table2[NewPointsHome],Table2[GameDate], "&lt;=" &amp; $A156, Table2[HomeTeam], AA$1)</f>
        <v>18</v>
      </c>
      <c r="AB156" s="145">
        <f>SUMIFS(Table2[NewPointsAway],Table2[GameDate], "&lt;=" &amp; $A156, Table2[AwayTeam], AB$1)+SUMIFS(Table2[NewPointsHome],Table2[GameDate], "&lt;=" &amp; $A156, Table2[HomeTeam], AB$1)</f>
        <v>17</v>
      </c>
      <c r="AC156" s="145">
        <f>SUMIFS(Table2[NewPointsAway],Table2[GameDate], "&lt;=" &amp; $A156, Table2[AwayTeam], AC$1)+SUMIFS(Table2[NewPointsHome],Table2[GameDate], "&lt;=" &amp; $A156, Table2[HomeTeam], AC$1)</f>
        <v>18</v>
      </c>
      <c r="AD156" s="145">
        <f>SUMIFS(Table2[NewPointsAway],Table2[GameDate], "&lt;=" &amp; $A156, Table2[AwayTeam], AD$1)+SUMIFS(Table2[NewPointsHome],Table2[GameDate], "&lt;=" &amp; $A156, Table2[HomeTeam], AD$1)</f>
        <v>17</v>
      </c>
      <c r="AE156" s="145">
        <f>SUMIFS(Table2[NewPointsAway],Table2[GameDate], "&lt;=" &amp; $A156, Table2[AwayTeam], AE$1)+SUMIFS(Table2[NewPointsHome],Table2[GameDate], "&lt;=" &amp; $A156, Table2[HomeTeam], AE$1)</f>
        <v>18</v>
      </c>
      <c r="AF156" s="145">
        <f>SUMIFS(Table2[NewPointsAway],Table2[GameDate], "&lt;=" &amp; $A156, Table2[AwayTeam], AF$1)+SUMIFS(Table2[NewPointsHome],Table2[GameDate], "&lt;=" &amp; $A156, Table2[HomeTeam], AF$1)</f>
        <v>20</v>
      </c>
      <c r="AG156" s="145">
        <f>SUMIFS(Table2[NewPointsAway],Table2[GameDate], "&lt;=" &amp; $A156, Table2[AwayTeam], AG$1)+SUMIFS(Table2[NewPointsHome],Table2[GameDate], "&lt;=" &amp; $A156, Table2[HomeTeam], AG$1)</f>
        <v>17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23</v>
      </c>
      <c r="C157" s="145">
        <f>SUMIFS(Table2[NewPointsAway],Table2[GameDate], "&lt;=" &amp; $A157, Table2[AwayTeam], C$1)+SUMIFS(Table2[NewPointsHome],Table2[GameDate], "&lt;=" &amp; $A157, Table2[HomeTeam], C$1)</f>
        <v>22</v>
      </c>
      <c r="D157" s="145">
        <f>SUMIFS(Table2[NewPointsAway],Table2[GameDate], "&lt;=" &amp; $A157, Table2[AwayTeam], D$1)+SUMIFS(Table2[NewPointsHome],Table2[GameDate], "&lt;=" &amp; $A157, Table2[HomeTeam], D$1)</f>
        <v>14</v>
      </c>
      <c r="E157" s="145">
        <f>SUMIFS(Table2[NewPointsAway],Table2[GameDate], "&lt;=" &amp; $A157, Table2[AwayTeam], E$1)+SUMIFS(Table2[NewPointsHome],Table2[GameDate], "&lt;=" &amp; $A157, Table2[HomeTeam], E$1)</f>
        <v>22</v>
      </c>
      <c r="F157" s="145">
        <f>SUMIFS(Table2[NewPointsAway],Table2[GameDate], "&lt;=" &amp; $A157, Table2[AwayTeam], F$1)+SUMIFS(Table2[NewPointsHome],Table2[GameDate], "&lt;=" &amp; $A157, Table2[HomeTeam], F$1)</f>
        <v>17</v>
      </c>
      <c r="G157" s="145">
        <f>SUMIFS(Table2[NewPointsAway],Table2[GameDate], "&lt;=" &amp; $A157, Table2[AwayTeam], G$1)+SUMIFS(Table2[NewPointsHome],Table2[GameDate], "&lt;=" &amp; $A157, Table2[HomeTeam], G$1)</f>
        <v>10</v>
      </c>
      <c r="H157" s="145">
        <f>SUMIFS(Table2[NewPointsAway],Table2[GameDate], "&lt;=" &amp; $A157, Table2[AwayTeam], H$1)+SUMIFS(Table2[NewPointsHome],Table2[GameDate], "&lt;=" &amp; $A157, Table2[HomeTeam], H$1)</f>
        <v>19</v>
      </c>
      <c r="I157" s="145">
        <f>SUMIFS(Table2[NewPointsAway],Table2[GameDate], "&lt;=" &amp; $A157, Table2[AwayTeam], I$1)+SUMIFS(Table2[NewPointsHome],Table2[GameDate], "&lt;=" &amp; $A157, Table2[HomeTeam], I$1)</f>
        <v>27</v>
      </c>
      <c r="J157" s="145">
        <f>SUMIFS(Table2[NewPointsAway],Table2[GameDate], "&lt;=" &amp; $A157, Table2[AwayTeam], J$1)+SUMIFS(Table2[NewPointsHome],Table2[GameDate], "&lt;=" &amp; $A157, Table2[HomeTeam], J$1)</f>
        <v>23</v>
      </c>
      <c r="K157" s="145">
        <f>SUMIFS(Table2[NewPointsAway],Table2[GameDate], "&lt;=" &amp; $A157, Table2[AwayTeam], K$1)+SUMIFS(Table2[NewPointsHome],Table2[GameDate], "&lt;=" &amp; $A157, Table2[HomeTeam], K$1)</f>
        <v>18</v>
      </c>
      <c r="L157" s="145">
        <f>SUMIFS(Table2[NewPointsAway],Table2[GameDate], "&lt;=" &amp; $A157, Table2[AwayTeam], L$1)+SUMIFS(Table2[NewPointsHome],Table2[GameDate], "&lt;=" &amp; $A157, Table2[HomeTeam], L$1)</f>
        <v>20</v>
      </c>
      <c r="M157" s="145">
        <f>SUMIFS(Table2[NewPointsAway],Table2[GameDate], "&lt;=" &amp; $A157, Table2[AwayTeam], M$1)+SUMIFS(Table2[NewPointsHome],Table2[GameDate], "&lt;=" &amp; $A157, Table2[HomeTeam], M$1)</f>
        <v>17</v>
      </c>
      <c r="N157" s="145">
        <f>SUMIFS(Table2[NewPointsAway],Table2[GameDate], "&lt;=" &amp; $A157, Table2[AwayTeam], N$1)+SUMIFS(Table2[NewPointsHome],Table2[GameDate], "&lt;=" &amp; $A157, Table2[HomeTeam], N$1)</f>
        <v>20</v>
      </c>
      <c r="O157" s="145">
        <f>SUMIFS(Table2[NewPointsAway],Table2[GameDate], "&lt;=" &amp; $A157, Table2[AwayTeam], O$1)+SUMIFS(Table2[NewPointsHome],Table2[GameDate], "&lt;=" &amp; $A157, Table2[HomeTeam], O$1)</f>
        <v>18</v>
      </c>
      <c r="P157" s="145">
        <f>SUMIFS(Table2[NewPointsAway],Table2[GameDate], "&lt;=" &amp; $A157, Table2[AwayTeam], P$1)+SUMIFS(Table2[NewPointsHome],Table2[GameDate], "&lt;=" &amp; $A157, Table2[HomeTeam], P$1)</f>
        <v>22</v>
      </c>
      <c r="Q157" s="145">
        <f>SUMIFS(Table2[NewPointsAway],Table2[GameDate], "&lt;=" &amp; $A157, Table2[AwayTeam], Q$1)+SUMIFS(Table2[NewPointsHome],Table2[GameDate], "&lt;=" &amp; $A157, Table2[HomeTeam], Q$1)</f>
        <v>23</v>
      </c>
      <c r="R157" s="145">
        <f>SUMIFS(Table2[NewPointsAway],Table2[GameDate], "&lt;=" &amp; $A157, Table2[AwayTeam], R$1)+SUMIFS(Table2[NewPointsHome],Table2[GameDate], "&lt;=" &amp; $A157, Table2[HomeTeam], R$1)</f>
        <v>14</v>
      </c>
      <c r="S157" s="145">
        <f>SUMIFS(Table2[NewPointsAway],Table2[GameDate], "&lt;=" &amp; $A157, Table2[AwayTeam], S$1)+SUMIFS(Table2[NewPointsHome],Table2[GameDate], "&lt;=" &amp; $A157, Table2[HomeTeam], S$1)</f>
        <v>18</v>
      </c>
      <c r="T157" s="145">
        <f>SUMIFS(Table2[NewPointsAway],Table2[GameDate], "&lt;=" &amp; $A157, Table2[AwayTeam], T$1)+SUMIFS(Table2[NewPointsHome],Table2[GameDate], "&lt;=" &amp; $A157, Table2[HomeTeam], T$1)</f>
        <v>20</v>
      </c>
      <c r="U157" s="145">
        <f>SUMIFS(Table2[NewPointsAway],Table2[GameDate], "&lt;=" &amp; $A157, Table2[AwayTeam], U$1)+SUMIFS(Table2[NewPointsHome],Table2[GameDate], "&lt;=" &amp; $A157, Table2[HomeTeam], U$1)</f>
        <v>20</v>
      </c>
      <c r="V157" s="145">
        <f>SUMIFS(Table2[NewPointsAway],Table2[GameDate], "&lt;=" &amp; $A157, Table2[AwayTeam], V$1)+SUMIFS(Table2[NewPointsHome],Table2[GameDate], "&lt;=" &amp; $A157, Table2[HomeTeam], V$1)</f>
        <v>19</v>
      </c>
      <c r="W157" s="145">
        <f>SUMIFS(Table2[NewPointsAway],Table2[GameDate], "&lt;=" &amp; $A157, Table2[AwayTeam], W$1)+SUMIFS(Table2[NewPointsHome],Table2[GameDate], "&lt;=" &amp; $A157, Table2[HomeTeam], W$1)</f>
        <v>21</v>
      </c>
      <c r="X157" s="145">
        <f>SUMIFS(Table2[NewPointsAway],Table2[GameDate], "&lt;=" &amp; $A157, Table2[AwayTeam], X$1)+SUMIFS(Table2[NewPointsHome],Table2[GameDate], "&lt;=" &amp; $A157, Table2[HomeTeam], X$1)</f>
        <v>19</v>
      </c>
      <c r="Y157" s="145">
        <f>SUMIFS(Table2[NewPointsAway],Table2[GameDate], "&lt;=" &amp; $A157, Table2[AwayTeam], Y$1)+SUMIFS(Table2[NewPointsHome],Table2[GameDate], "&lt;=" &amp; $A157, Table2[HomeTeam], Y$1)</f>
        <v>19</v>
      </c>
      <c r="Z157" s="145">
        <f>SUMIFS(Table2[NewPointsAway],Table2[GameDate], "&lt;=" &amp; $A157, Table2[AwayTeam], Z$1)+SUMIFS(Table2[NewPointsHome],Table2[GameDate], "&lt;=" &amp; $A157, Table2[HomeTeam], Z$1)</f>
        <v>15</v>
      </c>
      <c r="AA157" s="145">
        <f>SUMIFS(Table2[NewPointsAway],Table2[GameDate], "&lt;=" &amp; $A157, Table2[AwayTeam], AA$1)+SUMIFS(Table2[NewPointsHome],Table2[GameDate], "&lt;=" &amp; $A157, Table2[HomeTeam], AA$1)</f>
        <v>18</v>
      </c>
      <c r="AB157" s="145">
        <f>SUMIFS(Table2[NewPointsAway],Table2[GameDate], "&lt;=" &amp; $A157, Table2[AwayTeam], AB$1)+SUMIFS(Table2[NewPointsHome],Table2[GameDate], "&lt;=" &amp; $A157, Table2[HomeTeam], AB$1)</f>
        <v>17</v>
      </c>
      <c r="AC157" s="145">
        <f>SUMIFS(Table2[NewPointsAway],Table2[GameDate], "&lt;=" &amp; $A157, Table2[AwayTeam], AC$1)+SUMIFS(Table2[NewPointsHome],Table2[GameDate], "&lt;=" &amp; $A157, Table2[HomeTeam], AC$1)</f>
        <v>18</v>
      </c>
      <c r="AD157" s="145">
        <f>SUMIFS(Table2[NewPointsAway],Table2[GameDate], "&lt;=" &amp; $A157, Table2[AwayTeam], AD$1)+SUMIFS(Table2[NewPointsHome],Table2[GameDate], "&lt;=" &amp; $A157, Table2[HomeTeam], AD$1)</f>
        <v>17</v>
      </c>
      <c r="AE157" s="145">
        <f>SUMIFS(Table2[NewPointsAway],Table2[GameDate], "&lt;=" &amp; $A157, Table2[AwayTeam], AE$1)+SUMIFS(Table2[NewPointsHome],Table2[GameDate], "&lt;=" &amp; $A157, Table2[HomeTeam], AE$1)</f>
        <v>18</v>
      </c>
      <c r="AF157" s="145">
        <f>SUMIFS(Table2[NewPointsAway],Table2[GameDate], "&lt;=" &amp; $A157, Table2[AwayTeam], AF$1)+SUMIFS(Table2[NewPointsHome],Table2[GameDate], "&lt;=" &amp; $A157, Table2[HomeTeam], AF$1)</f>
        <v>20</v>
      </c>
      <c r="AG157" s="145">
        <f>SUMIFS(Table2[NewPointsAway],Table2[GameDate], "&lt;=" &amp; $A157, Table2[AwayTeam], AG$1)+SUMIFS(Table2[NewPointsHome],Table2[GameDate], "&lt;=" &amp; $A157, Table2[HomeTeam], AG$1)</f>
        <v>17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23</v>
      </c>
      <c r="C158" s="145">
        <f>SUMIFS(Table2[NewPointsAway],Table2[GameDate], "&lt;=" &amp; $A158, Table2[AwayTeam], C$1)+SUMIFS(Table2[NewPointsHome],Table2[GameDate], "&lt;=" &amp; $A158, Table2[HomeTeam], C$1)</f>
        <v>22</v>
      </c>
      <c r="D158" s="145">
        <f>SUMIFS(Table2[NewPointsAway],Table2[GameDate], "&lt;=" &amp; $A158, Table2[AwayTeam], D$1)+SUMIFS(Table2[NewPointsHome],Table2[GameDate], "&lt;=" &amp; $A158, Table2[HomeTeam], D$1)</f>
        <v>14</v>
      </c>
      <c r="E158" s="145">
        <f>SUMIFS(Table2[NewPointsAway],Table2[GameDate], "&lt;=" &amp; $A158, Table2[AwayTeam], E$1)+SUMIFS(Table2[NewPointsHome],Table2[GameDate], "&lt;=" &amp; $A158, Table2[HomeTeam], E$1)</f>
        <v>22</v>
      </c>
      <c r="F158" s="145">
        <f>SUMIFS(Table2[NewPointsAway],Table2[GameDate], "&lt;=" &amp; $A158, Table2[AwayTeam], F$1)+SUMIFS(Table2[NewPointsHome],Table2[GameDate], "&lt;=" &amp; $A158, Table2[HomeTeam], F$1)</f>
        <v>17</v>
      </c>
      <c r="G158" s="145">
        <f>SUMIFS(Table2[NewPointsAway],Table2[GameDate], "&lt;=" &amp; $A158, Table2[AwayTeam], G$1)+SUMIFS(Table2[NewPointsHome],Table2[GameDate], "&lt;=" &amp; $A158, Table2[HomeTeam], G$1)</f>
        <v>10</v>
      </c>
      <c r="H158" s="145">
        <f>SUMIFS(Table2[NewPointsAway],Table2[GameDate], "&lt;=" &amp; $A158, Table2[AwayTeam], H$1)+SUMIFS(Table2[NewPointsHome],Table2[GameDate], "&lt;=" &amp; $A158, Table2[HomeTeam], H$1)</f>
        <v>19</v>
      </c>
      <c r="I158" s="145">
        <f>SUMIFS(Table2[NewPointsAway],Table2[GameDate], "&lt;=" &amp; $A158, Table2[AwayTeam], I$1)+SUMIFS(Table2[NewPointsHome],Table2[GameDate], "&lt;=" &amp; $A158, Table2[HomeTeam], I$1)</f>
        <v>27</v>
      </c>
      <c r="J158" s="145">
        <f>SUMIFS(Table2[NewPointsAway],Table2[GameDate], "&lt;=" &amp; $A158, Table2[AwayTeam], J$1)+SUMIFS(Table2[NewPointsHome],Table2[GameDate], "&lt;=" &amp; $A158, Table2[HomeTeam], J$1)</f>
        <v>23</v>
      </c>
      <c r="K158" s="145">
        <f>SUMIFS(Table2[NewPointsAway],Table2[GameDate], "&lt;=" &amp; $A158, Table2[AwayTeam], K$1)+SUMIFS(Table2[NewPointsHome],Table2[GameDate], "&lt;=" &amp; $A158, Table2[HomeTeam], K$1)</f>
        <v>18</v>
      </c>
      <c r="L158" s="145">
        <f>SUMIFS(Table2[NewPointsAway],Table2[GameDate], "&lt;=" &amp; $A158, Table2[AwayTeam], L$1)+SUMIFS(Table2[NewPointsHome],Table2[GameDate], "&lt;=" &amp; $A158, Table2[HomeTeam], L$1)</f>
        <v>20</v>
      </c>
      <c r="M158" s="145">
        <f>SUMIFS(Table2[NewPointsAway],Table2[GameDate], "&lt;=" &amp; $A158, Table2[AwayTeam], M$1)+SUMIFS(Table2[NewPointsHome],Table2[GameDate], "&lt;=" &amp; $A158, Table2[HomeTeam], M$1)</f>
        <v>17</v>
      </c>
      <c r="N158" s="145">
        <f>SUMIFS(Table2[NewPointsAway],Table2[GameDate], "&lt;=" &amp; $A158, Table2[AwayTeam], N$1)+SUMIFS(Table2[NewPointsHome],Table2[GameDate], "&lt;=" &amp; $A158, Table2[HomeTeam], N$1)</f>
        <v>20</v>
      </c>
      <c r="O158" s="145">
        <f>SUMIFS(Table2[NewPointsAway],Table2[GameDate], "&lt;=" &amp; $A158, Table2[AwayTeam], O$1)+SUMIFS(Table2[NewPointsHome],Table2[GameDate], "&lt;=" &amp; $A158, Table2[HomeTeam], O$1)</f>
        <v>18</v>
      </c>
      <c r="P158" s="145">
        <f>SUMIFS(Table2[NewPointsAway],Table2[GameDate], "&lt;=" &amp; $A158, Table2[AwayTeam], P$1)+SUMIFS(Table2[NewPointsHome],Table2[GameDate], "&lt;=" &amp; $A158, Table2[HomeTeam], P$1)</f>
        <v>22</v>
      </c>
      <c r="Q158" s="145">
        <f>SUMIFS(Table2[NewPointsAway],Table2[GameDate], "&lt;=" &amp; $A158, Table2[AwayTeam], Q$1)+SUMIFS(Table2[NewPointsHome],Table2[GameDate], "&lt;=" &amp; $A158, Table2[HomeTeam], Q$1)</f>
        <v>23</v>
      </c>
      <c r="R158" s="145">
        <f>SUMIFS(Table2[NewPointsAway],Table2[GameDate], "&lt;=" &amp; $A158, Table2[AwayTeam], R$1)+SUMIFS(Table2[NewPointsHome],Table2[GameDate], "&lt;=" &amp; $A158, Table2[HomeTeam], R$1)</f>
        <v>14</v>
      </c>
      <c r="S158" s="145">
        <f>SUMIFS(Table2[NewPointsAway],Table2[GameDate], "&lt;=" &amp; $A158, Table2[AwayTeam], S$1)+SUMIFS(Table2[NewPointsHome],Table2[GameDate], "&lt;=" &amp; $A158, Table2[HomeTeam], S$1)</f>
        <v>18</v>
      </c>
      <c r="T158" s="145">
        <f>SUMIFS(Table2[NewPointsAway],Table2[GameDate], "&lt;=" &amp; $A158, Table2[AwayTeam], T$1)+SUMIFS(Table2[NewPointsHome],Table2[GameDate], "&lt;=" &amp; $A158, Table2[HomeTeam], T$1)</f>
        <v>20</v>
      </c>
      <c r="U158" s="145">
        <f>SUMIFS(Table2[NewPointsAway],Table2[GameDate], "&lt;=" &amp; $A158, Table2[AwayTeam], U$1)+SUMIFS(Table2[NewPointsHome],Table2[GameDate], "&lt;=" &amp; $A158, Table2[HomeTeam], U$1)</f>
        <v>20</v>
      </c>
      <c r="V158" s="145">
        <f>SUMIFS(Table2[NewPointsAway],Table2[GameDate], "&lt;=" &amp; $A158, Table2[AwayTeam], V$1)+SUMIFS(Table2[NewPointsHome],Table2[GameDate], "&lt;=" &amp; $A158, Table2[HomeTeam], V$1)</f>
        <v>19</v>
      </c>
      <c r="W158" s="145">
        <f>SUMIFS(Table2[NewPointsAway],Table2[GameDate], "&lt;=" &amp; $A158, Table2[AwayTeam], W$1)+SUMIFS(Table2[NewPointsHome],Table2[GameDate], "&lt;=" &amp; $A158, Table2[HomeTeam], W$1)</f>
        <v>21</v>
      </c>
      <c r="X158" s="145">
        <f>SUMIFS(Table2[NewPointsAway],Table2[GameDate], "&lt;=" &amp; $A158, Table2[AwayTeam], X$1)+SUMIFS(Table2[NewPointsHome],Table2[GameDate], "&lt;=" &amp; $A158, Table2[HomeTeam], X$1)</f>
        <v>19</v>
      </c>
      <c r="Y158" s="145">
        <f>SUMIFS(Table2[NewPointsAway],Table2[GameDate], "&lt;=" &amp; $A158, Table2[AwayTeam], Y$1)+SUMIFS(Table2[NewPointsHome],Table2[GameDate], "&lt;=" &amp; $A158, Table2[HomeTeam], Y$1)</f>
        <v>19</v>
      </c>
      <c r="Z158" s="145">
        <f>SUMIFS(Table2[NewPointsAway],Table2[GameDate], "&lt;=" &amp; $A158, Table2[AwayTeam], Z$1)+SUMIFS(Table2[NewPointsHome],Table2[GameDate], "&lt;=" &amp; $A158, Table2[HomeTeam], Z$1)</f>
        <v>15</v>
      </c>
      <c r="AA158" s="145">
        <f>SUMIFS(Table2[NewPointsAway],Table2[GameDate], "&lt;=" &amp; $A158, Table2[AwayTeam], AA$1)+SUMIFS(Table2[NewPointsHome],Table2[GameDate], "&lt;=" &amp; $A158, Table2[HomeTeam], AA$1)</f>
        <v>18</v>
      </c>
      <c r="AB158" s="145">
        <f>SUMIFS(Table2[NewPointsAway],Table2[GameDate], "&lt;=" &amp; $A158, Table2[AwayTeam], AB$1)+SUMIFS(Table2[NewPointsHome],Table2[GameDate], "&lt;=" &amp; $A158, Table2[HomeTeam], AB$1)</f>
        <v>17</v>
      </c>
      <c r="AC158" s="145">
        <f>SUMIFS(Table2[NewPointsAway],Table2[GameDate], "&lt;=" &amp; $A158, Table2[AwayTeam], AC$1)+SUMIFS(Table2[NewPointsHome],Table2[GameDate], "&lt;=" &amp; $A158, Table2[HomeTeam], AC$1)</f>
        <v>18</v>
      </c>
      <c r="AD158" s="145">
        <f>SUMIFS(Table2[NewPointsAway],Table2[GameDate], "&lt;=" &amp; $A158, Table2[AwayTeam], AD$1)+SUMIFS(Table2[NewPointsHome],Table2[GameDate], "&lt;=" &amp; $A158, Table2[HomeTeam], AD$1)</f>
        <v>17</v>
      </c>
      <c r="AE158" s="145">
        <f>SUMIFS(Table2[NewPointsAway],Table2[GameDate], "&lt;=" &amp; $A158, Table2[AwayTeam], AE$1)+SUMIFS(Table2[NewPointsHome],Table2[GameDate], "&lt;=" &amp; $A158, Table2[HomeTeam], AE$1)</f>
        <v>18</v>
      </c>
      <c r="AF158" s="145">
        <f>SUMIFS(Table2[NewPointsAway],Table2[GameDate], "&lt;=" &amp; $A158, Table2[AwayTeam], AF$1)+SUMIFS(Table2[NewPointsHome],Table2[GameDate], "&lt;=" &amp; $A158, Table2[HomeTeam], AF$1)</f>
        <v>20</v>
      </c>
      <c r="AG158" s="145">
        <f>SUMIFS(Table2[NewPointsAway],Table2[GameDate], "&lt;=" &amp; $A158, Table2[AwayTeam], AG$1)+SUMIFS(Table2[NewPointsHome],Table2[GameDate], "&lt;=" &amp; $A158, Table2[HomeTeam], AG$1)</f>
        <v>17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23</v>
      </c>
      <c r="C159" s="145">
        <f>SUMIFS(Table2[NewPointsAway],Table2[GameDate], "&lt;=" &amp; $A159, Table2[AwayTeam], C$1)+SUMIFS(Table2[NewPointsHome],Table2[GameDate], "&lt;=" &amp; $A159, Table2[HomeTeam], C$1)</f>
        <v>22</v>
      </c>
      <c r="D159" s="145">
        <f>SUMIFS(Table2[NewPointsAway],Table2[GameDate], "&lt;=" &amp; $A159, Table2[AwayTeam], D$1)+SUMIFS(Table2[NewPointsHome],Table2[GameDate], "&lt;=" &amp; $A159, Table2[HomeTeam], D$1)</f>
        <v>14</v>
      </c>
      <c r="E159" s="145">
        <f>SUMIFS(Table2[NewPointsAway],Table2[GameDate], "&lt;=" &amp; $A159, Table2[AwayTeam], E$1)+SUMIFS(Table2[NewPointsHome],Table2[GameDate], "&lt;=" &amp; $A159, Table2[HomeTeam], E$1)</f>
        <v>22</v>
      </c>
      <c r="F159" s="145">
        <f>SUMIFS(Table2[NewPointsAway],Table2[GameDate], "&lt;=" &amp; $A159, Table2[AwayTeam], F$1)+SUMIFS(Table2[NewPointsHome],Table2[GameDate], "&lt;=" &amp; $A159, Table2[HomeTeam], F$1)</f>
        <v>17</v>
      </c>
      <c r="G159" s="145">
        <f>SUMIFS(Table2[NewPointsAway],Table2[GameDate], "&lt;=" &amp; $A159, Table2[AwayTeam], G$1)+SUMIFS(Table2[NewPointsHome],Table2[GameDate], "&lt;=" &amp; $A159, Table2[HomeTeam], G$1)</f>
        <v>10</v>
      </c>
      <c r="H159" s="145">
        <f>SUMIFS(Table2[NewPointsAway],Table2[GameDate], "&lt;=" &amp; $A159, Table2[AwayTeam], H$1)+SUMIFS(Table2[NewPointsHome],Table2[GameDate], "&lt;=" &amp; $A159, Table2[HomeTeam], H$1)</f>
        <v>19</v>
      </c>
      <c r="I159" s="145">
        <f>SUMIFS(Table2[NewPointsAway],Table2[GameDate], "&lt;=" &amp; $A159, Table2[AwayTeam], I$1)+SUMIFS(Table2[NewPointsHome],Table2[GameDate], "&lt;=" &amp; $A159, Table2[HomeTeam], I$1)</f>
        <v>27</v>
      </c>
      <c r="J159" s="145">
        <f>SUMIFS(Table2[NewPointsAway],Table2[GameDate], "&lt;=" &amp; $A159, Table2[AwayTeam], J$1)+SUMIFS(Table2[NewPointsHome],Table2[GameDate], "&lt;=" &amp; $A159, Table2[HomeTeam], J$1)</f>
        <v>23</v>
      </c>
      <c r="K159" s="145">
        <f>SUMIFS(Table2[NewPointsAway],Table2[GameDate], "&lt;=" &amp; $A159, Table2[AwayTeam], K$1)+SUMIFS(Table2[NewPointsHome],Table2[GameDate], "&lt;=" &amp; $A159, Table2[HomeTeam], K$1)</f>
        <v>18</v>
      </c>
      <c r="L159" s="145">
        <f>SUMIFS(Table2[NewPointsAway],Table2[GameDate], "&lt;=" &amp; $A159, Table2[AwayTeam], L$1)+SUMIFS(Table2[NewPointsHome],Table2[GameDate], "&lt;=" &amp; $A159, Table2[HomeTeam], L$1)</f>
        <v>20</v>
      </c>
      <c r="M159" s="145">
        <f>SUMIFS(Table2[NewPointsAway],Table2[GameDate], "&lt;=" &amp; $A159, Table2[AwayTeam], M$1)+SUMIFS(Table2[NewPointsHome],Table2[GameDate], "&lt;=" &amp; $A159, Table2[HomeTeam], M$1)</f>
        <v>17</v>
      </c>
      <c r="N159" s="145">
        <f>SUMIFS(Table2[NewPointsAway],Table2[GameDate], "&lt;=" &amp; $A159, Table2[AwayTeam], N$1)+SUMIFS(Table2[NewPointsHome],Table2[GameDate], "&lt;=" &amp; $A159, Table2[HomeTeam], N$1)</f>
        <v>20</v>
      </c>
      <c r="O159" s="145">
        <f>SUMIFS(Table2[NewPointsAway],Table2[GameDate], "&lt;=" &amp; $A159, Table2[AwayTeam], O$1)+SUMIFS(Table2[NewPointsHome],Table2[GameDate], "&lt;=" &amp; $A159, Table2[HomeTeam], O$1)</f>
        <v>18</v>
      </c>
      <c r="P159" s="145">
        <f>SUMIFS(Table2[NewPointsAway],Table2[GameDate], "&lt;=" &amp; $A159, Table2[AwayTeam], P$1)+SUMIFS(Table2[NewPointsHome],Table2[GameDate], "&lt;=" &amp; $A159, Table2[HomeTeam], P$1)</f>
        <v>22</v>
      </c>
      <c r="Q159" s="145">
        <f>SUMIFS(Table2[NewPointsAway],Table2[GameDate], "&lt;=" &amp; $A159, Table2[AwayTeam], Q$1)+SUMIFS(Table2[NewPointsHome],Table2[GameDate], "&lt;=" &amp; $A159, Table2[HomeTeam], Q$1)</f>
        <v>23</v>
      </c>
      <c r="R159" s="145">
        <f>SUMIFS(Table2[NewPointsAway],Table2[GameDate], "&lt;=" &amp; $A159, Table2[AwayTeam], R$1)+SUMIFS(Table2[NewPointsHome],Table2[GameDate], "&lt;=" &amp; $A159, Table2[HomeTeam], R$1)</f>
        <v>14</v>
      </c>
      <c r="S159" s="145">
        <f>SUMIFS(Table2[NewPointsAway],Table2[GameDate], "&lt;=" &amp; $A159, Table2[AwayTeam], S$1)+SUMIFS(Table2[NewPointsHome],Table2[GameDate], "&lt;=" &amp; $A159, Table2[HomeTeam], S$1)</f>
        <v>18</v>
      </c>
      <c r="T159" s="145">
        <f>SUMIFS(Table2[NewPointsAway],Table2[GameDate], "&lt;=" &amp; $A159, Table2[AwayTeam], T$1)+SUMIFS(Table2[NewPointsHome],Table2[GameDate], "&lt;=" &amp; $A159, Table2[HomeTeam], T$1)</f>
        <v>20</v>
      </c>
      <c r="U159" s="145">
        <f>SUMIFS(Table2[NewPointsAway],Table2[GameDate], "&lt;=" &amp; $A159, Table2[AwayTeam], U$1)+SUMIFS(Table2[NewPointsHome],Table2[GameDate], "&lt;=" &amp; $A159, Table2[HomeTeam], U$1)</f>
        <v>20</v>
      </c>
      <c r="V159" s="145">
        <f>SUMIFS(Table2[NewPointsAway],Table2[GameDate], "&lt;=" &amp; $A159, Table2[AwayTeam], V$1)+SUMIFS(Table2[NewPointsHome],Table2[GameDate], "&lt;=" &amp; $A159, Table2[HomeTeam], V$1)</f>
        <v>19</v>
      </c>
      <c r="W159" s="145">
        <f>SUMIFS(Table2[NewPointsAway],Table2[GameDate], "&lt;=" &amp; $A159, Table2[AwayTeam], W$1)+SUMIFS(Table2[NewPointsHome],Table2[GameDate], "&lt;=" &amp; $A159, Table2[HomeTeam], W$1)</f>
        <v>21</v>
      </c>
      <c r="X159" s="145">
        <f>SUMIFS(Table2[NewPointsAway],Table2[GameDate], "&lt;=" &amp; $A159, Table2[AwayTeam], X$1)+SUMIFS(Table2[NewPointsHome],Table2[GameDate], "&lt;=" &amp; $A159, Table2[HomeTeam], X$1)</f>
        <v>19</v>
      </c>
      <c r="Y159" s="145">
        <f>SUMIFS(Table2[NewPointsAway],Table2[GameDate], "&lt;=" &amp; $A159, Table2[AwayTeam], Y$1)+SUMIFS(Table2[NewPointsHome],Table2[GameDate], "&lt;=" &amp; $A159, Table2[HomeTeam], Y$1)</f>
        <v>19</v>
      </c>
      <c r="Z159" s="145">
        <f>SUMIFS(Table2[NewPointsAway],Table2[GameDate], "&lt;=" &amp; $A159, Table2[AwayTeam], Z$1)+SUMIFS(Table2[NewPointsHome],Table2[GameDate], "&lt;=" &amp; $A159, Table2[HomeTeam], Z$1)</f>
        <v>15</v>
      </c>
      <c r="AA159" s="145">
        <f>SUMIFS(Table2[NewPointsAway],Table2[GameDate], "&lt;=" &amp; $A159, Table2[AwayTeam], AA$1)+SUMIFS(Table2[NewPointsHome],Table2[GameDate], "&lt;=" &amp; $A159, Table2[HomeTeam], AA$1)</f>
        <v>18</v>
      </c>
      <c r="AB159" s="145">
        <f>SUMIFS(Table2[NewPointsAway],Table2[GameDate], "&lt;=" &amp; $A159, Table2[AwayTeam], AB$1)+SUMIFS(Table2[NewPointsHome],Table2[GameDate], "&lt;=" &amp; $A159, Table2[HomeTeam], AB$1)</f>
        <v>17</v>
      </c>
      <c r="AC159" s="145">
        <f>SUMIFS(Table2[NewPointsAway],Table2[GameDate], "&lt;=" &amp; $A159, Table2[AwayTeam], AC$1)+SUMIFS(Table2[NewPointsHome],Table2[GameDate], "&lt;=" &amp; $A159, Table2[HomeTeam], AC$1)</f>
        <v>18</v>
      </c>
      <c r="AD159" s="145">
        <f>SUMIFS(Table2[NewPointsAway],Table2[GameDate], "&lt;=" &amp; $A159, Table2[AwayTeam], AD$1)+SUMIFS(Table2[NewPointsHome],Table2[GameDate], "&lt;=" &amp; $A159, Table2[HomeTeam], AD$1)</f>
        <v>17</v>
      </c>
      <c r="AE159" s="145">
        <f>SUMIFS(Table2[NewPointsAway],Table2[GameDate], "&lt;=" &amp; $A159, Table2[AwayTeam], AE$1)+SUMIFS(Table2[NewPointsHome],Table2[GameDate], "&lt;=" &amp; $A159, Table2[HomeTeam], AE$1)</f>
        <v>18</v>
      </c>
      <c r="AF159" s="145">
        <f>SUMIFS(Table2[NewPointsAway],Table2[GameDate], "&lt;=" &amp; $A159, Table2[AwayTeam], AF$1)+SUMIFS(Table2[NewPointsHome],Table2[GameDate], "&lt;=" &amp; $A159, Table2[HomeTeam], AF$1)</f>
        <v>20</v>
      </c>
      <c r="AG159" s="145">
        <f>SUMIFS(Table2[NewPointsAway],Table2[GameDate], "&lt;=" &amp; $A159, Table2[AwayTeam], AG$1)+SUMIFS(Table2[NewPointsHome],Table2[GameDate], "&lt;=" &amp; $A159, Table2[HomeTeam], AG$1)</f>
        <v>17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23</v>
      </c>
      <c r="C160" s="145">
        <f>SUMIFS(Table2[NewPointsAway],Table2[GameDate], "&lt;=" &amp; $A160, Table2[AwayTeam], C$1)+SUMIFS(Table2[NewPointsHome],Table2[GameDate], "&lt;=" &amp; $A160, Table2[HomeTeam], C$1)</f>
        <v>22</v>
      </c>
      <c r="D160" s="145">
        <f>SUMIFS(Table2[NewPointsAway],Table2[GameDate], "&lt;=" &amp; $A160, Table2[AwayTeam], D$1)+SUMIFS(Table2[NewPointsHome],Table2[GameDate], "&lt;=" &amp; $A160, Table2[HomeTeam], D$1)</f>
        <v>14</v>
      </c>
      <c r="E160" s="145">
        <f>SUMIFS(Table2[NewPointsAway],Table2[GameDate], "&lt;=" &amp; $A160, Table2[AwayTeam], E$1)+SUMIFS(Table2[NewPointsHome],Table2[GameDate], "&lt;=" &amp; $A160, Table2[HomeTeam], E$1)</f>
        <v>22</v>
      </c>
      <c r="F160" s="145">
        <f>SUMIFS(Table2[NewPointsAway],Table2[GameDate], "&lt;=" &amp; $A160, Table2[AwayTeam], F$1)+SUMIFS(Table2[NewPointsHome],Table2[GameDate], "&lt;=" &amp; $A160, Table2[HomeTeam], F$1)</f>
        <v>17</v>
      </c>
      <c r="G160" s="145">
        <f>SUMIFS(Table2[NewPointsAway],Table2[GameDate], "&lt;=" &amp; $A160, Table2[AwayTeam], G$1)+SUMIFS(Table2[NewPointsHome],Table2[GameDate], "&lt;=" &amp; $A160, Table2[HomeTeam], G$1)</f>
        <v>10</v>
      </c>
      <c r="H160" s="145">
        <f>SUMIFS(Table2[NewPointsAway],Table2[GameDate], "&lt;=" &amp; $A160, Table2[AwayTeam], H$1)+SUMIFS(Table2[NewPointsHome],Table2[GameDate], "&lt;=" &amp; $A160, Table2[HomeTeam], H$1)</f>
        <v>19</v>
      </c>
      <c r="I160" s="145">
        <f>SUMIFS(Table2[NewPointsAway],Table2[GameDate], "&lt;=" &amp; $A160, Table2[AwayTeam], I$1)+SUMIFS(Table2[NewPointsHome],Table2[GameDate], "&lt;=" &amp; $A160, Table2[HomeTeam], I$1)</f>
        <v>27</v>
      </c>
      <c r="J160" s="145">
        <f>SUMIFS(Table2[NewPointsAway],Table2[GameDate], "&lt;=" &amp; $A160, Table2[AwayTeam], J$1)+SUMIFS(Table2[NewPointsHome],Table2[GameDate], "&lt;=" &amp; $A160, Table2[HomeTeam], J$1)</f>
        <v>23</v>
      </c>
      <c r="K160" s="145">
        <f>SUMIFS(Table2[NewPointsAway],Table2[GameDate], "&lt;=" &amp; $A160, Table2[AwayTeam], K$1)+SUMIFS(Table2[NewPointsHome],Table2[GameDate], "&lt;=" &amp; $A160, Table2[HomeTeam], K$1)</f>
        <v>18</v>
      </c>
      <c r="L160" s="145">
        <f>SUMIFS(Table2[NewPointsAway],Table2[GameDate], "&lt;=" &amp; $A160, Table2[AwayTeam], L$1)+SUMIFS(Table2[NewPointsHome],Table2[GameDate], "&lt;=" &amp; $A160, Table2[HomeTeam], L$1)</f>
        <v>20</v>
      </c>
      <c r="M160" s="145">
        <f>SUMIFS(Table2[NewPointsAway],Table2[GameDate], "&lt;=" &amp; $A160, Table2[AwayTeam], M$1)+SUMIFS(Table2[NewPointsHome],Table2[GameDate], "&lt;=" &amp; $A160, Table2[HomeTeam], M$1)</f>
        <v>17</v>
      </c>
      <c r="N160" s="145">
        <f>SUMIFS(Table2[NewPointsAway],Table2[GameDate], "&lt;=" &amp; $A160, Table2[AwayTeam], N$1)+SUMIFS(Table2[NewPointsHome],Table2[GameDate], "&lt;=" &amp; $A160, Table2[HomeTeam], N$1)</f>
        <v>20</v>
      </c>
      <c r="O160" s="145">
        <f>SUMIFS(Table2[NewPointsAway],Table2[GameDate], "&lt;=" &amp; $A160, Table2[AwayTeam], O$1)+SUMIFS(Table2[NewPointsHome],Table2[GameDate], "&lt;=" &amp; $A160, Table2[HomeTeam], O$1)</f>
        <v>18</v>
      </c>
      <c r="P160" s="145">
        <f>SUMIFS(Table2[NewPointsAway],Table2[GameDate], "&lt;=" &amp; $A160, Table2[AwayTeam], P$1)+SUMIFS(Table2[NewPointsHome],Table2[GameDate], "&lt;=" &amp; $A160, Table2[HomeTeam], P$1)</f>
        <v>22</v>
      </c>
      <c r="Q160" s="145">
        <f>SUMIFS(Table2[NewPointsAway],Table2[GameDate], "&lt;=" &amp; $A160, Table2[AwayTeam], Q$1)+SUMIFS(Table2[NewPointsHome],Table2[GameDate], "&lt;=" &amp; $A160, Table2[HomeTeam], Q$1)</f>
        <v>23</v>
      </c>
      <c r="R160" s="145">
        <f>SUMIFS(Table2[NewPointsAway],Table2[GameDate], "&lt;=" &amp; $A160, Table2[AwayTeam], R$1)+SUMIFS(Table2[NewPointsHome],Table2[GameDate], "&lt;=" &amp; $A160, Table2[HomeTeam], R$1)</f>
        <v>14</v>
      </c>
      <c r="S160" s="145">
        <f>SUMIFS(Table2[NewPointsAway],Table2[GameDate], "&lt;=" &amp; $A160, Table2[AwayTeam], S$1)+SUMIFS(Table2[NewPointsHome],Table2[GameDate], "&lt;=" &amp; $A160, Table2[HomeTeam], S$1)</f>
        <v>18</v>
      </c>
      <c r="T160" s="145">
        <f>SUMIFS(Table2[NewPointsAway],Table2[GameDate], "&lt;=" &amp; $A160, Table2[AwayTeam], T$1)+SUMIFS(Table2[NewPointsHome],Table2[GameDate], "&lt;=" &amp; $A160, Table2[HomeTeam], T$1)</f>
        <v>20</v>
      </c>
      <c r="U160" s="145">
        <f>SUMIFS(Table2[NewPointsAway],Table2[GameDate], "&lt;=" &amp; $A160, Table2[AwayTeam], U$1)+SUMIFS(Table2[NewPointsHome],Table2[GameDate], "&lt;=" &amp; $A160, Table2[HomeTeam], U$1)</f>
        <v>20</v>
      </c>
      <c r="V160" s="145">
        <f>SUMIFS(Table2[NewPointsAway],Table2[GameDate], "&lt;=" &amp; $A160, Table2[AwayTeam], V$1)+SUMIFS(Table2[NewPointsHome],Table2[GameDate], "&lt;=" &amp; $A160, Table2[HomeTeam], V$1)</f>
        <v>19</v>
      </c>
      <c r="W160" s="145">
        <f>SUMIFS(Table2[NewPointsAway],Table2[GameDate], "&lt;=" &amp; $A160, Table2[AwayTeam], W$1)+SUMIFS(Table2[NewPointsHome],Table2[GameDate], "&lt;=" &amp; $A160, Table2[HomeTeam], W$1)</f>
        <v>21</v>
      </c>
      <c r="X160" s="145">
        <f>SUMIFS(Table2[NewPointsAway],Table2[GameDate], "&lt;=" &amp; $A160, Table2[AwayTeam], X$1)+SUMIFS(Table2[NewPointsHome],Table2[GameDate], "&lt;=" &amp; $A160, Table2[HomeTeam], X$1)</f>
        <v>19</v>
      </c>
      <c r="Y160" s="145">
        <f>SUMIFS(Table2[NewPointsAway],Table2[GameDate], "&lt;=" &amp; $A160, Table2[AwayTeam], Y$1)+SUMIFS(Table2[NewPointsHome],Table2[GameDate], "&lt;=" &amp; $A160, Table2[HomeTeam], Y$1)</f>
        <v>19</v>
      </c>
      <c r="Z160" s="145">
        <f>SUMIFS(Table2[NewPointsAway],Table2[GameDate], "&lt;=" &amp; $A160, Table2[AwayTeam], Z$1)+SUMIFS(Table2[NewPointsHome],Table2[GameDate], "&lt;=" &amp; $A160, Table2[HomeTeam], Z$1)</f>
        <v>15</v>
      </c>
      <c r="AA160" s="145">
        <f>SUMIFS(Table2[NewPointsAway],Table2[GameDate], "&lt;=" &amp; $A160, Table2[AwayTeam], AA$1)+SUMIFS(Table2[NewPointsHome],Table2[GameDate], "&lt;=" &amp; $A160, Table2[HomeTeam], AA$1)</f>
        <v>18</v>
      </c>
      <c r="AB160" s="145">
        <f>SUMIFS(Table2[NewPointsAway],Table2[GameDate], "&lt;=" &amp; $A160, Table2[AwayTeam], AB$1)+SUMIFS(Table2[NewPointsHome],Table2[GameDate], "&lt;=" &amp; $A160, Table2[HomeTeam], AB$1)</f>
        <v>17</v>
      </c>
      <c r="AC160" s="145">
        <f>SUMIFS(Table2[NewPointsAway],Table2[GameDate], "&lt;=" &amp; $A160, Table2[AwayTeam], AC$1)+SUMIFS(Table2[NewPointsHome],Table2[GameDate], "&lt;=" &amp; $A160, Table2[HomeTeam], AC$1)</f>
        <v>18</v>
      </c>
      <c r="AD160" s="145">
        <f>SUMIFS(Table2[NewPointsAway],Table2[GameDate], "&lt;=" &amp; $A160, Table2[AwayTeam], AD$1)+SUMIFS(Table2[NewPointsHome],Table2[GameDate], "&lt;=" &amp; $A160, Table2[HomeTeam], AD$1)</f>
        <v>17</v>
      </c>
      <c r="AE160" s="145">
        <f>SUMIFS(Table2[NewPointsAway],Table2[GameDate], "&lt;=" &amp; $A160, Table2[AwayTeam], AE$1)+SUMIFS(Table2[NewPointsHome],Table2[GameDate], "&lt;=" &amp; $A160, Table2[HomeTeam], AE$1)</f>
        <v>18</v>
      </c>
      <c r="AF160" s="145">
        <f>SUMIFS(Table2[NewPointsAway],Table2[GameDate], "&lt;=" &amp; $A160, Table2[AwayTeam], AF$1)+SUMIFS(Table2[NewPointsHome],Table2[GameDate], "&lt;=" &amp; $A160, Table2[HomeTeam], AF$1)</f>
        <v>20</v>
      </c>
      <c r="AG160" s="145">
        <f>SUMIFS(Table2[NewPointsAway],Table2[GameDate], "&lt;=" &amp; $A160, Table2[AwayTeam], AG$1)+SUMIFS(Table2[NewPointsHome],Table2[GameDate], "&lt;=" &amp; $A160, Table2[HomeTeam], AG$1)</f>
        <v>17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23</v>
      </c>
      <c r="C161" s="145">
        <f>SUMIFS(Table2[NewPointsAway],Table2[GameDate], "&lt;=" &amp; $A161, Table2[AwayTeam], C$1)+SUMIFS(Table2[NewPointsHome],Table2[GameDate], "&lt;=" &amp; $A161, Table2[HomeTeam], C$1)</f>
        <v>22</v>
      </c>
      <c r="D161" s="145">
        <f>SUMIFS(Table2[NewPointsAway],Table2[GameDate], "&lt;=" &amp; $A161, Table2[AwayTeam], D$1)+SUMIFS(Table2[NewPointsHome],Table2[GameDate], "&lt;=" &amp; $A161, Table2[HomeTeam], D$1)</f>
        <v>14</v>
      </c>
      <c r="E161" s="145">
        <f>SUMIFS(Table2[NewPointsAway],Table2[GameDate], "&lt;=" &amp; $A161, Table2[AwayTeam], E$1)+SUMIFS(Table2[NewPointsHome],Table2[GameDate], "&lt;=" &amp; $A161, Table2[HomeTeam], E$1)</f>
        <v>22</v>
      </c>
      <c r="F161" s="145">
        <f>SUMIFS(Table2[NewPointsAway],Table2[GameDate], "&lt;=" &amp; $A161, Table2[AwayTeam], F$1)+SUMIFS(Table2[NewPointsHome],Table2[GameDate], "&lt;=" &amp; $A161, Table2[HomeTeam], F$1)</f>
        <v>17</v>
      </c>
      <c r="G161" s="145">
        <f>SUMIFS(Table2[NewPointsAway],Table2[GameDate], "&lt;=" &amp; $A161, Table2[AwayTeam], G$1)+SUMIFS(Table2[NewPointsHome],Table2[GameDate], "&lt;=" &amp; $A161, Table2[HomeTeam], G$1)</f>
        <v>10</v>
      </c>
      <c r="H161" s="145">
        <f>SUMIFS(Table2[NewPointsAway],Table2[GameDate], "&lt;=" &amp; $A161, Table2[AwayTeam], H$1)+SUMIFS(Table2[NewPointsHome],Table2[GameDate], "&lt;=" &amp; $A161, Table2[HomeTeam], H$1)</f>
        <v>19</v>
      </c>
      <c r="I161" s="145">
        <f>SUMIFS(Table2[NewPointsAway],Table2[GameDate], "&lt;=" &amp; $A161, Table2[AwayTeam], I$1)+SUMIFS(Table2[NewPointsHome],Table2[GameDate], "&lt;=" &amp; $A161, Table2[HomeTeam], I$1)</f>
        <v>27</v>
      </c>
      <c r="J161" s="145">
        <f>SUMIFS(Table2[NewPointsAway],Table2[GameDate], "&lt;=" &amp; $A161, Table2[AwayTeam], J$1)+SUMIFS(Table2[NewPointsHome],Table2[GameDate], "&lt;=" &amp; $A161, Table2[HomeTeam], J$1)</f>
        <v>23</v>
      </c>
      <c r="K161" s="145">
        <f>SUMIFS(Table2[NewPointsAway],Table2[GameDate], "&lt;=" &amp; $A161, Table2[AwayTeam], K$1)+SUMIFS(Table2[NewPointsHome],Table2[GameDate], "&lt;=" &amp; $A161, Table2[HomeTeam], K$1)</f>
        <v>18</v>
      </c>
      <c r="L161" s="145">
        <f>SUMIFS(Table2[NewPointsAway],Table2[GameDate], "&lt;=" &amp; $A161, Table2[AwayTeam], L$1)+SUMIFS(Table2[NewPointsHome],Table2[GameDate], "&lt;=" &amp; $A161, Table2[HomeTeam], L$1)</f>
        <v>20</v>
      </c>
      <c r="M161" s="145">
        <f>SUMIFS(Table2[NewPointsAway],Table2[GameDate], "&lt;=" &amp; $A161, Table2[AwayTeam], M$1)+SUMIFS(Table2[NewPointsHome],Table2[GameDate], "&lt;=" &amp; $A161, Table2[HomeTeam], M$1)</f>
        <v>17</v>
      </c>
      <c r="N161" s="145">
        <f>SUMIFS(Table2[NewPointsAway],Table2[GameDate], "&lt;=" &amp; $A161, Table2[AwayTeam], N$1)+SUMIFS(Table2[NewPointsHome],Table2[GameDate], "&lt;=" &amp; $A161, Table2[HomeTeam], N$1)</f>
        <v>20</v>
      </c>
      <c r="O161" s="145">
        <f>SUMIFS(Table2[NewPointsAway],Table2[GameDate], "&lt;=" &amp; $A161, Table2[AwayTeam], O$1)+SUMIFS(Table2[NewPointsHome],Table2[GameDate], "&lt;=" &amp; $A161, Table2[HomeTeam], O$1)</f>
        <v>18</v>
      </c>
      <c r="P161" s="145">
        <f>SUMIFS(Table2[NewPointsAway],Table2[GameDate], "&lt;=" &amp; $A161, Table2[AwayTeam], P$1)+SUMIFS(Table2[NewPointsHome],Table2[GameDate], "&lt;=" &amp; $A161, Table2[HomeTeam], P$1)</f>
        <v>22</v>
      </c>
      <c r="Q161" s="145">
        <f>SUMIFS(Table2[NewPointsAway],Table2[GameDate], "&lt;=" &amp; $A161, Table2[AwayTeam], Q$1)+SUMIFS(Table2[NewPointsHome],Table2[GameDate], "&lt;=" &amp; $A161, Table2[HomeTeam], Q$1)</f>
        <v>23</v>
      </c>
      <c r="R161" s="145">
        <f>SUMIFS(Table2[NewPointsAway],Table2[GameDate], "&lt;=" &amp; $A161, Table2[AwayTeam], R$1)+SUMIFS(Table2[NewPointsHome],Table2[GameDate], "&lt;=" &amp; $A161, Table2[HomeTeam], R$1)</f>
        <v>14</v>
      </c>
      <c r="S161" s="145">
        <f>SUMIFS(Table2[NewPointsAway],Table2[GameDate], "&lt;=" &amp; $A161, Table2[AwayTeam], S$1)+SUMIFS(Table2[NewPointsHome],Table2[GameDate], "&lt;=" &amp; $A161, Table2[HomeTeam], S$1)</f>
        <v>18</v>
      </c>
      <c r="T161" s="145">
        <f>SUMIFS(Table2[NewPointsAway],Table2[GameDate], "&lt;=" &amp; $A161, Table2[AwayTeam], T$1)+SUMIFS(Table2[NewPointsHome],Table2[GameDate], "&lt;=" &amp; $A161, Table2[HomeTeam], T$1)</f>
        <v>20</v>
      </c>
      <c r="U161" s="145">
        <f>SUMIFS(Table2[NewPointsAway],Table2[GameDate], "&lt;=" &amp; $A161, Table2[AwayTeam], U$1)+SUMIFS(Table2[NewPointsHome],Table2[GameDate], "&lt;=" &amp; $A161, Table2[HomeTeam], U$1)</f>
        <v>20</v>
      </c>
      <c r="V161" s="145">
        <f>SUMIFS(Table2[NewPointsAway],Table2[GameDate], "&lt;=" &amp; $A161, Table2[AwayTeam], V$1)+SUMIFS(Table2[NewPointsHome],Table2[GameDate], "&lt;=" &amp; $A161, Table2[HomeTeam], V$1)</f>
        <v>19</v>
      </c>
      <c r="W161" s="145">
        <f>SUMIFS(Table2[NewPointsAway],Table2[GameDate], "&lt;=" &amp; $A161, Table2[AwayTeam], W$1)+SUMIFS(Table2[NewPointsHome],Table2[GameDate], "&lt;=" &amp; $A161, Table2[HomeTeam], W$1)</f>
        <v>21</v>
      </c>
      <c r="X161" s="145">
        <f>SUMIFS(Table2[NewPointsAway],Table2[GameDate], "&lt;=" &amp; $A161, Table2[AwayTeam], X$1)+SUMIFS(Table2[NewPointsHome],Table2[GameDate], "&lt;=" &amp; $A161, Table2[HomeTeam], X$1)</f>
        <v>19</v>
      </c>
      <c r="Y161" s="145">
        <f>SUMIFS(Table2[NewPointsAway],Table2[GameDate], "&lt;=" &amp; $A161, Table2[AwayTeam], Y$1)+SUMIFS(Table2[NewPointsHome],Table2[GameDate], "&lt;=" &amp; $A161, Table2[HomeTeam], Y$1)</f>
        <v>19</v>
      </c>
      <c r="Z161" s="145">
        <f>SUMIFS(Table2[NewPointsAway],Table2[GameDate], "&lt;=" &amp; $A161, Table2[AwayTeam], Z$1)+SUMIFS(Table2[NewPointsHome],Table2[GameDate], "&lt;=" &amp; $A161, Table2[HomeTeam], Z$1)</f>
        <v>15</v>
      </c>
      <c r="AA161" s="145">
        <f>SUMIFS(Table2[NewPointsAway],Table2[GameDate], "&lt;=" &amp; $A161, Table2[AwayTeam], AA$1)+SUMIFS(Table2[NewPointsHome],Table2[GameDate], "&lt;=" &amp; $A161, Table2[HomeTeam], AA$1)</f>
        <v>18</v>
      </c>
      <c r="AB161" s="145">
        <f>SUMIFS(Table2[NewPointsAway],Table2[GameDate], "&lt;=" &amp; $A161, Table2[AwayTeam], AB$1)+SUMIFS(Table2[NewPointsHome],Table2[GameDate], "&lt;=" &amp; $A161, Table2[HomeTeam], AB$1)</f>
        <v>17</v>
      </c>
      <c r="AC161" s="145">
        <f>SUMIFS(Table2[NewPointsAway],Table2[GameDate], "&lt;=" &amp; $A161, Table2[AwayTeam], AC$1)+SUMIFS(Table2[NewPointsHome],Table2[GameDate], "&lt;=" &amp; $A161, Table2[HomeTeam], AC$1)</f>
        <v>18</v>
      </c>
      <c r="AD161" s="145">
        <f>SUMIFS(Table2[NewPointsAway],Table2[GameDate], "&lt;=" &amp; $A161, Table2[AwayTeam], AD$1)+SUMIFS(Table2[NewPointsHome],Table2[GameDate], "&lt;=" &amp; $A161, Table2[HomeTeam], AD$1)</f>
        <v>17</v>
      </c>
      <c r="AE161" s="145">
        <f>SUMIFS(Table2[NewPointsAway],Table2[GameDate], "&lt;=" &amp; $A161, Table2[AwayTeam], AE$1)+SUMIFS(Table2[NewPointsHome],Table2[GameDate], "&lt;=" &amp; $A161, Table2[HomeTeam], AE$1)</f>
        <v>18</v>
      </c>
      <c r="AF161" s="145">
        <f>SUMIFS(Table2[NewPointsAway],Table2[GameDate], "&lt;=" &amp; $A161, Table2[AwayTeam], AF$1)+SUMIFS(Table2[NewPointsHome],Table2[GameDate], "&lt;=" &amp; $A161, Table2[HomeTeam], AF$1)</f>
        <v>20</v>
      </c>
      <c r="AG161" s="145">
        <f>SUMIFS(Table2[NewPointsAway],Table2[GameDate], "&lt;=" &amp; $A161, Table2[AwayTeam], AG$1)+SUMIFS(Table2[NewPointsHome],Table2[GameDate], "&lt;=" &amp; $A161, Table2[HomeTeam], AG$1)</f>
        <v>17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23</v>
      </c>
      <c r="C162" s="145">
        <f>SUMIFS(Table2[NewPointsAway],Table2[GameDate], "&lt;=" &amp; $A162, Table2[AwayTeam], C$1)+SUMIFS(Table2[NewPointsHome],Table2[GameDate], "&lt;=" &amp; $A162, Table2[HomeTeam], C$1)</f>
        <v>22</v>
      </c>
      <c r="D162" s="145">
        <f>SUMIFS(Table2[NewPointsAway],Table2[GameDate], "&lt;=" &amp; $A162, Table2[AwayTeam], D$1)+SUMIFS(Table2[NewPointsHome],Table2[GameDate], "&lt;=" &amp; $A162, Table2[HomeTeam], D$1)</f>
        <v>14</v>
      </c>
      <c r="E162" s="145">
        <f>SUMIFS(Table2[NewPointsAway],Table2[GameDate], "&lt;=" &amp; $A162, Table2[AwayTeam], E$1)+SUMIFS(Table2[NewPointsHome],Table2[GameDate], "&lt;=" &amp; $A162, Table2[HomeTeam], E$1)</f>
        <v>22</v>
      </c>
      <c r="F162" s="145">
        <f>SUMIFS(Table2[NewPointsAway],Table2[GameDate], "&lt;=" &amp; $A162, Table2[AwayTeam], F$1)+SUMIFS(Table2[NewPointsHome],Table2[GameDate], "&lt;=" &amp; $A162, Table2[HomeTeam], F$1)</f>
        <v>17</v>
      </c>
      <c r="G162" s="145">
        <f>SUMIFS(Table2[NewPointsAway],Table2[GameDate], "&lt;=" &amp; $A162, Table2[AwayTeam], G$1)+SUMIFS(Table2[NewPointsHome],Table2[GameDate], "&lt;=" &amp; $A162, Table2[HomeTeam], G$1)</f>
        <v>10</v>
      </c>
      <c r="H162" s="145">
        <f>SUMIFS(Table2[NewPointsAway],Table2[GameDate], "&lt;=" &amp; $A162, Table2[AwayTeam], H$1)+SUMIFS(Table2[NewPointsHome],Table2[GameDate], "&lt;=" &amp; $A162, Table2[HomeTeam], H$1)</f>
        <v>19</v>
      </c>
      <c r="I162" s="145">
        <f>SUMIFS(Table2[NewPointsAway],Table2[GameDate], "&lt;=" &amp; $A162, Table2[AwayTeam], I$1)+SUMIFS(Table2[NewPointsHome],Table2[GameDate], "&lt;=" &amp; $A162, Table2[HomeTeam], I$1)</f>
        <v>27</v>
      </c>
      <c r="J162" s="145">
        <f>SUMIFS(Table2[NewPointsAway],Table2[GameDate], "&lt;=" &amp; $A162, Table2[AwayTeam], J$1)+SUMIFS(Table2[NewPointsHome],Table2[GameDate], "&lt;=" &amp; $A162, Table2[HomeTeam], J$1)</f>
        <v>23</v>
      </c>
      <c r="K162" s="145">
        <f>SUMIFS(Table2[NewPointsAway],Table2[GameDate], "&lt;=" &amp; $A162, Table2[AwayTeam], K$1)+SUMIFS(Table2[NewPointsHome],Table2[GameDate], "&lt;=" &amp; $A162, Table2[HomeTeam], K$1)</f>
        <v>18</v>
      </c>
      <c r="L162" s="145">
        <f>SUMIFS(Table2[NewPointsAway],Table2[GameDate], "&lt;=" &amp; $A162, Table2[AwayTeam], L$1)+SUMIFS(Table2[NewPointsHome],Table2[GameDate], "&lt;=" &amp; $A162, Table2[HomeTeam], L$1)</f>
        <v>20</v>
      </c>
      <c r="M162" s="145">
        <f>SUMIFS(Table2[NewPointsAway],Table2[GameDate], "&lt;=" &amp; $A162, Table2[AwayTeam], M$1)+SUMIFS(Table2[NewPointsHome],Table2[GameDate], "&lt;=" &amp; $A162, Table2[HomeTeam], M$1)</f>
        <v>17</v>
      </c>
      <c r="N162" s="145">
        <f>SUMIFS(Table2[NewPointsAway],Table2[GameDate], "&lt;=" &amp; $A162, Table2[AwayTeam], N$1)+SUMIFS(Table2[NewPointsHome],Table2[GameDate], "&lt;=" &amp; $A162, Table2[HomeTeam], N$1)</f>
        <v>20</v>
      </c>
      <c r="O162" s="145">
        <f>SUMIFS(Table2[NewPointsAway],Table2[GameDate], "&lt;=" &amp; $A162, Table2[AwayTeam], O$1)+SUMIFS(Table2[NewPointsHome],Table2[GameDate], "&lt;=" &amp; $A162, Table2[HomeTeam], O$1)</f>
        <v>18</v>
      </c>
      <c r="P162" s="145">
        <f>SUMIFS(Table2[NewPointsAway],Table2[GameDate], "&lt;=" &amp; $A162, Table2[AwayTeam], P$1)+SUMIFS(Table2[NewPointsHome],Table2[GameDate], "&lt;=" &amp; $A162, Table2[HomeTeam], P$1)</f>
        <v>22</v>
      </c>
      <c r="Q162" s="145">
        <f>SUMIFS(Table2[NewPointsAway],Table2[GameDate], "&lt;=" &amp; $A162, Table2[AwayTeam], Q$1)+SUMIFS(Table2[NewPointsHome],Table2[GameDate], "&lt;=" &amp; $A162, Table2[HomeTeam], Q$1)</f>
        <v>23</v>
      </c>
      <c r="R162" s="145">
        <f>SUMIFS(Table2[NewPointsAway],Table2[GameDate], "&lt;=" &amp; $A162, Table2[AwayTeam], R$1)+SUMIFS(Table2[NewPointsHome],Table2[GameDate], "&lt;=" &amp; $A162, Table2[HomeTeam], R$1)</f>
        <v>14</v>
      </c>
      <c r="S162" s="145">
        <f>SUMIFS(Table2[NewPointsAway],Table2[GameDate], "&lt;=" &amp; $A162, Table2[AwayTeam], S$1)+SUMIFS(Table2[NewPointsHome],Table2[GameDate], "&lt;=" &amp; $A162, Table2[HomeTeam], S$1)</f>
        <v>18</v>
      </c>
      <c r="T162" s="145">
        <f>SUMIFS(Table2[NewPointsAway],Table2[GameDate], "&lt;=" &amp; $A162, Table2[AwayTeam], T$1)+SUMIFS(Table2[NewPointsHome],Table2[GameDate], "&lt;=" &amp; $A162, Table2[HomeTeam], T$1)</f>
        <v>20</v>
      </c>
      <c r="U162" s="145">
        <f>SUMIFS(Table2[NewPointsAway],Table2[GameDate], "&lt;=" &amp; $A162, Table2[AwayTeam], U$1)+SUMIFS(Table2[NewPointsHome],Table2[GameDate], "&lt;=" &amp; $A162, Table2[HomeTeam], U$1)</f>
        <v>20</v>
      </c>
      <c r="V162" s="145">
        <f>SUMIFS(Table2[NewPointsAway],Table2[GameDate], "&lt;=" &amp; $A162, Table2[AwayTeam], V$1)+SUMIFS(Table2[NewPointsHome],Table2[GameDate], "&lt;=" &amp; $A162, Table2[HomeTeam], V$1)</f>
        <v>19</v>
      </c>
      <c r="W162" s="145">
        <f>SUMIFS(Table2[NewPointsAway],Table2[GameDate], "&lt;=" &amp; $A162, Table2[AwayTeam], W$1)+SUMIFS(Table2[NewPointsHome],Table2[GameDate], "&lt;=" &amp; $A162, Table2[HomeTeam], W$1)</f>
        <v>21</v>
      </c>
      <c r="X162" s="145">
        <f>SUMIFS(Table2[NewPointsAway],Table2[GameDate], "&lt;=" &amp; $A162, Table2[AwayTeam], X$1)+SUMIFS(Table2[NewPointsHome],Table2[GameDate], "&lt;=" &amp; $A162, Table2[HomeTeam], X$1)</f>
        <v>19</v>
      </c>
      <c r="Y162" s="145">
        <f>SUMIFS(Table2[NewPointsAway],Table2[GameDate], "&lt;=" &amp; $A162, Table2[AwayTeam], Y$1)+SUMIFS(Table2[NewPointsHome],Table2[GameDate], "&lt;=" &amp; $A162, Table2[HomeTeam], Y$1)</f>
        <v>19</v>
      </c>
      <c r="Z162" s="145">
        <f>SUMIFS(Table2[NewPointsAway],Table2[GameDate], "&lt;=" &amp; $A162, Table2[AwayTeam], Z$1)+SUMIFS(Table2[NewPointsHome],Table2[GameDate], "&lt;=" &amp; $A162, Table2[HomeTeam], Z$1)</f>
        <v>15</v>
      </c>
      <c r="AA162" s="145">
        <f>SUMIFS(Table2[NewPointsAway],Table2[GameDate], "&lt;=" &amp; $A162, Table2[AwayTeam], AA$1)+SUMIFS(Table2[NewPointsHome],Table2[GameDate], "&lt;=" &amp; $A162, Table2[HomeTeam], AA$1)</f>
        <v>18</v>
      </c>
      <c r="AB162" s="145">
        <f>SUMIFS(Table2[NewPointsAway],Table2[GameDate], "&lt;=" &amp; $A162, Table2[AwayTeam], AB$1)+SUMIFS(Table2[NewPointsHome],Table2[GameDate], "&lt;=" &amp; $A162, Table2[HomeTeam], AB$1)</f>
        <v>17</v>
      </c>
      <c r="AC162" s="145">
        <f>SUMIFS(Table2[NewPointsAway],Table2[GameDate], "&lt;=" &amp; $A162, Table2[AwayTeam], AC$1)+SUMIFS(Table2[NewPointsHome],Table2[GameDate], "&lt;=" &amp; $A162, Table2[HomeTeam], AC$1)</f>
        <v>18</v>
      </c>
      <c r="AD162" s="145">
        <f>SUMIFS(Table2[NewPointsAway],Table2[GameDate], "&lt;=" &amp; $A162, Table2[AwayTeam], AD$1)+SUMIFS(Table2[NewPointsHome],Table2[GameDate], "&lt;=" &amp; $A162, Table2[HomeTeam], AD$1)</f>
        <v>17</v>
      </c>
      <c r="AE162" s="145">
        <f>SUMIFS(Table2[NewPointsAway],Table2[GameDate], "&lt;=" &amp; $A162, Table2[AwayTeam], AE$1)+SUMIFS(Table2[NewPointsHome],Table2[GameDate], "&lt;=" &amp; $A162, Table2[HomeTeam], AE$1)</f>
        <v>18</v>
      </c>
      <c r="AF162" s="145">
        <f>SUMIFS(Table2[NewPointsAway],Table2[GameDate], "&lt;=" &amp; $A162, Table2[AwayTeam], AF$1)+SUMIFS(Table2[NewPointsHome],Table2[GameDate], "&lt;=" &amp; $A162, Table2[HomeTeam], AF$1)</f>
        <v>20</v>
      </c>
      <c r="AG162" s="145">
        <f>SUMIFS(Table2[NewPointsAway],Table2[GameDate], "&lt;=" &amp; $A162, Table2[AwayTeam], AG$1)+SUMIFS(Table2[NewPointsHome],Table2[GameDate], "&lt;=" &amp; $A162, Table2[HomeTeam], AG$1)</f>
        <v>17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23</v>
      </c>
      <c r="C163" s="145">
        <f>SUMIFS(Table2[NewPointsAway],Table2[GameDate], "&lt;=" &amp; $A163, Table2[AwayTeam], C$1)+SUMIFS(Table2[NewPointsHome],Table2[GameDate], "&lt;=" &amp; $A163, Table2[HomeTeam], C$1)</f>
        <v>22</v>
      </c>
      <c r="D163" s="145">
        <f>SUMIFS(Table2[NewPointsAway],Table2[GameDate], "&lt;=" &amp; $A163, Table2[AwayTeam], D$1)+SUMIFS(Table2[NewPointsHome],Table2[GameDate], "&lt;=" &amp; $A163, Table2[HomeTeam], D$1)</f>
        <v>14</v>
      </c>
      <c r="E163" s="145">
        <f>SUMIFS(Table2[NewPointsAway],Table2[GameDate], "&lt;=" &amp; $A163, Table2[AwayTeam], E$1)+SUMIFS(Table2[NewPointsHome],Table2[GameDate], "&lt;=" &amp; $A163, Table2[HomeTeam], E$1)</f>
        <v>22</v>
      </c>
      <c r="F163" s="145">
        <f>SUMIFS(Table2[NewPointsAway],Table2[GameDate], "&lt;=" &amp; $A163, Table2[AwayTeam], F$1)+SUMIFS(Table2[NewPointsHome],Table2[GameDate], "&lt;=" &amp; $A163, Table2[HomeTeam], F$1)</f>
        <v>17</v>
      </c>
      <c r="G163" s="145">
        <f>SUMIFS(Table2[NewPointsAway],Table2[GameDate], "&lt;=" &amp; $A163, Table2[AwayTeam], G$1)+SUMIFS(Table2[NewPointsHome],Table2[GameDate], "&lt;=" &amp; $A163, Table2[HomeTeam], G$1)</f>
        <v>10</v>
      </c>
      <c r="H163" s="145">
        <f>SUMIFS(Table2[NewPointsAway],Table2[GameDate], "&lt;=" &amp; $A163, Table2[AwayTeam], H$1)+SUMIFS(Table2[NewPointsHome],Table2[GameDate], "&lt;=" &amp; $A163, Table2[HomeTeam], H$1)</f>
        <v>19</v>
      </c>
      <c r="I163" s="145">
        <f>SUMIFS(Table2[NewPointsAway],Table2[GameDate], "&lt;=" &amp; $A163, Table2[AwayTeam], I$1)+SUMIFS(Table2[NewPointsHome],Table2[GameDate], "&lt;=" &amp; $A163, Table2[HomeTeam], I$1)</f>
        <v>27</v>
      </c>
      <c r="J163" s="145">
        <f>SUMIFS(Table2[NewPointsAway],Table2[GameDate], "&lt;=" &amp; $A163, Table2[AwayTeam], J$1)+SUMIFS(Table2[NewPointsHome],Table2[GameDate], "&lt;=" &amp; $A163, Table2[HomeTeam], J$1)</f>
        <v>23</v>
      </c>
      <c r="K163" s="145">
        <f>SUMIFS(Table2[NewPointsAway],Table2[GameDate], "&lt;=" &amp; $A163, Table2[AwayTeam], K$1)+SUMIFS(Table2[NewPointsHome],Table2[GameDate], "&lt;=" &amp; $A163, Table2[HomeTeam], K$1)</f>
        <v>18</v>
      </c>
      <c r="L163" s="145">
        <f>SUMIFS(Table2[NewPointsAway],Table2[GameDate], "&lt;=" &amp; $A163, Table2[AwayTeam], L$1)+SUMIFS(Table2[NewPointsHome],Table2[GameDate], "&lt;=" &amp; $A163, Table2[HomeTeam], L$1)</f>
        <v>20</v>
      </c>
      <c r="M163" s="145">
        <f>SUMIFS(Table2[NewPointsAway],Table2[GameDate], "&lt;=" &amp; $A163, Table2[AwayTeam], M$1)+SUMIFS(Table2[NewPointsHome],Table2[GameDate], "&lt;=" &amp; $A163, Table2[HomeTeam], M$1)</f>
        <v>17</v>
      </c>
      <c r="N163" s="145">
        <f>SUMIFS(Table2[NewPointsAway],Table2[GameDate], "&lt;=" &amp; $A163, Table2[AwayTeam], N$1)+SUMIFS(Table2[NewPointsHome],Table2[GameDate], "&lt;=" &amp; $A163, Table2[HomeTeam], N$1)</f>
        <v>20</v>
      </c>
      <c r="O163" s="145">
        <f>SUMIFS(Table2[NewPointsAway],Table2[GameDate], "&lt;=" &amp; $A163, Table2[AwayTeam], O$1)+SUMIFS(Table2[NewPointsHome],Table2[GameDate], "&lt;=" &amp; $A163, Table2[HomeTeam], O$1)</f>
        <v>18</v>
      </c>
      <c r="P163" s="145">
        <f>SUMIFS(Table2[NewPointsAway],Table2[GameDate], "&lt;=" &amp; $A163, Table2[AwayTeam], P$1)+SUMIFS(Table2[NewPointsHome],Table2[GameDate], "&lt;=" &amp; $A163, Table2[HomeTeam], P$1)</f>
        <v>22</v>
      </c>
      <c r="Q163" s="145">
        <f>SUMIFS(Table2[NewPointsAway],Table2[GameDate], "&lt;=" &amp; $A163, Table2[AwayTeam], Q$1)+SUMIFS(Table2[NewPointsHome],Table2[GameDate], "&lt;=" &amp; $A163, Table2[HomeTeam], Q$1)</f>
        <v>23</v>
      </c>
      <c r="R163" s="145">
        <f>SUMIFS(Table2[NewPointsAway],Table2[GameDate], "&lt;=" &amp; $A163, Table2[AwayTeam], R$1)+SUMIFS(Table2[NewPointsHome],Table2[GameDate], "&lt;=" &amp; $A163, Table2[HomeTeam], R$1)</f>
        <v>14</v>
      </c>
      <c r="S163" s="145">
        <f>SUMIFS(Table2[NewPointsAway],Table2[GameDate], "&lt;=" &amp; $A163, Table2[AwayTeam], S$1)+SUMIFS(Table2[NewPointsHome],Table2[GameDate], "&lt;=" &amp; $A163, Table2[HomeTeam], S$1)</f>
        <v>18</v>
      </c>
      <c r="T163" s="145">
        <f>SUMIFS(Table2[NewPointsAway],Table2[GameDate], "&lt;=" &amp; $A163, Table2[AwayTeam], T$1)+SUMIFS(Table2[NewPointsHome],Table2[GameDate], "&lt;=" &amp; $A163, Table2[HomeTeam], T$1)</f>
        <v>20</v>
      </c>
      <c r="U163" s="145">
        <f>SUMIFS(Table2[NewPointsAway],Table2[GameDate], "&lt;=" &amp; $A163, Table2[AwayTeam], U$1)+SUMIFS(Table2[NewPointsHome],Table2[GameDate], "&lt;=" &amp; $A163, Table2[HomeTeam], U$1)</f>
        <v>20</v>
      </c>
      <c r="V163" s="145">
        <f>SUMIFS(Table2[NewPointsAway],Table2[GameDate], "&lt;=" &amp; $A163, Table2[AwayTeam], V$1)+SUMIFS(Table2[NewPointsHome],Table2[GameDate], "&lt;=" &amp; $A163, Table2[HomeTeam], V$1)</f>
        <v>19</v>
      </c>
      <c r="W163" s="145">
        <f>SUMIFS(Table2[NewPointsAway],Table2[GameDate], "&lt;=" &amp; $A163, Table2[AwayTeam], W$1)+SUMIFS(Table2[NewPointsHome],Table2[GameDate], "&lt;=" &amp; $A163, Table2[HomeTeam], W$1)</f>
        <v>21</v>
      </c>
      <c r="X163" s="145">
        <f>SUMIFS(Table2[NewPointsAway],Table2[GameDate], "&lt;=" &amp; $A163, Table2[AwayTeam], X$1)+SUMIFS(Table2[NewPointsHome],Table2[GameDate], "&lt;=" &amp; $A163, Table2[HomeTeam], X$1)</f>
        <v>19</v>
      </c>
      <c r="Y163" s="145">
        <f>SUMIFS(Table2[NewPointsAway],Table2[GameDate], "&lt;=" &amp; $A163, Table2[AwayTeam], Y$1)+SUMIFS(Table2[NewPointsHome],Table2[GameDate], "&lt;=" &amp; $A163, Table2[HomeTeam], Y$1)</f>
        <v>19</v>
      </c>
      <c r="Z163" s="145">
        <f>SUMIFS(Table2[NewPointsAway],Table2[GameDate], "&lt;=" &amp; $A163, Table2[AwayTeam], Z$1)+SUMIFS(Table2[NewPointsHome],Table2[GameDate], "&lt;=" &amp; $A163, Table2[HomeTeam], Z$1)</f>
        <v>15</v>
      </c>
      <c r="AA163" s="145">
        <f>SUMIFS(Table2[NewPointsAway],Table2[GameDate], "&lt;=" &amp; $A163, Table2[AwayTeam], AA$1)+SUMIFS(Table2[NewPointsHome],Table2[GameDate], "&lt;=" &amp; $A163, Table2[HomeTeam], AA$1)</f>
        <v>18</v>
      </c>
      <c r="AB163" s="145">
        <f>SUMIFS(Table2[NewPointsAway],Table2[GameDate], "&lt;=" &amp; $A163, Table2[AwayTeam], AB$1)+SUMIFS(Table2[NewPointsHome],Table2[GameDate], "&lt;=" &amp; $A163, Table2[HomeTeam], AB$1)</f>
        <v>17</v>
      </c>
      <c r="AC163" s="145">
        <f>SUMIFS(Table2[NewPointsAway],Table2[GameDate], "&lt;=" &amp; $A163, Table2[AwayTeam], AC$1)+SUMIFS(Table2[NewPointsHome],Table2[GameDate], "&lt;=" &amp; $A163, Table2[HomeTeam], AC$1)</f>
        <v>18</v>
      </c>
      <c r="AD163" s="145">
        <f>SUMIFS(Table2[NewPointsAway],Table2[GameDate], "&lt;=" &amp; $A163, Table2[AwayTeam], AD$1)+SUMIFS(Table2[NewPointsHome],Table2[GameDate], "&lt;=" &amp; $A163, Table2[HomeTeam], AD$1)</f>
        <v>17</v>
      </c>
      <c r="AE163" s="145">
        <f>SUMIFS(Table2[NewPointsAway],Table2[GameDate], "&lt;=" &amp; $A163, Table2[AwayTeam], AE$1)+SUMIFS(Table2[NewPointsHome],Table2[GameDate], "&lt;=" &amp; $A163, Table2[HomeTeam], AE$1)</f>
        <v>18</v>
      </c>
      <c r="AF163" s="145">
        <f>SUMIFS(Table2[NewPointsAway],Table2[GameDate], "&lt;=" &amp; $A163, Table2[AwayTeam], AF$1)+SUMIFS(Table2[NewPointsHome],Table2[GameDate], "&lt;=" &amp; $A163, Table2[HomeTeam], AF$1)</f>
        <v>20</v>
      </c>
      <c r="AG163" s="145">
        <f>SUMIFS(Table2[NewPointsAway],Table2[GameDate], "&lt;=" &amp; $A163, Table2[AwayTeam], AG$1)+SUMIFS(Table2[NewPointsHome],Table2[GameDate], "&lt;=" &amp; $A163, Table2[HomeTeam], AG$1)</f>
        <v>17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23</v>
      </c>
      <c r="C164" s="145">
        <f>SUMIFS(Table2[NewPointsAway],Table2[GameDate], "&lt;=" &amp; $A164, Table2[AwayTeam], C$1)+SUMIFS(Table2[NewPointsHome],Table2[GameDate], "&lt;=" &amp; $A164, Table2[HomeTeam], C$1)</f>
        <v>22</v>
      </c>
      <c r="D164" s="145">
        <f>SUMIFS(Table2[NewPointsAway],Table2[GameDate], "&lt;=" &amp; $A164, Table2[AwayTeam], D$1)+SUMIFS(Table2[NewPointsHome],Table2[GameDate], "&lt;=" &amp; $A164, Table2[HomeTeam], D$1)</f>
        <v>14</v>
      </c>
      <c r="E164" s="145">
        <f>SUMIFS(Table2[NewPointsAway],Table2[GameDate], "&lt;=" &amp; $A164, Table2[AwayTeam], E$1)+SUMIFS(Table2[NewPointsHome],Table2[GameDate], "&lt;=" &amp; $A164, Table2[HomeTeam], E$1)</f>
        <v>22</v>
      </c>
      <c r="F164" s="145">
        <f>SUMIFS(Table2[NewPointsAway],Table2[GameDate], "&lt;=" &amp; $A164, Table2[AwayTeam], F$1)+SUMIFS(Table2[NewPointsHome],Table2[GameDate], "&lt;=" &amp; $A164, Table2[HomeTeam], F$1)</f>
        <v>17</v>
      </c>
      <c r="G164" s="145">
        <f>SUMIFS(Table2[NewPointsAway],Table2[GameDate], "&lt;=" &amp; $A164, Table2[AwayTeam], G$1)+SUMIFS(Table2[NewPointsHome],Table2[GameDate], "&lt;=" &amp; $A164, Table2[HomeTeam], G$1)</f>
        <v>10</v>
      </c>
      <c r="H164" s="145">
        <f>SUMIFS(Table2[NewPointsAway],Table2[GameDate], "&lt;=" &amp; $A164, Table2[AwayTeam], H$1)+SUMIFS(Table2[NewPointsHome],Table2[GameDate], "&lt;=" &amp; $A164, Table2[HomeTeam], H$1)</f>
        <v>19</v>
      </c>
      <c r="I164" s="145">
        <f>SUMIFS(Table2[NewPointsAway],Table2[GameDate], "&lt;=" &amp; $A164, Table2[AwayTeam], I$1)+SUMIFS(Table2[NewPointsHome],Table2[GameDate], "&lt;=" &amp; $A164, Table2[HomeTeam], I$1)</f>
        <v>27</v>
      </c>
      <c r="J164" s="145">
        <f>SUMIFS(Table2[NewPointsAway],Table2[GameDate], "&lt;=" &amp; $A164, Table2[AwayTeam], J$1)+SUMIFS(Table2[NewPointsHome],Table2[GameDate], "&lt;=" &amp; $A164, Table2[HomeTeam], J$1)</f>
        <v>23</v>
      </c>
      <c r="K164" s="145">
        <f>SUMIFS(Table2[NewPointsAway],Table2[GameDate], "&lt;=" &amp; $A164, Table2[AwayTeam], K$1)+SUMIFS(Table2[NewPointsHome],Table2[GameDate], "&lt;=" &amp; $A164, Table2[HomeTeam], K$1)</f>
        <v>18</v>
      </c>
      <c r="L164" s="145">
        <f>SUMIFS(Table2[NewPointsAway],Table2[GameDate], "&lt;=" &amp; $A164, Table2[AwayTeam], L$1)+SUMIFS(Table2[NewPointsHome],Table2[GameDate], "&lt;=" &amp; $A164, Table2[HomeTeam], L$1)</f>
        <v>20</v>
      </c>
      <c r="M164" s="145">
        <f>SUMIFS(Table2[NewPointsAway],Table2[GameDate], "&lt;=" &amp; $A164, Table2[AwayTeam], M$1)+SUMIFS(Table2[NewPointsHome],Table2[GameDate], "&lt;=" &amp; $A164, Table2[HomeTeam], M$1)</f>
        <v>17</v>
      </c>
      <c r="N164" s="145">
        <f>SUMIFS(Table2[NewPointsAway],Table2[GameDate], "&lt;=" &amp; $A164, Table2[AwayTeam], N$1)+SUMIFS(Table2[NewPointsHome],Table2[GameDate], "&lt;=" &amp; $A164, Table2[HomeTeam], N$1)</f>
        <v>20</v>
      </c>
      <c r="O164" s="145">
        <f>SUMIFS(Table2[NewPointsAway],Table2[GameDate], "&lt;=" &amp; $A164, Table2[AwayTeam], O$1)+SUMIFS(Table2[NewPointsHome],Table2[GameDate], "&lt;=" &amp; $A164, Table2[HomeTeam], O$1)</f>
        <v>18</v>
      </c>
      <c r="P164" s="145">
        <f>SUMIFS(Table2[NewPointsAway],Table2[GameDate], "&lt;=" &amp; $A164, Table2[AwayTeam], P$1)+SUMIFS(Table2[NewPointsHome],Table2[GameDate], "&lt;=" &amp; $A164, Table2[HomeTeam], P$1)</f>
        <v>22</v>
      </c>
      <c r="Q164" s="145">
        <f>SUMIFS(Table2[NewPointsAway],Table2[GameDate], "&lt;=" &amp; $A164, Table2[AwayTeam], Q$1)+SUMIFS(Table2[NewPointsHome],Table2[GameDate], "&lt;=" &amp; $A164, Table2[HomeTeam], Q$1)</f>
        <v>23</v>
      </c>
      <c r="R164" s="145">
        <f>SUMIFS(Table2[NewPointsAway],Table2[GameDate], "&lt;=" &amp; $A164, Table2[AwayTeam], R$1)+SUMIFS(Table2[NewPointsHome],Table2[GameDate], "&lt;=" &amp; $A164, Table2[HomeTeam], R$1)</f>
        <v>14</v>
      </c>
      <c r="S164" s="145">
        <f>SUMIFS(Table2[NewPointsAway],Table2[GameDate], "&lt;=" &amp; $A164, Table2[AwayTeam], S$1)+SUMIFS(Table2[NewPointsHome],Table2[GameDate], "&lt;=" &amp; $A164, Table2[HomeTeam], S$1)</f>
        <v>18</v>
      </c>
      <c r="T164" s="145">
        <f>SUMIFS(Table2[NewPointsAway],Table2[GameDate], "&lt;=" &amp; $A164, Table2[AwayTeam], T$1)+SUMIFS(Table2[NewPointsHome],Table2[GameDate], "&lt;=" &amp; $A164, Table2[HomeTeam], T$1)</f>
        <v>20</v>
      </c>
      <c r="U164" s="145">
        <f>SUMIFS(Table2[NewPointsAway],Table2[GameDate], "&lt;=" &amp; $A164, Table2[AwayTeam], U$1)+SUMIFS(Table2[NewPointsHome],Table2[GameDate], "&lt;=" &amp; $A164, Table2[HomeTeam], U$1)</f>
        <v>20</v>
      </c>
      <c r="V164" s="145">
        <f>SUMIFS(Table2[NewPointsAway],Table2[GameDate], "&lt;=" &amp; $A164, Table2[AwayTeam], V$1)+SUMIFS(Table2[NewPointsHome],Table2[GameDate], "&lt;=" &amp; $A164, Table2[HomeTeam], V$1)</f>
        <v>19</v>
      </c>
      <c r="W164" s="145">
        <f>SUMIFS(Table2[NewPointsAway],Table2[GameDate], "&lt;=" &amp; $A164, Table2[AwayTeam], W$1)+SUMIFS(Table2[NewPointsHome],Table2[GameDate], "&lt;=" &amp; $A164, Table2[HomeTeam], W$1)</f>
        <v>21</v>
      </c>
      <c r="X164" s="145">
        <f>SUMIFS(Table2[NewPointsAway],Table2[GameDate], "&lt;=" &amp; $A164, Table2[AwayTeam], X$1)+SUMIFS(Table2[NewPointsHome],Table2[GameDate], "&lt;=" &amp; $A164, Table2[HomeTeam], X$1)</f>
        <v>19</v>
      </c>
      <c r="Y164" s="145">
        <f>SUMIFS(Table2[NewPointsAway],Table2[GameDate], "&lt;=" &amp; $A164, Table2[AwayTeam], Y$1)+SUMIFS(Table2[NewPointsHome],Table2[GameDate], "&lt;=" &amp; $A164, Table2[HomeTeam], Y$1)</f>
        <v>19</v>
      </c>
      <c r="Z164" s="145">
        <f>SUMIFS(Table2[NewPointsAway],Table2[GameDate], "&lt;=" &amp; $A164, Table2[AwayTeam], Z$1)+SUMIFS(Table2[NewPointsHome],Table2[GameDate], "&lt;=" &amp; $A164, Table2[HomeTeam], Z$1)</f>
        <v>15</v>
      </c>
      <c r="AA164" s="145">
        <f>SUMIFS(Table2[NewPointsAway],Table2[GameDate], "&lt;=" &amp; $A164, Table2[AwayTeam], AA$1)+SUMIFS(Table2[NewPointsHome],Table2[GameDate], "&lt;=" &amp; $A164, Table2[HomeTeam], AA$1)</f>
        <v>18</v>
      </c>
      <c r="AB164" s="145">
        <f>SUMIFS(Table2[NewPointsAway],Table2[GameDate], "&lt;=" &amp; $A164, Table2[AwayTeam], AB$1)+SUMIFS(Table2[NewPointsHome],Table2[GameDate], "&lt;=" &amp; $A164, Table2[HomeTeam], AB$1)</f>
        <v>17</v>
      </c>
      <c r="AC164" s="145">
        <f>SUMIFS(Table2[NewPointsAway],Table2[GameDate], "&lt;=" &amp; $A164, Table2[AwayTeam], AC$1)+SUMIFS(Table2[NewPointsHome],Table2[GameDate], "&lt;=" &amp; $A164, Table2[HomeTeam], AC$1)</f>
        <v>18</v>
      </c>
      <c r="AD164" s="145">
        <f>SUMIFS(Table2[NewPointsAway],Table2[GameDate], "&lt;=" &amp; $A164, Table2[AwayTeam], AD$1)+SUMIFS(Table2[NewPointsHome],Table2[GameDate], "&lt;=" &amp; $A164, Table2[HomeTeam], AD$1)</f>
        <v>17</v>
      </c>
      <c r="AE164" s="145">
        <f>SUMIFS(Table2[NewPointsAway],Table2[GameDate], "&lt;=" &amp; $A164, Table2[AwayTeam], AE$1)+SUMIFS(Table2[NewPointsHome],Table2[GameDate], "&lt;=" &amp; $A164, Table2[HomeTeam], AE$1)</f>
        <v>18</v>
      </c>
      <c r="AF164" s="145">
        <f>SUMIFS(Table2[NewPointsAway],Table2[GameDate], "&lt;=" &amp; $A164, Table2[AwayTeam], AF$1)+SUMIFS(Table2[NewPointsHome],Table2[GameDate], "&lt;=" &amp; $A164, Table2[HomeTeam], AF$1)</f>
        <v>20</v>
      </c>
      <c r="AG164" s="145">
        <f>SUMIFS(Table2[NewPointsAway],Table2[GameDate], "&lt;=" &amp; $A164, Table2[AwayTeam], AG$1)+SUMIFS(Table2[NewPointsHome],Table2[GameDate], "&lt;=" &amp; $A164, Table2[HomeTeam], AG$1)</f>
        <v>17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23</v>
      </c>
      <c r="C165" s="145">
        <f>SUMIFS(Table2[NewPointsAway],Table2[GameDate], "&lt;=" &amp; $A165, Table2[AwayTeam], C$1)+SUMIFS(Table2[NewPointsHome],Table2[GameDate], "&lt;=" &amp; $A165, Table2[HomeTeam], C$1)</f>
        <v>22</v>
      </c>
      <c r="D165" s="145">
        <f>SUMIFS(Table2[NewPointsAway],Table2[GameDate], "&lt;=" &amp; $A165, Table2[AwayTeam], D$1)+SUMIFS(Table2[NewPointsHome],Table2[GameDate], "&lt;=" &amp; $A165, Table2[HomeTeam], D$1)</f>
        <v>14</v>
      </c>
      <c r="E165" s="145">
        <f>SUMIFS(Table2[NewPointsAway],Table2[GameDate], "&lt;=" &amp; $A165, Table2[AwayTeam], E$1)+SUMIFS(Table2[NewPointsHome],Table2[GameDate], "&lt;=" &amp; $A165, Table2[HomeTeam], E$1)</f>
        <v>22</v>
      </c>
      <c r="F165" s="145">
        <f>SUMIFS(Table2[NewPointsAway],Table2[GameDate], "&lt;=" &amp; $A165, Table2[AwayTeam], F$1)+SUMIFS(Table2[NewPointsHome],Table2[GameDate], "&lt;=" &amp; $A165, Table2[HomeTeam], F$1)</f>
        <v>17</v>
      </c>
      <c r="G165" s="145">
        <f>SUMIFS(Table2[NewPointsAway],Table2[GameDate], "&lt;=" &amp; $A165, Table2[AwayTeam], G$1)+SUMIFS(Table2[NewPointsHome],Table2[GameDate], "&lt;=" &amp; $A165, Table2[HomeTeam], G$1)</f>
        <v>10</v>
      </c>
      <c r="H165" s="145">
        <f>SUMIFS(Table2[NewPointsAway],Table2[GameDate], "&lt;=" &amp; $A165, Table2[AwayTeam], H$1)+SUMIFS(Table2[NewPointsHome],Table2[GameDate], "&lt;=" &amp; $A165, Table2[HomeTeam], H$1)</f>
        <v>19</v>
      </c>
      <c r="I165" s="145">
        <f>SUMIFS(Table2[NewPointsAway],Table2[GameDate], "&lt;=" &amp; $A165, Table2[AwayTeam], I$1)+SUMIFS(Table2[NewPointsHome],Table2[GameDate], "&lt;=" &amp; $A165, Table2[HomeTeam], I$1)</f>
        <v>27</v>
      </c>
      <c r="J165" s="145">
        <f>SUMIFS(Table2[NewPointsAway],Table2[GameDate], "&lt;=" &amp; $A165, Table2[AwayTeam], J$1)+SUMIFS(Table2[NewPointsHome],Table2[GameDate], "&lt;=" &amp; $A165, Table2[HomeTeam], J$1)</f>
        <v>23</v>
      </c>
      <c r="K165" s="145">
        <f>SUMIFS(Table2[NewPointsAway],Table2[GameDate], "&lt;=" &amp; $A165, Table2[AwayTeam], K$1)+SUMIFS(Table2[NewPointsHome],Table2[GameDate], "&lt;=" &amp; $A165, Table2[HomeTeam], K$1)</f>
        <v>18</v>
      </c>
      <c r="L165" s="145">
        <f>SUMIFS(Table2[NewPointsAway],Table2[GameDate], "&lt;=" &amp; $A165, Table2[AwayTeam], L$1)+SUMIFS(Table2[NewPointsHome],Table2[GameDate], "&lt;=" &amp; $A165, Table2[HomeTeam], L$1)</f>
        <v>20</v>
      </c>
      <c r="M165" s="145">
        <f>SUMIFS(Table2[NewPointsAway],Table2[GameDate], "&lt;=" &amp; $A165, Table2[AwayTeam], M$1)+SUMIFS(Table2[NewPointsHome],Table2[GameDate], "&lt;=" &amp; $A165, Table2[HomeTeam], M$1)</f>
        <v>17</v>
      </c>
      <c r="N165" s="145">
        <f>SUMIFS(Table2[NewPointsAway],Table2[GameDate], "&lt;=" &amp; $A165, Table2[AwayTeam], N$1)+SUMIFS(Table2[NewPointsHome],Table2[GameDate], "&lt;=" &amp; $A165, Table2[HomeTeam], N$1)</f>
        <v>20</v>
      </c>
      <c r="O165" s="145">
        <f>SUMIFS(Table2[NewPointsAway],Table2[GameDate], "&lt;=" &amp; $A165, Table2[AwayTeam], O$1)+SUMIFS(Table2[NewPointsHome],Table2[GameDate], "&lt;=" &amp; $A165, Table2[HomeTeam], O$1)</f>
        <v>18</v>
      </c>
      <c r="P165" s="145">
        <f>SUMIFS(Table2[NewPointsAway],Table2[GameDate], "&lt;=" &amp; $A165, Table2[AwayTeam], P$1)+SUMIFS(Table2[NewPointsHome],Table2[GameDate], "&lt;=" &amp; $A165, Table2[HomeTeam], P$1)</f>
        <v>22</v>
      </c>
      <c r="Q165" s="145">
        <f>SUMIFS(Table2[NewPointsAway],Table2[GameDate], "&lt;=" &amp; $A165, Table2[AwayTeam], Q$1)+SUMIFS(Table2[NewPointsHome],Table2[GameDate], "&lt;=" &amp; $A165, Table2[HomeTeam], Q$1)</f>
        <v>23</v>
      </c>
      <c r="R165" s="145">
        <f>SUMIFS(Table2[NewPointsAway],Table2[GameDate], "&lt;=" &amp; $A165, Table2[AwayTeam], R$1)+SUMIFS(Table2[NewPointsHome],Table2[GameDate], "&lt;=" &amp; $A165, Table2[HomeTeam], R$1)</f>
        <v>14</v>
      </c>
      <c r="S165" s="145">
        <f>SUMIFS(Table2[NewPointsAway],Table2[GameDate], "&lt;=" &amp; $A165, Table2[AwayTeam], S$1)+SUMIFS(Table2[NewPointsHome],Table2[GameDate], "&lt;=" &amp; $A165, Table2[HomeTeam], S$1)</f>
        <v>18</v>
      </c>
      <c r="T165" s="145">
        <f>SUMIFS(Table2[NewPointsAway],Table2[GameDate], "&lt;=" &amp; $A165, Table2[AwayTeam], T$1)+SUMIFS(Table2[NewPointsHome],Table2[GameDate], "&lt;=" &amp; $A165, Table2[HomeTeam], T$1)</f>
        <v>20</v>
      </c>
      <c r="U165" s="145">
        <f>SUMIFS(Table2[NewPointsAway],Table2[GameDate], "&lt;=" &amp; $A165, Table2[AwayTeam], U$1)+SUMIFS(Table2[NewPointsHome],Table2[GameDate], "&lt;=" &amp; $A165, Table2[HomeTeam], U$1)</f>
        <v>20</v>
      </c>
      <c r="V165" s="145">
        <f>SUMIFS(Table2[NewPointsAway],Table2[GameDate], "&lt;=" &amp; $A165, Table2[AwayTeam], V$1)+SUMIFS(Table2[NewPointsHome],Table2[GameDate], "&lt;=" &amp; $A165, Table2[HomeTeam], V$1)</f>
        <v>19</v>
      </c>
      <c r="W165" s="145">
        <f>SUMIFS(Table2[NewPointsAway],Table2[GameDate], "&lt;=" &amp; $A165, Table2[AwayTeam], W$1)+SUMIFS(Table2[NewPointsHome],Table2[GameDate], "&lt;=" &amp; $A165, Table2[HomeTeam], W$1)</f>
        <v>21</v>
      </c>
      <c r="X165" s="145">
        <f>SUMIFS(Table2[NewPointsAway],Table2[GameDate], "&lt;=" &amp; $A165, Table2[AwayTeam], X$1)+SUMIFS(Table2[NewPointsHome],Table2[GameDate], "&lt;=" &amp; $A165, Table2[HomeTeam], X$1)</f>
        <v>19</v>
      </c>
      <c r="Y165" s="145">
        <f>SUMIFS(Table2[NewPointsAway],Table2[GameDate], "&lt;=" &amp; $A165, Table2[AwayTeam], Y$1)+SUMIFS(Table2[NewPointsHome],Table2[GameDate], "&lt;=" &amp; $A165, Table2[HomeTeam], Y$1)</f>
        <v>19</v>
      </c>
      <c r="Z165" s="145">
        <f>SUMIFS(Table2[NewPointsAway],Table2[GameDate], "&lt;=" &amp; $A165, Table2[AwayTeam], Z$1)+SUMIFS(Table2[NewPointsHome],Table2[GameDate], "&lt;=" &amp; $A165, Table2[HomeTeam], Z$1)</f>
        <v>15</v>
      </c>
      <c r="AA165" s="145">
        <f>SUMIFS(Table2[NewPointsAway],Table2[GameDate], "&lt;=" &amp; $A165, Table2[AwayTeam], AA$1)+SUMIFS(Table2[NewPointsHome],Table2[GameDate], "&lt;=" &amp; $A165, Table2[HomeTeam], AA$1)</f>
        <v>18</v>
      </c>
      <c r="AB165" s="145">
        <f>SUMIFS(Table2[NewPointsAway],Table2[GameDate], "&lt;=" &amp; $A165, Table2[AwayTeam], AB$1)+SUMIFS(Table2[NewPointsHome],Table2[GameDate], "&lt;=" &amp; $A165, Table2[HomeTeam], AB$1)</f>
        <v>17</v>
      </c>
      <c r="AC165" s="145">
        <f>SUMIFS(Table2[NewPointsAway],Table2[GameDate], "&lt;=" &amp; $A165, Table2[AwayTeam], AC$1)+SUMIFS(Table2[NewPointsHome],Table2[GameDate], "&lt;=" &amp; $A165, Table2[HomeTeam], AC$1)</f>
        <v>18</v>
      </c>
      <c r="AD165" s="145">
        <f>SUMIFS(Table2[NewPointsAway],Table2[GameDate], "&lt;=" &amp; $A165, Table2[AwayTeam], AD$1)+SUMIFS(Table2[NewPointsHome],Table2[GameDate], "&lt;=" &amp; $A165, Table2[HomeTeam], AD$1)</f>
        <v>17</v>
      </c>
      <c r="AE165" s="145">
        <f>SUMIFS(Table2[NewPointsAway],Table2[GameDate], "&lt;=" &amp; $A165, Table2[AwayTeam], AE$1)+SUMIFS(Table2[NewPointsHome],Table2[GameDate], "&lt;=" &amp; $A165, Table2[HomeTeam], AE$1)</f>
        <v>18</v>
      </c>
      <c r="AF165" s="145">
        <f>SUMIFS(Table2[NewPointsAway],Table2[GameDate], "&lt;=" &amp; $A165, Table2[AwayTeam], AF$1)+SUMIFS(Table2[NewPointsHome],Table2[GameDate], "&lt;=" &amp; $A165, Table2[HomeTeam], AF$1)</f>
        <v>20</v>
      </c>
      <c r="AG165" s="145">
        <f>SUMIFS(Table2[NewPointsAway],Table2[GameDate], "&lt;=" &amp; $A165, Table2[AwayTeam], AG$1)+SUMIFS(Table2[NewPointsHome],Table2[GameDate], "&lt;=" &amp; $A165, Table2[HomeTeam], AG$1)</f>
        <v>17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23</v>
      </c>
      <c r="C166" s="145">
        <f>SUMIFS(Table2[NewPointsAway],Table2[GameDate], "&lt;=" &amp; $A166, Table2[AwayTeam], C$1)+SUMIFS(Table2[NewPointsHome],Table2[GameDate], "&lt;=" &amp; $A166, Table2[HomeTeam], C$1)</f>
        <v>22</v>
      </c>
      <c r="D166" s="145">
        <f>SUMIFS(Table2[NewPointsAway],Table2[GameDate], "&lt;=" &amp; $A166, Table2[AwayTeam], D$1)+SUMIFS(Table2[NewPointsHome],Table2[GameDate], "&lt;=" &amp; $A166, Table2[HomeTeam], D$1)</f>
        <v>14</v>
      </c>
      <c r="E166" s="145">
        <f>SUMIFS(Table2[NewPointsAway],Table2[GameDate], "&lt;=" &amp; $A166, Table2[AwayTeam], E$1)+SUMIFS(Table2[NewPointsHome],Table2[GameDate], "&lt;=" &amp; $A166, Table2[HomeTeam], E$1)</f>
        <v>22</v>
      </c>
      <c r="F166" s="145">
        <f>SUMIFS(Table2[NewPointsAway],Table2[GameDate], "&lt;=" &amp; $A166, Table2[AwayTeam], F$1)+SUMIFS(Table2[NewPointsHome],Table2[GameDate], "&lt;=" &amp; $A166, Table2[HomeTeam], F$1)</f>
        <v>17</v>
      </c>
      <c r="G166" s="145">
        <f>SUMIFS(Table2[NewPointsAway],Table2[GameDate], "&lt;=" &amp; $A166, Table2[AwayTeam], G$1)+SUMIFS(Table2[NewPointsHome],Table2[GameDate], "&lt;=" &amp; $A166, Table2[HomeTeam], G$1)</f>
        <v>10</v>
      </c>
      <c r="H166" s="145">
        <f>SUMIFS(Table2[NewPointsAway],Table2[GameDate], "&lt;=" &amp; $A166, Table2[AwayTeam], H$1)+SUMIFS(Table2[NewPointsHome],Table2[GameDate], "&lt;=" &amp; $A166, Table2[HomeTeam], H$1)</f>
        <v>19</v>
      </c>
      <c r="I166" s="145">
        <f>SUMIFS(Table2[NewPointsAway],Table2[GameDate], "&lt;=" &amp; $A166, Table2[AwayTeam], I$1)+SUMIFS(Table2[NewPointsHome],Table2[GameDate], "&lt;=" &amp; $A166, Table2[HomeTeam], I$1)</f>
        <v>27</v>
      </c>
      <c r="J166" s="145">
        <f>SUMIFS(Table2[NewPointsAway],Table2[GameDate], "&lt;=" &amp; $A166, Table2[AwayTeam], J$1)+SUMIFS(Table2[NewPointsHome],Table2[GameDate], "&lt;=" &amp; $A166, Table2[HomeTeam], J$1)</f>
        <v>23</v>
      </c>
      <c r="K166" s="145">
        <f>SUMIFS(Table2[NewPointsAway],Table2[GameDate], "&lt;=" &amp; $A166, Table2[AwayTeam], K$1)+SUMIFS(Table2[NewPointsHome],Table2[GameDate], "&lt;=" &amp; $A166, Table2[HomeTeam], K$1)</f>
        <v>18</v>
      </c>
      <c r="L166" s="145">
        <f>SUMIFS(Table2[NewPointsAway],Table2[GameDate], "&lt;=" &amp; $A166, Table2[AwayTeam], L$1)+SUMIFS(Table2[NewPointsHome],Table2[GameDate], "&lt;=" &amp; $A166, Table2[HomeTeam], L$1)</f>
        <v>20</v>
      </c>
      <c r="M166" s="145">
        <f>SUMIFS(Table2[NewPointsAway],Table2[GameDate], "&lt;=" &amp; $A166, Table2[AwayTeam], M$1)+SUMIFS(Table2[NewPointsHome],Table2[GameDate], "&lt;=" &amp; $A166, Table2[HomeTeam], M$1)</f>
        <v>17</v>
      </c>
      <c r="N166" s="145">
        <f>SUMIFS(Table2[NewPointsAway],Table2[GameDate], "&lt;=" &amp; $A166, Table2[AwayTeam], N$1)+SUMIFS(Table2[NewPointsHome],Table2[GameDate], "&lt;=" &amp; $A166, Table2[HomeTeam], N$1)</f>
        <v>20</v>
      </c>
      <c r="O166" s="145">
        <f>SUMIFS(Table2[NewPointsAway],Table2[GameDate], "&lt;=" &amp; $A166, Table2[AwayTeam], O$1)+SUMIFS(Table2[NewPointsHome],Table2[GameDate], "&lt;=" &amp; $A166, Table2[HomeTeam], O$1)</f>
        <v>18</v>
      </c>
      <c r="P166" s="145">
        <f>SUMIFS(Table2[NewPointsAway],Table2[GameDate], "&lt;=" &amp; $A166, Table2[AwayTeam], P$1)+SUMIFS(Table2[NewPointsHome],Table2[GameDate], "&lt;=" &amp; $A166, Table2[HomeTeam], P$1)</f>
        <v>22</v>
      </c>
      <c r="Q166" s="145">
        <f>SUMIFS(Table2[NewPointsAway],Table2[GameDate], "&lt;=" &amp; $A166, Table2[AwayTeam], Q$1)+SUMIFS(Table2[NewPointsHome],Table2[GameDate], "&lt;=" &amp; $A166, Table2[HomeTeam], Q$1)</f>
        <v>23</v>
      </c>
      <c r="R166" s="145">
        <f>SUMIFS(Table2[NewPointsAway],Table2[GameDate], "&lt;=" &amp; $A166, Table2[AwayTeam], R$1)+SUMIFS(Table2[NewPointsHome],Table2[GameDate], "&lt;=" &amp; $A166, Table2[HomeTeam], R$1)</f>
        <v>14</v>
      </c>
      <c r="S166" s="145">
        <f>SUMIFS(Table2[NewPointsAway],Table2[GameDate], "&lt;=" &amp; $A166, Table2[AwayTeam], S$1)+SUMIFS(Table2[NewPointsHome],Table2[GameDate], "&lt;=" &amp; $A166, Table2[HomeTeam], S$1)</f>
        <v>18</v>
      </c>
      <c r="T166" s="145">
        <f>SUMIFS(Table2[NewPointsAway],Table2[GameDate], "&lt;=" &amp; $A166, Table2[AwayTeam], T$1)+SUMIFS(Table2[NewPointsHome],Table2[GameDate], "&lt;=" &amp; $A166, Table2[HomeTeam], T$1)</f>
        <v>20</v>
      </c>
      <c r="U166" s="145">
        <f>SUMIFS(Table2[NewPointsAway],Table2[GameDate], "&lt;=" &amp; $A166, Table2[AwayTeam], U$1)+SUMIFS(Table2[NewPointsHome],Table2[GameDate], "&lt;=" &amp; $A166, Table2[HomeTeam], U$1)</f>
        <v>20</v>
      </c>
      <c r="V166" s="145">
        <f>SUMIFS(Table2[NewPointsAway],Table2[GameDate], "&lt;=" &amp; $A166, Table2[AwayTeam], V$1)+SUMIFS(Table2[NewPointsHome],Table2[GameDate], "&lt;=" &amp; $A166, Table2[HomeTeam], V$1)</f>
        <v>19</v>
      </c>
      <c r="W166" s="145">
        <f>SUMIFS(Table2[NewPointsAway],Table2[GameDate], "&lt;=" &amp; $A166, Table2[AwayTeam], W$1)+SUMIFS(Table2[NewPointsHome],Table2[GameDate], "&lt;=" &amp; $A166, Table2[HomeTeam], W$1)</f>
        <v>21</v>
      </c>
      <c r="X166" s="145">
        <f>SUMIFS(Table2[NewPointsAway],Table2[GameDate], "&lt;=" &amp; $A166, Table2[AwayTeam], X$1)+SUMIFS(Table2[NewPointsHome],Table2[GameDate], "&lt;=" &amp; $A166, Table2[HomeTeam], X$1)</f>
        <v>19</v>
      </c>
      <c r="Y166" s="145">
        <f>SUMIFS(Table2[NewPointsAway],Table2[GameDate], "&lt;=" &amp; $A166, Table2[AwayTeam], Y$1)+SUMIFS(Table2[NewPointsHome],Table2[GameDate], "&lt;=" &amp; $A166, Table2[HomeTeam], Y$1)</f>
        <v>19</v>
      </c>
      <c r="Z166" s="145">
        <f>SUMIFS(Table2[NewPointsAway],Table2[GameDate], "&lt;=" &amp; $A166, Table2[AwayTeam], Z$1)+SUMIFS(Table2[NewPointsHome],Table2[GameDate], "&lt;=" &amp; $A166, Table2[HomeTeam], Z$1)</f>
        <v>15</v>
      </c>
      <c r="AA166" s="145">
        <f>SUMIFS(Table2[NewPointsAway],Table2[GameDate], "&lt;=" &amp; $A166, Table2[AwayTeam], AA$1)+SUMIFS(Table2[NewPointsHome],Table2[GameDate], "&lt;=" &amp; $A166, Table2[HomeTeam], AA$1)</f>
        <v>18</v>
      </c>
      <c r="AB166" s="145">
        <f>SUMIFS(Table2[NewPointsAway],Table2[GameDate], "&lt;=" &amp; $A166, Table2[AwayTeam], AB$1)+SUMIFS(Table2[NewPointsHome],Table2[GameDate], "&lt;=" &amp; $A166, Table2[HomeTeam], AB$1)</f>
        <v>17</v>
      </c>
      <c r="AC166" s="145">
        <f>SUMIFS(Table2[NewPointsAway],Table2[GameDate], "&lt;=" &amp; $A166, Table2[AwayTeam], AC$1)+SUMIFS(Table2[NewPointsHome],Table2[GameDate], "&lt;=" &amp; $A166, Table2[HomeTeam], AC$1)</f>
        <v>18</v>
      </c>
      <c r="AD166" s="145">
        <f>SUMIFS(Table2[NewPointsAway],Table2[GameDate], "&lt;=" &amp; $A166, Table2[AwayTeam], AD$1)+SUMIFS(Table2[NewPointsHome],Table2[GameDate], "&lt;=" &amp; $A166, Table2[HomeTeam], AD$1)</f>
        <v>17</v>
      </c>
      <c r="AE166" s="145">
        <f>SUMIFS(Table2[NewPointsAway],Table2[GameDate], "&lt;=" &amp; $A166, Table2[AwayTeam], AE$1)+SUMIFS(Table2[NewPointsHome],Table2[GameDate], "&lt;=" &amp; $A166, Table2[HomeTeam], AE$1)</f>
        <v>18</v>
      </c>
      <c r="AF166" s="145">
        <f>SUMIFS(Table2[NewPointsAway],Table2[GameDate], "&lt;=" &amp; $A166, Table2[AwayTeam], AF$1)+SUMIFS(Table2[NewPointsHome],Table2[GameDate], "&lt;=" &amp; $A166, Table2[HomeTeam], AF$1)</f>
        <v>20</v>
      </c>
      <c r="AG166" s="145">
        <f>SUMIFS(Table2[NewPointsAway],Table2[GameDate], "&lt;=" &amp; $A166, Table2[AwayTeam], AG$1)+SUMIFS(Table2[NewPointsHome],Table2[GameDate], "&lt;=" &amp; $A166, Table2[HomeTeam], AG$1)</f>
        <v>17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23</v>
      </c>
      <c r="C167" s="145">
        <f>SUMIFS(Table2[NewPointsAway],Table2[GameDate], "&lt;=" &amp; $A167, Table2[AwayTeam], C$1)+SUMIFS(Table2[NewPointsHome],Table2[GameDate], "&lt;=" &amp; $A167, Table2[HomeTeam], C$1)</f>
        <v>22</v>
      </c>
      <c r="D167" s="145">
        <f>SUMIFS(Table2[NewPointsAway],Table2[GameDate], "&lt;=" &amp; $A167, Table2[AwayTeam], D$1)+SUMIFS(Table2[NewPointsHome],Table2[GameDate], "&lt;=" &amp; $A167, Table2[HomeTeam], D$1)</f>
        <v>14</v>
      </c>
      <c r="E167" s="145">
        <f>SUMIFS(Table2[NewPointsAway],Table2[GameDate], "&lt;=" &amp; $A167, Table2[AwayTeam], E$1)+SUMIFS(Table2[NewPointsHome],Table2[GameDate], "&lt;=" &amp; $A167, Table2[HomeTeam], E$1)</f>
        <v>22</v>
      </c>
      <c r="F167" s="145">
        <f>SUMIFS(Table2[NewPointsAway],Table2[GameDate], "&lt;=" &amp; $A167, Table2[AwayTeam], F$1)+SUMIFS(Table2[NewPointsHome],Table2[GameDate], "&lt;=" &amp; $A167, Table2[HomeTeam], F$1)</f>
        <v>17</v>
      </c>
      <c r="G167" s="145">
        <f>SUMIFS(Table2[NewPointsAway],Table2[GameDate], "&lt;=" &amp; $A167, Table2[AwayTeam], G$1)+SUMIFS(Table2[NewPointsHome],Table2[GameDate], "&lt;=" &amp; $A167, Table2[HomeTeam], G$1)</f>
        <v>10</v>
      </c>
      <c r="H167" s="145">
        <f>SUMIFS(Table2[NewPointsAway],Table2[GameDate], "&lt;=" &amp; $A167, Table2[AwayTeam], H$1)+SUMIFS(Table2[NewPointsHome],Table2[GameDate], "&lt;=" &amp; $A167, Table2[HomeTeam], H$1)</f>
        <v>19</v>
      </c>
      <c r="I167" s="145">
        <f>SUMIFS(Table2[NewPointsAway],Table2[GameDate], "&lt;=" &amp; $A167, Table2[AwayTeam], I$1)+SUMIFS(Table2[NewPointsHome],Table2[GameDate], "&lt;=" &amp; $A167, Table2[HomeTeam], I$1)</f>
        <v>27</v>
      </c>
      <c r="J167" s="145">
        <f>SUMIFS(Table2[NewPointsAway],Table2[GameDate], "&lt;=" &amp; $A167, Table2[AwayTeam], J$1)+SUMIFS(Table2[NewPointsHome],Table2[GameDate], "&lt;=" &amp; $A167, Table2[HomeTeam], J$1)</f>
        <v>23</v>
      </c>
      <c r="K167" s="145">
        <f>SUMIFS(Table2[NewPointsAway],Table2[GameDate], "&lt;=" &amp; $A167, Table2[AwayTeam], K$1)+SUMIFS(Table2[NewPointsHome],Table2[GameDate], "&lt;=" &amp; $A167, Table2[HomeTeam], K$1)</f>
        <v>18</v>
      </c>
      <c r="L167" s="145">
        <f>SUMIFS(Table2[NewPointsAway],Table2[GameDate], "&lt;=" &amp; $A167, Table2[AwayTeam], L$1)+SUMIFS(Table2[NewPointsHome],Table2[GameDate], "&lt;=" &amp; $A167, Table2[HomeTeam], L$1)</f>
        <v>20</v>
      </c>
      <c r="M167" s="145">
        <f>SUMIFS(Table2[NewPointsAway],Table2[GameDate], "&lt;=" &amp; $A167, Table2[AwayTeam], M$1)+SUMIFS(Table2[NewPointsHome],Table2[GameDate], "&lt;=" &amp; $A167, Table2[HomeTeam], M$1)</f>
        <v>17</v>
      </c>
      <c r="N167" s="145">
        <f>SUMIFS(Table2[NewPointsAway],Table2[GameDate], "&lt;=" &amp; $A167, Table2[AwayTeam], N$1)+SUMIFS(Table2[NewPointsHome],Table2[GameDate], "&lt;=" &amp; $A167, Table2[HomeTeam], N$1)</f>
        <v>20</v>
      </c>
      <c r="O167" s="145">
        <f>SUMIFS(Table2[NewPointsAway],Table2[GameDate], "&lt;=" &amp; $A167, Table2[AwayTeam], O$1)+SUMIFS(Table2[NewPointsHome],Table2[GameDate], "&lt;=" &amp; $A167, Table2[HomeTeam], O$1)</f>
        <v>18</v>
      </c>
      <c r="P167" s="145">
        <f>SUMIFS(Table2[NewPointsAway],Table2[GameDate], "&lt;=" &amp; $A167, Table2[AwayTeam], P$1)+SUMIFS(Table2[NewPointsHome],Table2[GameDate], "&lt;=" &amp; $A167, Table2[HomeTeam], P$1)</f>
        <v>22</v>
      </c>
      <c r="Q167" s="145">
        <f>SUMIFS(Table2[NewPointsAway],Table2[GameDate], "&lt;=" &amp; $A167, Table2[AwayTeam], Q$1)+SUMIFS(Table2[NewPointsHome],Table2[GameDate], "&lt;=" &amp; $A167, Table2[HomeTeam], Q$1)</f>
        <v>23</v>
      </c>
      <c r="R167" s="145">
        <f>SUMIFS(Table2[NewPointsAway],Table2[GameDate], "&lt;=" &amp; $A167, Table2[AwayTeam], R$1)+SUMIFS(Table2[NewPointsHome],Table2[GameDate], "&lt;=" &amp; $A167, Table2[HomeTeam], R$1)</f>
        <v>14</v>
      </c>
      <c r="S167" s="145">
        <f>SUMIFS(Table2[NewPointsAway],Table2[GameDate], "&lt;=" &amp; $A167, Table2[AwayTeam], S$1)+SUMIFS(Table2[NewPointsHome],Table2[GameDate], "&lt;=" &amp; $A167, Table2[HomeTeam], S$1)</f>
        <v>18</v>
      </c>
      <c r="T167" s="145">
        <f>SUMIFS(Table2[NewPointsAway],Table2[GameDate], "&lt;=" &amp; $A167, Table2[AwayTeam], T$1)+SUMIFS(Table2[NewPointsHome],Table2[GameDate], "&lt;=" &amp; $A167, Table2[HomeTeam], T$1)</f>
        <v>20</v>
      </c>
      <c r="U167" s="145">
        <f>SUMIFS(Table2[NewPointsAway],Table2[GameDate], "&lt;=" &amp; $A167, Table2[AwayTeam], U$1)+SUMIFS(Table2[NewPointsHome],Table2[GameDate], "&lt;=" &amp; $A167, Table2[HomeTeam], U$1)</f>
        <v>20</v>
      </c>
      <c r="V167" s="145">
        <f>SUMIFS(Table2[NewPointsAway],Table2[GameDate], "&lt;=" &amp; $A167, Table2[AwayTeam], V$1)+SUMIFS(Table2[NewPointsHome],Table2[GameDate], "&lt;=" &amp; $A167, Table2[HomeTeam], V$1)</f>
        <v>19</v>
      </c>
      <c r="W167" s="145">
        <f>SUMIFS(Table2[NewPointsAway],Table2[GameDate], "&lt;=" &amp; $A167, Table2[AwayTeam], W$1)+SUMIFS(Table2[NewPointsHome],Table2[GameDate], "&lt;=" &amp; $A167, Table2[HomeTeam], W$1)</f>
        <v>21</v>
      </c>
      <c r="X167" s="145">
        <f>SUMIFS(Table2[NewPointsAway],Table2[GameDate], "&lt;=" &amp; $A167, Table2[AwayTeam], X$1)+SUMIFS(Table2[NewPointsHome],Table2[GameDate], "&lt;=" &amp; $A167, Table2[HomeTeam], X$1)</f>
        <v>19</v>
      </c>
      <c r="Y167" s="145">
        <f>SUMIFS(Table2[NewPointsAway],Table2[GameDate], "&lt;=" &amp; $A167, Table2[AwayTeam], Y$1)+SUMIFS(Table2[NewPointsHome],Table2[GameDate], "&lt;=" &amp; $A167, Table2[HomeTeam], Y$1)</f>
        <v>19</v>
      </c>
      <c r="Z167" s="145">
        <f>SUMIFS(Table2[NewPointsAway],Table2[GameDate], "&lt;=" &amp; $A167, Table2[AwayTeam], Z$1)+SUMIFS(Table2[NewPointsHome],Table2[GameDate], "&lt;=" &amp; $A167, Table2[HomeTeam], Z$1)</f>
        <v>15</v>
      </c>
      <c r="AA167" s="145">
        <f>SUMIFS(Table2[NewPointsAway],Table2[GameDate], "&lt;=" &amp; $A167, Table2[AwayTeam], AA$1)+SUMIFS(Table2[NewPointsHome],Table2[GameDate], "&lt;=" &amp; $A167, Table2[HomeTeam], AA$1)</f>
        <v>18</v>
      </c>
      <c r="AB167" s="145">
        <f>SUMIFS(Table2[NewPointsAway],Table2[GameDate], "&lt;=" &amp; $A167, Table2[AwayTeam], AB$1)+SUMIFS(Table2[NewPointsHome],Table2[GameDate], "&lt;=" &amp; $A167, Table2[HomeTeam], AB$1)</f>
        <v>17</v>
      </c>
      <c r="AC167" s="145">
        <f>SUMIFS(Table2[NewPointsAway],Table2[GameDate], "&lt;=" &amp; $A167, Table2[AwayTeam], AC$1)+SUMIFS(Table2[NewPointsHome],Table2[GameDate], "&lt;=" &amp; $A167, Table2[HomeTeam], AC$1)</f>
        <v>18</v>
      </c>
      <c r="AD167" s="145">
        <f>SUMIFS(Table2[NewPointsAway],Table2[GameDate], "&lt;=" &amp; $A167, Table2[AwayTeam], AD$1)+SUMIFS(Table2[NewPointsHome],Table2[GameDate], "&lt;=" &amp; $A167, Table2[HomeTeam], AD$1)</f>
        <v>17</v>
      </c>
      <c r="AE167" s="145">
        <f>SUMIFS(Table2[NewPointsAway],Table2[GameDate], "&lt;=" &amp; $A167, Table2[AwayTeam], AE$1)+SUMIFS(Table2[NewPointsHome],Table2[GameDate], "&lt;=" &amp; $A167, Table2[HomeTeam], AE$1)</f>
        <v>18</v>
      </c>
      <c r="AF167" s="145">
        <f>SUMIFS(Table2[NewPointsAway],Table2[GameDate], "&lt;=" &amp; $A167, Table2[AwayTeam], AF$1)+SUMIFS(Table2[NewPointsHome],Table2[GameDate], "&lt;=" &amp; $A167, Table2[HomeTeam], AF$1)</f>
        <v>20</v>
      </c>
      <c r="AG167" s="145">
        <f>SUMIFS(Table2[NewPointsAway],Table2[GameDate], "&lt;=" &amp; $A167, Table2[AwayTeam], AG$1)+SUMIFS(Table2[NewPointsHome],Table2[GameDate], "&lt;=" &amp; $A167, Table2[HomeTeam], AG$1)</f>
        <v>17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23</v>
      </c>
      <c r="C168" s="145">
        <f>SUMIFS(Table2[NewPointsAway],Table2[GameDate], "&lt;=" &amp; $A168, Table2[AwayTeam], C$1)+SUMIFS(Table2[NewPointsHome],Table2[GameDate], "&lt;=" &amp; $A168, Table2[HomeTeam], C$1)</f>
        <v>22</v>
      </c>
      <c r="D168" s="145">
        <f>SUMIFS(Table2[NewPointsAway],Table2[GameDate], "&lt;=" &amp; $A168, Table2[AwayTeam], D$1)+SUMIFS(Table2[NewPointsHome],Table2[GameDate], "&lt;=" &amp; $A168, Table2[HomeTeam], D$1)</f>
        <v>14</v>
      </c>
      <c r="E168" s="145">
        <f>SUMIFS(Table2[NewPointsAway],Table2[GameDate], "&lt;=" &amp; $A168, Table2[AwayTeam], E$1)+SUMIFS(Table2[NewPointsHome],Table2[GameDate], "&lt;=" &amp; $A168, Table2[HomeTeam], E$1)</f>
        <v>22</v>
      </c>
      <c r="F168" s="145">
        <f>SUMIFS(Table2[NewPointsAway],Table2[GameDate], "&lt;=" &amp; $A168, Table2[AwayTeam], F$1)+SUMIFS(Table2[NewPointsHome],Table2[GameDate], "&lt;=" &amp; $A168, Table2[HomeTeam], F$1)</f>
        <v>17</v>
      </c>
      <c r="G168" s="145">
        <f>SUMIFS(Table2[NewPointsAway],Table2[GameDate], "&lt;=" &amp; $A168, Table2[AwayTeam], G$1)+SUMIFS(Table2[NewPointsHome],Table2[GameDate], "&lt;=" &amp; $A168, Table2[HomeTeam], G$1)</f>
        <v>10</v>
      </c>
      <c r="H168" s="145">
        <f>SUMIFS(Table2[NewPointsAway],Table2[GameDate], "&lt;=" &amp; $A168, Table2[AwayTeam], H$1)+SUMIFS(Table2[NewPointsHome],Table2[GameDate], "&lt;=" &amp; $A168, Table2[HomeTeam], H$1)</f>
        <v>19</v>
      </c>
      <c r="I168" s="145">
        <f>SUMIFS(Table2[NewPointsAway],Table2[GameDate], "&lt;=" &amp; $A168, Table2[AwayTeam], I$1)+SUMIFS(Table2[NewPointsHome],Table2[GameDate], "&lt;=" &amp; $A168, Table2[HomeTeam], I$1)</f>
        <v>27</v>
      </c>
      <c r="J168" s="145">
        <f>SUMIFS(Table2[NewPointsAway],Table2[GameDate], "&lt;=" &amp; $A168, Table2[AwayTeam], J$1)+SUMIFS(Table2[NewPointsHome],Table2[GameDate], "&lt;=" &amp; $A168, Table2[HomeTeam], J$1)</f>
        <v>23</v>
      </c>
      <c r="K168" s="145">
        <f>SUMIFS(Table2[NewPointsAway],Table2[GameDate], "&lt;=" &amp; $A168, Table2[AwayTeam], K$1)+SUMIFS(Table2[NewPointsHome],Table2[GameDate], "&lt;=" &amp; $A168, Table2[HomeTeam], K$1)</f>
        <v>18</v>
      </c>
      <c r="L168" s="145">
        <f>SUMIFS(Table2[NewPointsAway],Table2[GameDate], "&lt;=" &amp; $A168, Table2[AwayTeam], L$1)+SUMIFS(Table2[NewPointsHome],Table2[GameDate], "&lt;=" &amp; $A168, Table2[HomeTeam], L$1)</f>
        <v>20</v>
      </c>
      <c r="M168" s="145">
        <f>SUMIFS(Table2[NewPointsAway],Table2[GameDate], "&lt;=" &amp; $A168, Table2[AwayTeam], M$1)+SUMIFS(Table2[NewPointsHome],Table2[GameDate], "&lt;=" &amp; $A168, Table2[HomeTeam], M$1)</f>
        <v>17</v>
      </c>
      <c r="N168" s="145">
        <f>SUMIFS(Table2[NewPointsAway],Table2[GameDate], "&lt;=" &amp; $A168, Table2[AwayTeam], N$1)+SUMIFS(Table2[NewPointsHome],Table2[GameDate], "&lt;=" &amp; $A168, Table2[HomeTeam], N$1)</f>
        <v>20</v>
      </c>
      <c r="O168" s="145">
        <f>SUMIFS(Table2[NewPointsAway],Table2[GameDate], "&lt;=" &amp; $A168, Table2[AwayTeam], O$1)+SUMIFS(Table2[NewPointsHome],Table2[GameDate], "&lt;=" &amp; $A168, Table2[HomeTeam], O$1)</f>
        <v>18</v>
      </c>
      <c r="P168" s="145">
        <f>SUMIFS(Table2[NewPointsAway],Table2[GameDate], "&lt;=" &amp; $A168, Table2[AwayTeam], P$1)+SUMIFS(Table2[NewPointsHome],Table2[GameDate], "&lt;=" &amp; $A168, Table2[HomeTeam], P$1)</f>
        <v>22</v>
      </c>
      <c r="Q168" s="145">
        <f>SUMIFS(Table2[NewPointsAway],Table2[GameDate], "&lt;=" &amp; $A168, Table2[AwayTeam], Q$1)+SUMIFS(Table2[NewPointsHome],Table2[GameDate], "&lt;=" &amp; $A168, Table2[HomeTeam], Q$1)</f>
        <v>23</v>
      </c>
      <c r="R168" s="145">
        <f>SUMIFS(Table2[NewPointsAway],Table2[GameDate], "&lt;=" &amp; $A168, Table2[AwayTeam], R$1)+SUMIFS(Table2[NewPointsHome],Table2[GameDate], "&lt;=" &amp; $A168, Table2[HomeTeam], R$1)</f>
        <v>14</v>
      </c>
      <c r="S168" s="145">
        <f>SUMIFS(Table2[NewPointsAway],Table2[GameDate], "&lt;=" &amp; $A168, Table2[AwayTeam], S$1)+SUMIFS(Table2[NewPointsHome],Table2[GameDate], "&lt;=" &amp; $A168, Table2[HomeTeam], S$1)</f>
        <v>18</v>
      </c>
      <c r="T168" s="145">
        <f>SUMIFS(Table2[NewPointsAway],Table2[GameDate], "&lt;=" &amp; $A168, Table2[AwayTeam], T$1)+SUMIFS(Table2[NewPointsHome],Table2[GameDate], "&lt;=" &amp; $A168, Table2[HomeTeam], T$1)</f>
        <v>20</v>
      </c>
      <c r="U168" s="145">
        <f>SUMIFS(Table2[NewPointsAway],Table2[GameDate], "&lt;=" &amp; $A168, Table2[AwayTeam], U$1)+SUMIFS(Table2[NewPointsHome],Table2[GameDate], "&lt;=" &amp; $A168, Table2[HomeTeam], U$1)</f>
        <v>20</v>
      </c>
      <c r="V168" s="145">
        <f>SUMIFS(Table2[NewPointsAway],Table2[GameDate], "&lt;=" &amp; $A168, Table2[AwayTeam], V$1)+SUMIFS(Table2[NewPointsHome],Table2[GameDate], "&lt;=" &amp; $A168, Table2[HomeTeam], V$1)</f>
        <v>19</v>
      </c>
      <c r="W168" s="145">
        <f>SUMIFS(Table2[NewPointsAway],Table2[GameDate], "&lt;=" &amp; $A168, Table2[AwayTeam], W$1)+SUMIFS(Table2[NewPointsHome],Table2[GameDate], "&lt;=" &amp; $A168, Table2[HomeTeam], W$1)</f>
        <v>21</v>
      </c>
      <c r="X168" s="145">
        <f>SUMIFS(Table2[NewPointsAway],Table2[GameDate], "&lt;=" &amp; $A168, Table2[AwayTeam], X$1)+SUMIFS(Table2[NewPointsHome],Table2[GameDate], "&lt;=" &amp; $A168, Table2[HomeTeam], X$1)</f>
        <v>19</v>
      </c>
      <c r="Y168" s="145">
        <f>SUMIFS(Table2[NewPointsAway],Table2[GameDate], "&lt;=" &amp; $A168, Table2[AwayTeam], Y$1)+SUMIFS(Table2[NewPointsHome],Table2[GameDate], "&lt;=" &amp; $A168, Table2[HomeTeam], Y$1)</f>
        <v>19</v>
      </c>
      <c r="Z168" s="145">
        <f>SUMIFS(Table2[NewPointsAway],Table2[GameDate], "&lt;=" &amp; $A168, Table2[AwayTeam], Z$1)+SUMIFS(Table2[NewPointsHome],Table2[GameDate], "&lt;=" &amp; $A168, Table2[HomeTeam], Z$1)</f>
        <v>15</v>
      </c>
      <c r="AA168" s="145">
        <f>SUMIFS(Table2[NewPointsAway],Table2[GameDate], "&lt;=" &amp; $A168, Table2[AwayTeam], AA$1)+SUMIFS(Table2[NewPointsHome],Table2[GameDate], "&lt;=" &amp; $A168, Table2[HomeTeam], AA$1)</f>
        <v>18</v>
      </c>
      <c r="AB168" s="145">
        <f>SUMIFS(Table2[NewPointsAway],Table2[GameDate], "&lt;=" &amp; $A168, Table2[AwayTeam], AB$1)+SUMIFS(Table2[NewPointsHome],Table2[GameDate], "&lt;=" &amp; $A168, Table2[HomeTeam], AB$1)</f>
        <v>17</v>
      </c>
      <c r="AC168" s="145">
        <f>SUMIFS(Table2[NewPointsAway],Table2[GameDate], "&lt;=" &amp; $A168, Table2[AwayTeam], AC$1)+SUMIFS(Table2[NewPointsHome],Table2[GameDate], "&lt;=" &amp; $A168, Table2[HomeTeam], AC$1)</f>
        <v>18</v>
      </c>
      <c r="AD168" s="145">
        <f>SUMIFS(Table2[NewPointsAway],Table2[GameDate], "&lt;=" &amp; $A168, Table2[AwayTeam], AD$1)+SUMIFS(Table2[NewPointsHome],Table2[GameDate], "&lt;=" &amp; $A168, Table2[HomeTeam], AD$1)</f>
        <v>17</v>
      </c>
      <c r="AE168" s="145">
        <f>SUMIFS(Table2[NewPointsAway],Table2[GameDate], "&lt;=" &amp; $A168, Table2[AwayTeam], AE$1)+SUMIFS(Table2[NewPointsHome],Table2[GameDate], "&lt;=" &amp; $A168, Table2[HomeTeam], AE$1)</f>
        <v>18</v>
      </c>
      <c r="AF168" s="145">
        <f>SUMIFS(Table2[NewPointsAway],Table2[GameDate], "&lt;=" &amp; $A168, Table2[AwayTeam], AF$1)+SUMIFS(Table2[NewPointsHome],Table2[GameDate], "&lt;=" &amp; $A168, Table2[HomeTeam], AF$1)</f>
        <v>20</v>
      </c>
      <c r="AG168" s="145">
        <f>SUMIFS(Table2[NewPointsAway],Table2[GameDate], "&lt;=" &amp; $A168, Table2[AwayTeam], AG$1)+SUMIFS(Table2[NewPointsHome],Table2[GameDate], "&lt;=" &amp; $A168, Table2[HomeTeam], AG$1)</f>
        <v>17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23</v>
      </c>
      <c r="C169" s="145">
        <f>SUMIFS(Table2[NewPointsAway],Table2[GameDate], "&lt;=" &amp; $A169, Table2[AwayTeam], C$1)+SUMIFS(Table2[NewPointsHome],Table2[GameDate], "&lt;=" &amp; $A169, Table2[HomeTeam], C$1)</f>
        <v>22</v>
      </c>
      <c r="D169" s="145">
        <f>SUMIFS(Table2[NewPointsAway],Table2[GameDate], "&lt;=" &amp; $A169, Table2[AwayTeam], D$1)+SUMIFS(Table2[NewPointsHome],Table2[GameDate], "&lt;=" &amp; $A169, Table2[HomeTeam], D$1)</f>
        <v>14</v>
      </c>
      <c r="E169" s="145">
        <f>SUMIFS(Table2[NewPointsAway],Table2[GameDate], "&lt;=" &amp; $A169, Table2[AwayTeam], E$1)+SUMIFS(Table2[NewPointsHome],Table2[GameDate], "&lt;=" &amp; $A169, Table2[HomeTeam], E$1)</f>
        <v>22</v>
      </c>
      <c r="F169" s="145">
        <f>SUMIFS(Table2[NewPointsAway],Table2[GameDate], "&lt;=" &amp; $A169, Table2[AwayTeam], F$1)+SUMIFS(Table2[NewPointsHome],Table2[GameDate], "&lt;=" &amp; $A169, Table2[HomeTeam], F$1)</f>
        <v>17</v>
      </c>
      <c r="G169" s="145">
        <f>SUMIFS(Table2[NewPointsAway],Table2[GameDate], "&lt;=" &amp; $A169, Table2[AwayTeam], G$1)+SUMIFS(Table2[NewPointsHome],Table2[GameDate], "&lt;=" &amp; $A169, Table2[HomeTeam], G$1)</f>
        <v>10</v>
      </c>
      <c r="H169" s="145">
        <f>SUMIFS(Table2[NewPointsAway],Table2[GameDate], "&lt;=" &amp; $A169, Table2[AwayTeam], H$1)+SUMIFS(Table2[NewPointsHome],Table2[GameDate], "&lt;=" &amp; $A169, Table2[HomeTeam], H$1)</f>
        <v>19</v>
      </c>
      <c r="I169" s="145">
        <f>SUMIFS(Table2[NewPointsAway],Table2[GameDate], "&lt;=" &amp; $A169, Table2[AwayTeam], I$1)+SUMIFS(Table2[NewPointsHome],Table2[GameDate], "&lt;=" &amp; $A169, Table2[HomeTeam], I$1)</f>
        <v>27</v>
      </c>
      <c r="J169" s="145">
        <f>SUMIFS(Table2[NewPointsAway],Table2[GameDate], "&lt;=" &amp; $A169, Table2[AwayTeam], J$1)+SUMIFS(Table2[NewPointsHome],Table2[GameDate], "&lt;=" &amp; $A169, Table2[HomeTeam], J$1)</f>
        <v>23</v>
      </c>
      <c r="K169" s="145">
        <f>SUMIFS(Table2[NewPointsAway],Table2[GameDate], "&lt;=" &amp; $A169, Table2[AwayTeam], K$1)+SUMIFS(Table2[NewPointsHome],Table2[GameDate], "&lt;=" &amp; $A169, Table2[HomeTeam], K$1)</f>
        <v>18</v>
      </c>
      <c r="L169" s="145">
        <f>SUMIFS(Table2[NewPointsAway],Table2[GameDate], "&lt;=" &amp; $A169, Table2[AwayTeam], L$1)+SUMIFS(Table2[NewPointsHome],Table2[GameDate], "&lt;=" &amp; $A169, Table2[HomeTeam], L$1)</f>
        <v>20</v>
      </c>
      <c r="M169" s="145">
        <f>SUMIFS(Table2[NewPointsAway],Table2[GameDate], "&lt;=" &amp; $A169, Table2[AwayTeam], M$1)+SUMIFS(Table2[NewPointsHome],Table2[GameDate], "&lt;=" &amp; $A169, Table2[HomeTeam], M$1)</f>
        <v>17</v>
      </c>
      <c r="N169" s="145">
        <f>SUMIFS(Table2[NewPointsAway],Table2[GameDate], "&lt;=" &amp; $A169, Table2[AwayTeam], N$1)+SUMIFS(Table2[NewPointsHome],Table2[GameDate], "&lt;=" &amp; $A169, Table2[HomeTeam], N$1)</f>
        <v>20</v>
      </c>
      <c r="O169" s="145">
        <f>SUMIFS(Table2[NewPointsAway],Table2[GameDate], "&lt;=" &amp; $A169, Table2[AwayTeam], O$1)+SUMIFS(Table2[NewPointsHome],Table2[GameDate], "&lt;=" &amp; $A169, Table2[HomeTeam], O$1)</f>
        <v>18</v>
      </c>
      <c r="P169" s="145">
        <f>SUMIFS(Table2[NewPointsAway],Table2[GameDate], "&lt;=" &amp; $A169, Table2[AwayTeam], P$1)+SUMIFS(Table2[NewPointsHome],Table2[GameDate], "&lt;=" &amp; $A169, Table2[HomeTeam], P$1)</f>
        <v>22</v>
      </c>
      <c r="Q169" s="145">
        <f>SUMIFS(Table2[NewPointsAway],Table2[GameDate], "&lt;=" &amp; $A169, Table2[AwayTeam], Q$1)+SUMIFS(Table2[NewPointsHome],Table2[GameDate], "&lt;=" &amp; $A169, Table2[HomeTeam], Q$1)</f>
        <v>23</v>
      </c>
      <c r="R169" s="145">
        <f>SUMIFS(Table2[NewPointsAway],Table2[GameDate], "&lt;=" &amp; $A169, Table2[AwayTeam], R$1)+SUMIFS(Table2[NewPointsHome],Table2[GameDate], "&lt;=" &amp; $A169, Table2[HomeTeam], R$1)</f>
        <v>14</v>
      </c>
      <c r="S169" s="145">
        <f>SUMIFS(Table2[NewPointsAway],Table2[GameDate], "&lt;=" &amp; $A169, Table2[AwayTeam], S$1)+SUMIFS(Table2[NewPointsHome],Table2[GameDate], "&lt;=" &amp; $A169, Table2[HomeTeam], S$1)</f>
        <v>18</v>
      </c>
      <c r="T169" s="145">
        <f>SUMIFS(Table2[NewPointsAway],Table2[GameDate], "&lt;=" &amp; $A169, Table2[AwayTeam], T$1)+SUMIFS(Table2[NewPointsHome],Table2[GameDate], "&lt;=" &amp; $A169, Table2[HomeTeam], T$1)</f>
        <v>20</v>
      </c>
      <c r="U169" s="145">
        <f>SUMIFS(Table2[NewPointsAway],Table2[GameDate], "&lt;=" &amp; $A169, Table2[AwayTeam], U$1)+SUMIFS(Table2[NewPointsHome],Table2[GameDate], "&lt;=" &amp; $A169, Table2[HomeTeam], U$1)</f>
        <v>20</v>
      </c>
      <c r="V169" s="145">
        <f>SUMIFS(Table2[NewPointsAway],Table2[GameDate], "&lt;=" &amp; $A169, Table2[AwayTeam], V$1)+SUMIFS(Table2[NewPointsHome],Table2[GameDate], "&lt;=" &amp; $A169, Table2[HomeTeam], V$1)</f>
        <v>19</v>
      </c>
      <c r="W169" s="145">
        <f>SUMIFS(Table2[NewPointsAway],Table2[GameDate], "&lt;=" &amp; $A169, Table2[AwayTeam], W$1)+SUMIFS(Table2[NewPointsHome],Table2[GameDate], "&lt;=" &amp; $A169, Table2[HomeTeam], W$1)</f>
        <v>21</v>
      </c>
      <c r="X169" s="145">
        <f>SUMIFS(Table2[NewPointsAway],Table2[GameDate], "&lt;=" &amp; $A169, Table2[AwayTeam], X$1)+SUMIFS(Table2[NewPointsHome],Table2[GameDate], "&lt;=" &amp; $A169, Table2[HomeTeam], X$1)</f>
        <v>19</v>
      </c>
      <c r="Y169" s="145">
        <f>SUMIFS(Table2[NewPointsAway],Table2[GameDate], "&lt;=" &amp; $A169, Table2[AwayTeam], Y$1)+SUMIFS(Table2[NewPointsHome],Table2[GameDate], "&lt;=" &amp; $A169, Table2[HomeTeam], Y$1)</f>
        <v>19</v>
      </c>
      <c r="Z169" s="145">
        <f>SUMIFS(Table2[NewPointsAway],Table2[GameDate], "&lt;=" &amp; $A169, Table2[AwayTeam], Z$1)+SUMIFS(Table2[NewPointsHome],Table2[GameDate], "&lt;=" &amp; $A169, Table2[HomeTeam], Z$1)</f>
        <v>15</v>
      </c>
      <c r="AA169" s="145">
        <f>SUMIFS(Table2[NewPointsAway],Table2[GameDate], "&lt;=" &amp; $A169, Table2[AwayTeam], AA$1)+SUMIFS(Table2[NewPointsHome],Table2[GameDate], "&lt;=" &amp; $A169, Table2[HomeTeam], AA$1)</f>
        <v>18</v>
      </c>
      <c r="AB169" s="145">
        <f>SUMIFS(Table2[NewPointsAway],Table2[GameDate], "&lt;=" &amp; $A169, Table2[AwayTeam], AB$1)+SUMIFS(Table2[NewPointsHome],Table2[GameDate], "&lt;=" &amp; $A169, Table2[HomeTeam], AB$1)</f>
        <v>17</v>
      </c>
      <c r="AC169" s="145">
        <f>SUMIFS(Table2[NewPointsAway],Table2[GameDate], "&lt;=" &amp; $A169, Table2[AwayTeam], AC$1)+SUMIFS(Table2[NewPointsHome],Table2[GameDate], "&lt;=" &amp; $A169, Table2[HomeTeam], AC$1)</f>
        <v>18</v>
      </c>
      <c r="AD169" s="145">
        <f>SUMIFS(Table2[NewPointsAway],Table2[GameDate], "&lt;=" &amp; $A169, Table2[AwayTeam], AD$1)+SUMIFS(Table2[NewPointsHome],Table2[GameDate], "&lt;=" &amp; $A169, Table2[HomeTeam], AD$1)</f>
        <v>17</v>
      </c>
      <c r="AE169" s="145">
        <f>SUMIFS(Table2[NewPointsAway],Table2[GameDate], "&lt;=" &amp; $A169, Table2[AwayTeam], AE$1)+SUMIFS(Table2[NewPointsHome],Table2[GameDate], "&lt;=" &amp; $A169, Table2[HomeTeam], AE$1)</f>
        <v>18</v>
      </c>
      <c r="AF169" s="145">
        <f>SUMIFS(Table2[NewPointsAway],Table2[GameDate], "&lt;=" &amp; $A169, Table2[AwayTeam], AF$1)+SUMIFS(Table2[NewPointsHome],Table2[GameDate], "&lt;=" &amp; $A169, Table2[HomeTeam], AF$1)</f>
        <v>20</v>
      </c>
      <c r="AG169" s="145">
        <f>SUMIFS(Table2[NewPointsAway],Table2[GameDate], "&lt;=" &amp; $A169, Table2[AwayTeam], AG$1)+SUMIFS(Table2[NewPointsHome],Table2[GameDate], "&lt;=" &amp; $A169, Table2[HomeTeam], AG$1)</f>
        <v>17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23</v>
      </c>
      <c r="C170" s="145">
        <f>SUMIFS(Table2[NewPointsAway],Table2[GameDate], "&lt;=" &amp; $A170, Table2[AwayTeam], C$1)+SUMIFS(Table2[NewPointsHome],Table2[GameDate], "&lt;=" &amp; $A170, Table2[HomeTeam], C$1)</f>
        <v>22</v>
      </c>
      <c r="D170" s="145">
        <f>SUMIFS(Table2[NewPointsAway],Table2[GameDate], "&lt;=" &amp; $A170, Table2[AwayTeam], D$1)+SUMIFS(Table2[NewPointsHome],Table2[GameDate], "&lt;=" &amp; $A170, Table2[HomeTeam], D$1)</f>
        <v>14</v>
      </c>
      <c r="E170" s="145">
        <f>SUMIFS(Table2[NewPointsAway],Table2[GameDate], "&lt;=" &amp; $A170, Table2[AwayTeam], E$1)+SUMIFS(Table2[NewPointsHome],Table2[GameDate], "&lt;=" &amp; $A170, Table2[HomeTeam], E$1)</f>
        <v>22</v>
      </c>
      <c r="F170" s="145">
        <f>SUMIFS(Table2[NewPointsAway],Table2[GameDate], "&lt;=" &amp; $A170, Table2[AwayTeam], F$1)+SUMIFS(Table2[NewPointsHome],Table2[GameDate], "&lt;=" &amp; $A170, Table2[HomeTeam], F$1)</f>
        <v>17</v>
      </c>
      <c r="G170" s="145">
        <f>SUMIFS(Table2[NewPointsAway],Table2[GameDate], "&lt;=" &amp; $A170, Table2[AwayTeam], G$1)+SUMIFS(Table2[NewPointsHome],Table2[GameDate], "&lt;=" &amp; $A170, Table2[HomeTeam], G$1)</f>
        <v>10</v>
      </c>
      <c r="H170" s="145">
        <f>SUMIFS(Table2[NewPointsAway],Table2[GameDate], "&lt;=" &amp; $A170, Table2[AwayTeam], H$1)+SUMIFS(Table2[NewPointsHome],Table2[GameDate], "&lt;=" &amp; $A170, Table2[HomeTeam], H$1)</f>
        <v>19</v>
      </c>
      <c r="I170" s="145">
        <f>SUMIFS(Table2[NewPointsAway],Table2[GameDate], "&lt;=" &amp; $A170, Table2[AwayTeam], I$1)+SUMIFS(Table2[NewPointsHome],Table2[GameDate], "&lt;=" &amp; $A170, Table2[HomeTeam], I$1)</f>
        <v>27</v>
      </c>
      <c r="J170" s="145">
        <f>SUMIFS(Table2[NewPointsAway],Table2[GameDate], "&lt;=" &amp; $A170, Table2[AwayTeam], J$1)+SUMIFS(Table2[NewPointsHome],Table2[GameDate], "&lt;=" &amp; $A170, Table2[HomeTeam], J$1)</f>
        <v>23</v>
      </c>
      <c r="K170" s="145">
        <f>SUMIFS(Table2[NewPointsAway],Table2[GameDate], "&lt;=" &amp; $A170, Table2[AwayTeam], K$1)+SUMIFS(Table2[NewPointsHome],Table2[GameDate], "&lt;=" &amp; $A170, Table2[HomeTeam], K$1)</f>
        <v>18</v>
      </c>
      <c r="L170" s="145">
        <f>SUMIFS(Table2[NewPointsAway],Table2[GameDate], "&lt;=" &amp; $A170, Table2[AwayTeam], L$1)+SUMIFS(Table2[NewPointsHome],Table2[GameDate], "&lt;=" &amp; $A170, Table2[HomeTeam], L$1)</f>
        <v>20</v>
      </c>
      <c r="M170" s="145">
        <f>SUMIFS(Table2[NewPointsAway],Table2[GameDate], "&lt;=" &amp; $A170, Table2[AwayTeam], M$1)+SUMIFS(Table2[NewPointsHome],Table2[GameDate], "&lt;=" &amp; $A170, Table2[HomeTeam], M$1)</f>
        <v>17</v>
      </c>
      <c r="N170" s="145">
        <f>SUMIFS(Table2[NewPointsAway],Table2[GameDate], "&lt;=" &amp; $A170, Table2[AwayTeam], N$1)+SUMIFS(Table2[NewPointsHome],Table2[GameDate], "&lt;=" &amp; $A170, Table2[HomeTeam], N$1)</f>
        <v>20</v>
      </c>
      <c r="O170" s="145">
        <f>SUMIFS(Table2[NewPointsAway],Table2[GameDate], "&lt;=" &amp; $A170, Table2[AwayTeam], O$1)+SUMIFS(Table2[NewPointsHome],Table2[GameDate], "&lt;=" &amp; $A170, Table2[HomeTeam], O$1)</f>
        <v>18</v>
      </c>
      <c r="P170" s="145">
        <f>SUMIFS(Table2[NewPointsAway],Table2[GameDate], "&lt;=" &amp; $A170, Table2[AwayTeam], P$1)+SUMIFS(Table2[NewPointsHome],Table2[GameDate], "&lt;=" &amp; $A170, Table2[HomeTeam], P$1)</f>
        <v>22</v>
      </c>
      <c r="Q170" s="145">
        <f>SUMIFS(Table2[NewPointsAway],Table2[GameDate], "&lt;=" &amp; $A170, Table2[AwayTeam], Q$1)+SUMIFS(Table2[NewPointsHome],Table2[GameDate], "&lt;=" &amp; $A170, Table2[HomeTeam], Q$1)</f>
        <v>23</v>
      </c>
      <c r="R170" s="145">
        <f>SUMIFS(Table2[NewPointsAway],Table2[GameDate], "&lt;=" &amp; $A170, Table2[AwayTeam], R$1)+SUMIFS(Table2[NewPointsHome],Table2[GameDate], "&lt;=" &amp; $A170, Table2[HomeTeam], R$1)</f>
        <v>14</v>
      </c>
      <c r="S170" s="145">
        <f>SUMIFS(Table2[NewPointsAway],Table2[GameDate], "&lt;=" &amp; $A170, Table2[AwayTeam], S$1)+SUMIFS(Table2[NewPointsHome],Table2[GameDate], "&lt;=" &amp; $A170, Table2[HomeTeam], S$1)</f>
        <v>18</v>
      </c>
      <c r="T170" s="145">
        <f>SUMIFS(Table2[NewPointsAway],Table2[GameDate], "&lt;=" &amp; $A170, Table2[AwayTeam], T$1)+SUMIFS(Table2[NewPointsHome],Table2[GameDate], "&lt;=" &amp; $A170, Table2[HomeTeam], T$1)</f>
        <v>20</v>
      </c>
      <c r="U170" s="145">
        <f>SUMIFS(Table2[NewPointsAway],Table2[GameDate], "&lt;=" &amp; $A170, Table2[AwayTeam], U$1)+SUMIFS(Table2[NewPointsHome],Table2[GameDate], "&lt;=" &amp; $A170, Table2[HomeTeam], U$1)</f>
        <v>20</v>
      </c>
      <c r="V170" s="145">
        <f>SUMIFS(Table2[NewPointsAway],Table2[GameDate], "&lt;=" &amp; $A170, Table2[AwayTeam], V$1)+SUMIFS(Table2[NewPointsHome],Table2[GameDate], "&lt;=" &amp; $A170, Table2[HomeTeam], V$1)</f>
        <v>19</v>
      </c>
      <c r="W170" s="145">
        <f>SUMIFS(Table2[NewPointsAway],Table2[GameDate], "&lt;=" &amp; $A170, Table2[AwayTeam], W$1)+SUMIFS(Table2[NewPointsHome],Table2[GameDate], "&lt;=" &amp; $A170, Table2[HomeTeam], W$1)</f>
        <v>21</v>
      </c>
      <c r="X170" s="145">
        <f>SUMIFS(Table2[NewPointsAway],Table2[GameDate], "&lt;=" &amp; $A170, Table2[AwayTeam], X$1)+SUMIFS(Table2[NewPointsHome],Table2[GameDate], "&lt;=" &amp; $A170, Table2[HomeTeam], X$1)</f>
        <v>19</v>
      </c>
      <c r="Y170" s="145">
        <f>SUMIFS(Table2[NewPointsAway],Table2[GameDate], "&lt;=" &amp; $A170, Table2[AwayTeam], Y$1)+SUMIFS(Table2[NewPointsHome],Table2[GameDate], "&lt;=" &amp; $A170, Table2[HomeTeam], Y$1)</f>
        <v>19</v>
      </c>
      <c r="Z170" s="145">
        <f>SUMIFS(Table2[NewPointsAway],Table2[GameDate], "&lt;=" &amp; $A170, Table2[AwayTeam], Z$1)+SUMIFS(Table2[NewPointsHome],Table2[GameDate], "&lt;=" &amp; $A170, Table2[HomeTeam], Z$1)</f>
        <v>15</v>
      </c>
      <c r="AA170" s="145">
        <f>SUMIFS(Table2[NewPointsAway],Table2[GameDate], "&lt;=" &amp; $A170, Table2[AwayTeam], AA$1)+SUMIFS(Table2[NewPointsHome],Table2[GameDate], "&lt;=" &amp; $A170, Table2[HomeTeam], AA$1)</f>
        <v>18</v>
      </c>
      <c r="AB170" s="145">
        <f>SUMIFS(Table2[NewPointsAway],Table2[GameDate], "&lt;=" &amp; $A170, Table2[AwayTeam], AB$1)+SUMIFS(Table2[NewPointsHome],Table2[GameDate], "&lt;=" &amp; $A170, Table2[HomeTeam], AB$1)</f>
        <v>17</v>
      </c>
      <c r="AC170" s="145">
        <f>SUMIFS(Table2[NewPointsAway],Table2[GameDate], "&lt;=" &amp; $A170, Table2[AwayTeam], AC$1)+SUMIFS(Table2[NewPointsHome],Table2[GameDate], "&lt;=" &amp; $A170, Table2[HomeTeam], AC$1)</f>
        <v>18</v>
      </c>
      <c r="AD170" s="145">
        <f>SUMIFS(Table2[NewPointsAway],Table2[GameDate], "&lt;=" &amp; $A170, Table2[AwayTeam], AD$1)+SUMIFS(Table2[NewPointsHome],Table2[GameDate], "&lt;=" &amp; $A170, Table2[HomeTeam], AD$1)</f>
        <v>17</v>
      </c>
      <c r="AE170" s="145">
        <f>SUMIFS(Table2[NewPointsAway],Table2[GameDate], "&lt;=" &amp; $A170, Table2[AwayTeam], AE$1)+SUMIFS(Table2[NewPointsHome],Table2[GameDate], "&lt;=" &amp; $A170, Table2[HomeTeam], AE$1)</f>
        <v>18</v>
      </c>
      <c r="AF170" s="145">
        <f>SUMIFS(Table2[NewPointsAway],Table2[GameDate], "&lt;=" &amp; $A170, Table2[AwayTeam], AF$1)+SUMIFS(Table2[NewPointsHome],Table2[GameDate], "&lt;=" &amp; $A170, Table2[HomeTeam], AF$1)</f>
        <v>20</v>
      </c>
      <c r="AG170" s="145">
        <f>SUMIFS(Table2[NewPointsAway],Table2[GameDate], "&lt;=" &amp; $A170, Table2[AwayTeam], AG$1)+SUMIFS(Table2[NewPointsHome],Table2[GameDate], "&lt;=" &amp; $A170, Table2[HomeTeam], AG$1)</f>
        <v>17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23</v>
      </c>
      <c r="C171" s="145">
        <f>SUMIFS(Table2[NewPointsAway],Table2[GameDate], "&lt;=" &amp; $A171, Table2[AwayTeam], C$1)+SUMIFS(Table2[NewPointsHome],Table2[GameDate], "&lt;=" &amp; $A171, Table2[HomeTeam], C$1)</f>
        <v>22</v>
      </c>
      <c r="D171" s="145">
        <f>SUMIFS(Table2[NewPointsAway],Table2[GameDate], "&lt;=" &amp; $A171, Table2[AwayTeam], D$1)+SUMIFS(Table2[NewPointsHome],Table2[GameDate], "&lt;=" &amp; $A171, Table2[HomeTeam], D$1)</f>
        <v>14</v>
      </c>
      <c r="E171" s="145">
        <f>SUMIFS(Table2[NewPointsAway],Table2[GameDate], "&lt;=" &amp; $A171, Table2[AwayTeam], E$1)+SUMIFS(Table2[NewPointsHome],Table2[GameDate], "&lt;=" &amp; $A171, Table2[HomeTeam], E$1)</f>
        <v>22</v>
      </c>
      <c r="F171" s="145">
        <f>SUMIFS(Table2[NewPointsAway],Table2[GameDate], "&lt;=" &amp; $A171, Table2[AwayTeam], F$1)+SUMIFS(Table2[NewPointsHome],Table2[GameDate], "&lt;=" &amp; $A171, Table2[HomeTeam], F$1)</f>
        <v>17</v>
      </c>
      <c r="G171" s="145">
        <f>SUMIFS(Table2[NewPointsAway],Table2[GameDate], "&lt;=" &amp; $A171, Table2[AwayTeam], G$1)+SUMIFS(Table2[NewPointsHome],Table2[GameDate], "&lt;=" &amp; $A171, Table2[HomeTeam], G$1)</f>
        <v>10</v>
      </c>
      <c r="H171" s="145">
        <f>SUMIFS(Table2[NewPointsAway],Table2[GameDate], "&lt;=" &amp; $A171, Table2[AwayTeam], H$1)+SUMIFS(Table2[NewPointsHome],Table2[GameDate], "&lt;=" &amp; $A171, Table2[HomeTeam], H$1)</f>
        <v>19</v>
      </c>
      <c r="I171" s="145">
        <f>SUMIFS(Table2[NewPointsAway],Table2[GameDate], "&lt;=" &amp; $A171, Table2[AwayTeam], I$1)+SUMIFS(Table2[NewPointsHome],Table2[GameDate], "&lt;=" &amp; $A171, Table2[HomeTeam], I$1)</f>
        <v>27</v>
      </c>
      <c r="J171" s="145">
        <f>SUMIFS(Table2[NewPointsAway],Table2[GameDate], "&lt;=" &amp; $A171, Table2[AwayTeam], J$1)+SUMIFS(Table2[NewPointsHome],Table2[GameDate], "&lt;=" &amp; $A171, Table2[HomeTeam], J$1)</f>
        <v>23</v>
      </c>
      <c r="K171" s="145">
        <f>SUMIFS(Table2[NewPointsAway],Table2[GameDate], "&lt;=" &amp; $A171, Table2[AwayTeam], K$1)+SUMIFS(Table2[NewPointsHome],Table2[GameDate], "&lt;=" &amp; $A171, Table2[HomeTeam], K$1)</f>
        <v>18</v>
      </c>
      <c r="L171" s="145">
        <f>SUMIFS(Table2[NewPointsAway],Table2[GameDate], "&lt;=" &amp; $A171, Table2[AwayTeam], L$1)+SUMIFS(Table2[NewPointsHome],Table2[GameDate], "&lt;=" &amp; $A171, Table2[HomeTeam], L$1)</f>
        <v>20</v>
      </c>
      <c r="M171" s="145">
        <f>SUMIFS(Table2[NewPointsAway],Table2[GameDate], "&lt;=" &amp; $A171, Table2[AwayTeam], M$1)+SUMIFS(Table2[NewPointsHome],Table2[GameDate], "&lt;=" &amp; $A171, Table2[HomeTeam], M$1)</f>
        <v>17</v>
      </c>
      <c r="N171" s="145">
        <f>SUMIFS(Table2[NewPointsAway],Table2[GameDate], "&lt;=" &amp; $A171, Table2[AwayTeam], N$1)+SUMIFS(Table2[NewPointsHome],Table2[GameDate], "&lt;=" &amp; $A171, Table2[HomeTeam], N$1)</f>
        <v>20</v>
      </c>
      <c r="O171" s="145">
        <f>SUMIFS(Table2[NewPointsAway],Table2[GameDate], "&lt;=" &amp; $A171, Table2[AwayTeam], O$1)+SUMIFS(Table2[NewPointsHome],Table2[GameDate], "&lt;=" &amp; $A171, Table2[HomeTeam], O$1)</f>
        <v>18</v>
      </c>
      <c r="P171" s="145">
        <f>SUMIFS(Table2[NewPointsAway],Table2[GameDate], "&lt;=" &amp; $A171, Table2[AwayTeam], P$1)+SUMIFS(Table2[NewPointsHome],Table2[GameDate], "&lt;=" &amp; $A171, Table2[HomeTeam], P$1)</f>
        <v>22</v>
      </c>
      <c r="Q171" s="145">
        <f>SUMIFS(Table2[NewPointsAway],Table2[GameDate], "&lt;=" &amp; $A171, Table2[AwayTeam], Q$1)+SUMIFS(Table2[NewPointsHome],Table2[GameDate], "&lt;=" &amp; $A171, Table2[HomeTeam], Q$1)</f>
        <v>23</v>
      </c>
      <c r="R171" s="145">
        <f>SUMIFS(Table2[NewPointsAway],Table2[GameDate], "&lt;=" &amp; $A171, Table2[AwayTeam], R$1)+SUMIFS(Table2[NewPointsHome],Table2[GameDate], "&lt;=" &amp; $A171, Table2[HomeTeam], R$1)</f>
        <v>14</v>
      </c>
      <c r="S171" s="145">
        <f>SUMIFS(Table2[NewPointsAway],Table2[GameDate], "&lt;=" &amp; $A171, Table2[AwayTeam], S$1)+SUMIFS(Table2[NewPointsHome],Table2[GameDate], "&lt;=" &amp; $A171, Table2[HomeTeam], S$1)</f>
        <v>18</v>
      </c>
      <c r="T171" s="145">
        <f>SUMIFS(Table2[NewPointsAway],Table2[GameDate], "&lt;=" &amp; $A171, Table2[AwayTeam], T$1)+SUMIFS(Table2[NewPointsHome],Table2[GameDate], "&lt;=" &amp; $A171, Table2[HomeTeam], T$1)</f>
        <v>20</v>
      </c>
      <c r="U171" s="145">
        <f>SUMIFS(Table2[NewPointsAway],Table2[GameDate], "&lt;=" &amp; $A171, Table2[AwayTeam], U$1)+SUMIFS(Table2[NewPointsHome],Table2[GameDate], "&lt;=" &amp; $A171, Table2[HomeTeam], U$1)</f>
        <v>20</v>
      </c>
      <c r="V171" s="145">
        <f>SUMIFS(Table2[NewPointsAway],Table2[GameDate], "&lt;=" &amp; $A171, Table2[AwayTeam], V$1)+SUMIFS(Table2[NewPointsHome],Table2[GameDate], "&lt;=" &amp; $A171, Table2[HomeTeam], V$1)</f>
        <v>19</v>
      </c>
      <c r="W171" s="145">
        <f>SUMIFS(Table2[NewPointsAway],Table2[GameDate], "&lt;=" &amp; $A171, Table2[AwayTeam], W$1)+SUMIFS(Table2[NewPointsHome],Table2[GameDate], "&lt;=" &amp; $A171, Table2[HomeTeam], W$1)</f>
        <v>21</v>
      </c>
      <c r="X171" s="145">
        <f>SUMIFS(Table2[NewPointsAway],Table2[GameDate], "&lt;=" &amp; $A171, Table2[AwayTeam], X$1)+SUMIFS(Table2[NewPointsHome],Table2[GameDate], "&lt;=" &amp; $A171, Table2[HomeTeam], X$1)</f>
        <v>19</v>
      </c>
      <c r="Y171" s="145">
        <f>SUMIFS(Table2[NewPointsAway],Table2[GameDate], "&lt;=" &amp; $A171, Table2[AwayTeam], Y$1)+SUMIFS(Table2[NewPointsHome],Table2[GameDate], "&lt;=" &amp; $A171, Table2[HomeTeam], Y$1)</f>
        <v>19</v>
      </c>
      <c r="Z171" s="145">
        <f>SUMIFS(Table2[NewPointsAway],Table2[GameDate], "&lt;=" &amp; $A171, Table2[AwayTeam], Z$1)+SUMIFS(Table2[NewPointsHome],Table2[GameDate], "&lt;=" &amp; $A171, Table2[HomeTeam], Z$1)</f>
        <v>15</v>
      </c>
      <c r="AA171" s="145">
        <f>SUMIFS(Table2[NewPointsAway],Table2[GameDate], "&lt;=" &amp; $A171, Table2[AwayTeam], AA$1)+SUMIFS(Table2[NewPointsHome],Table2[GameDate], "&lt;=" &amp; $A171, Table2[HomeTeam], AA$1)</f>
        <v>18</v>
      </c>
      <c r="AB171" s="145">
        <f>SUMIFS(Table2[NewPointsAway],Table2[GameDate], "&lt;=" &amp; $A171, Table2[AwayTeam], AB$1)+SUMIFS(Table2[NewPointsHome],Table2[GameDate], "&lt;=" &amp; $A171, Table2[HomeTeam], AB$1)</f>
        <v>17</v>
      </c>
      <c r="AC171" s="145">
        <f>SUMIFS(Table2[NewPointsAway],Table2[GameDate], "&lt;=" &amp; $A171, Table2[AwayTeam], AC$1)+SUMIFS(Table2[NewPointsHome],Table2[GameDate], "&lt;=" &amp; $A171, Table2[HomeTeam], AC$1)</f>
        <v>18</v>
      </c>
      <c r="AD171" s="145">
        <f>SUMIFS(Table2[NewPointsAway],Table2[GameDate], "&lt;=" &amp; $A171, Table2[AwayTeam], AD$1)+SUMIFS(Table2[NewPointsHome],Table2[GameDate], "&lt;=" &amp; $A171, Table2[HomeTeam], AD$1)</f>
        <v>17</v>
      </c>
      <c r="AE171" s="145">
        <f>SUMIFS(Table2[NewPointsAway],Table2[GameDate], "&lt;=" &amp; $A171, Table2[AwayTeam], AE$1)+SUMIFS(Table2[NewPointsHome],Table2[GameDate], "&lt;=" &amp; $A171, Table2[HomeTeam], AE$1)</f>
        <v>18</v>
      </c>
      <c r="AF171" s="145">
        <f>SUMIFS(Table2[NewPointsAway],Table2[GameDate], "&lt;=" &amp; $A171, Table2[AwayTeam], AF$1)+SUMIFS(Table2[NewPointsHome],Table2[GameDate], "&lt;=" &amp; $A171, Table2[HomeTeam], AF$1)</f>
        <v>20</v>
      </c>
      <c r="AG171" s="145">
        <f>SUMIFS(Table2[NewPointsAway],Table2[GameDate], "&lt;=" &amp; $A171, Table2[AwayTeam], AG$1)+SUMIFS(Table2[NewPointsHome],Table2[GameDate], "&lt;=" &amp; $A171, Table2[HomeTeam], AG$1)</f>
        <v>17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23</v>
      </c>
      <c r="C172" s="145">
        <f>SUMIFS(Table2[NewPointsAway],Table2[GameDate], "&lt;=" &amp; $A172, Table2[AwayTeam], C$1)+SUMIFS(Table2[NewPointsHome],Table2[GameDate], "&lt;=" &amp; $A172, Table2[HomeTeam], C$1)</f>
        <v>22</v>
      </c>
      <c r="D172" s="145">
        <f>SUMIFS(Table2[NewPointsAway],Table2[GameDate], "&lt;=" &amp; $A172, Table2[AwayTeam], D$1)+SUMIFS(Table2[NewPointsHome],Table2[GameDate], "&lt;=" &amp; $A172, Table2[HomeTeam], D$1)</f>
        <v>14</v>
      </c>
      <c r="E172" s="145">
        <f>SUMIFS(Table2[NewPointsAway],Table2[GameDate], "&lt;=" &amp; $A172, Table2[AwayTeam], E$1)+SUMIFS(Table2[NewPointsHome],Table2[GameDate], "&lt;=" &amp; $A172, Table2[HomeTeam], E$1)</f>
        <v>22</v>
      </c>
      <c r="F172" s="145">
        <f>SUMIFS(Table2[NewPointsAway],Table2[GameDate], "&lt;=" &amp; $A172, Table2[AwayTeam], F$1)+SUMIFS(Table2[NewPointsHome],Table2[GameDate], "&lt;=" &amp; $A172, Table2[HomeTeam], F$1)</f>
        <v>17</v>
      </c>
      <c r="G172" s="145">
        <f>SUMIFS(Table2[NewPointsAway],Table2[GameDate], "&lt;=" &amp; $A172, Table2[AwayTeam], G$1)+SUMIFS(Table2[NewPointsHome],Table2[GameDate], "&lt;=" &amp; $A172, Table2[HomeTeam], G$1)</f>
        <v>10</v>
      </c>
      <c r="H172" s="145">
        <f>SUMIFS(Table2[NewPointsAway],Table2[GameDate], "&lt;=" &amp; $A172, Table2[AwayTeam], H$1)+SUMIFS(Table2[NewPointsHome],Table2[GameDate], "&lt;=" &amp; $A172, Table2[HomeTeam], H$1)</f>
        <v>19</v>
      </c>
      <c r="I172" s="145">
        <f>SUMIFS(Table2[NewPointsAway],Table2[GameDate], "&lt;=" &amp; $A172, Table2[AwayTeam], I$1)+SUMIFS(Table2[NewPointsHome],Table2[GameDate], "&lt;=" &amp; $A172, Table2[HomeTeam], I$1)</f>
        <v>27</v>
      </c>
      <c r="J172" s="145">
        <f>SUMIFS(Table2[NewPointsAway],Table2[GameDate], "&lt;=" &amp; $A172, Table2[AwayTeam], J$1)+SUMIFS(Table2[NewPointsHome],Table2[GameDate], "&lt;=" &amp; $A172, Table2[HomeTeam], J$1)</f>
        <v>23</v>
      </c>
      <c r="K172" s="145">
        <f>SUMIFS(Table2[NewPointsAway],Table2[GameDate], "&lt;=" &amp; $A172, Table2[AwayTeam], K$1)+SUMIFS(Table2[NewPointsHome],Table2[GameDate], "&lt;=" &amp; $A172, Table2[HomeTeam], K$1)</f>
        <v>18</v>
      </c>
      <c r="L172" s="145">
        <f>SUMIFS(Table2[NewPointsAway],Table2[GameDate], "&lt;=" &amp; $A172, Table2[AwayTeam], L$1)+SUMIFS(Table2[NewPointsHome],Table2[GameDate], "&lt;=" &amp; $A172, Table2[HomeTeam], L$1)</f>
        <v>20</v>
      </c>
      <c r="M172" s="145">
        <f>SUMIFS(Table2[NewPointsAway],Table2[GameDate], "&lt;=" &amp; $A172, Table2[AwayTeam], M$1)+SUMIFS(Table2[NewPointsHome],Table2[GameDate], "&lt;=" &amp; $A172, Table2[HomeTeam], M$1)</f>
        <v>17</v>
      </c>
      <c r="N172" s="145">
        <f>SUMIFS(Table2[NewPointsAway],Table2[GameDate], "&lt;=" &amp; $A172, Table2[AwayTeam], N$1)+SUMIFS(Table2[NewPointsHome],Table2[GameDate], "&lt;=" &amp; $A172, Table2[HomeTeam], N$1)</f>
        <v>20</v>
      </c>
      <c r="O172" s="145">
        <f>SUMIFS(Table2[NewPointsAway],Table2[GameDate], "&lt;=" &amp; $A172, Table2[AwayTeam], O$1)+SUMIFS(Table2[NewPointsHome],Table2[GameDate], "&lt;=" &amp; $A172, Table2[HomeTeam], O$1)</f>
        <v>18</v>
      </c>
      <c r="P172" s="145">
        <f>SUMIFS(Table2[NewPointsAway],Table2[GameDate], "&lt;=" &amp; $A172, Table2[AwayTeam], P$1)+SUMIFS(Table2[NewPointsHome],Table2[GameDate], "&lt;=" &amp; $A172, Table2[HomeTeam], P$1)</f>
        <v>22</v>
      </c>
      <c r="Q172" s="145">
        <f>SUMIFS(Table2[NewPointsAway],Table2[GameDate], "&lt;=" &amp; $A172, Table2[AwayTeam], Q$1)+SUMIFS(Table2[NewPointsHome],Table2[GameDate], "&lt;=" &amp; $A172, Table2[HomeTeam], Q$1)</f>
        <v>23</v>
      </c>
      <c r="R172" s="145">
        <f>SUMIFS(Table2[NewPointsAway],Table2[GameDate], "&lt;=" &amp; $A172, Table2[AwayTeam], R$1)+SUMIFS(Table2[NewPointsHome],Table2[GameDate], "&lt;=" &amp; $A172, Table2[HomeTeam], R$1)</f>
        <v>14</v>
      </c>
      <c r="S172" s="145">
        <f>SUMIFS(Table2[NewPointsAway],Table2[GameDate], "&lt;=" &amp; $A172, Table2[AwayTeam], S$1)+SUMIFS(Table2[NewPointsHome],Table2[GameDate], "&lt;=" &amp; $A172, Table2[HomeTeam], S$1)</f>
        <v>18</v>
      </c>
      <c r="T172" s="145">
        <f>SUMIFS(Table2[NewPointsAway],Table2[GameDate], "&lt;=" &amp; $A172, Table2[AwayTeam], T$1)+SUMIFS(Table2[NewPointsHome],Table2[GameDate], "&lt;=" &amp; $A172, Table2[HomeTeam], T$1)</f>
        <v>20</v>
      </c>
      <c r="U172" s="145">
        <f>SUMIFS(Table2[NewPointsAway],Table2[GameDate], "&lt;=" &amp; $A172, Table2[AwayTeam], U$1)+SUMIFS(Table2[NewPointsHome],Table2[GameDate], "&lt;=" &amp; $A172, Table2[HomeTeam], U$1)</f>
        <v>20</v>
      </c>
      <c r="V172" s="145">
        <f>SUMIFS(Table2[NewPointsAway],Table2[GameDate], "&lt;=" &amp; $A172, Table2[AwayTeam], V$1)+SUMIFS(Table2[NewPointsHome],Table2[GameDate], "&lt;=" &amp; $A172, Table2[HomeTeam], V$1)</f>
        <v>19</v>
      </c>
      <c r="W172" s="145">
        <f>SUMIFS(Table2[NewPointsAway],Table2[GameDate], "&lt;=" &amp; $A172, Table2[AwayTeam], W$1)+SUMIFS(Table2[NewPointsHome],Table2[GameDate], "&lt;=" &amp; $A172, Table2[HomeTeam], W$1)</f>
        <v>21</v>
      </c>
      <c r="X172" s="145">
        <f>SUMIFS(Table2[NewPointsAway],Table2[GameDate], "&lt;=" &amp; $A172, Table2[AwayTeam], X$1)+SUMIFS(Table2[NewPointsHome],Table2[GameDate], "&lt;=" &amp; $A172, Table2[HomeTeam], X$1)</f>
        <v>19</v>
      </c>
      <c r="Y172" s="145">
        <f>SUMIFS(Table2[NewPointsAway],Table2[GameDate], "&lt;=" &amp; $A172, Table2[AwayTeam], Y$1)+SUMIFS(Table2[NewPointsHome],Table2[GameDate], "&lt;=" &amp; $A172, Table2[HomeTeam], Y$1)</f>
        <v>19</v>
      </c>
      <c r="Z172" s="145">
        <f>SUMIFS(Table2[NewPointsAway],Table2[GameDate], "&lt;=" &amp; $A172, Table2[AwayTeam], Z$1)+SUMIFS(Table2[NewPointsHome],Table2[GameDate], "&lt;=" &amp; $A172, Table2[HomeTeam], Z$1)</f>
        <v>15</v>
      </c>
      <c r="AA172" s="145">
        <f>SUMIFS(Table2[NewPointsAway],Table2[GameDate], "&lt;=" &amp; $A172, Table2[AwayTeam], AA$1)+SUMIFS(Table2[NewPointsHome],Table2[GameDate], "&lt;=" &amp; $A172, Table2[HomeTeam], AA$1)</f>
        <v>18</v>
      </c>
      <c r="AB172" s="145">
        <f>SUMIFS(Table2[NewPointsAway],Table2[GameDate], "&lt;=" &amp; $A172, Table2[AwayTeam], AB$1)+SUMIFS(Table2[NewPointsHome],Table2[GameDate], "&lt;=" &amp; $A172, Table2[HomeTeam], AB$1)</f>
        <v>17</v>
      </c>
      <c r="AC172" s="145">
        <f>SUMIFS(Table2[NewPointsAway],Table2[GameDate], "&lt;=" &amp; $A172, Table2[AwayTeam], AC$1)+SUMIFS(Table2[NewPointsHome],Table2[GameDate], "&lt;=" &amp; $A172, Table2[HomeTeam], AC$1)</f>
        <v>18</v>
      </c>
      <c r="AD172" s="145">
        <f>SUMIFS(Table2[NewPointsAway],Table2[GameDate], "&lt;=" &amp; $A172, Table2[AwayTeam], AD$1)+SUMIFS(Table2[NewPointsHome],Table2[GameDate], "&lt;=" &amp; $A172, Table2[HomeTeam], AD$1)</f>
        <v>17</v>
      </c>
      <c r="AE172" s="145">
        <f>SUMIFS(Table2[NewPointsAway],Table2[GameDate], "&lt;=" &amp; $A172, Table2[AwayTeam], AE$1)+SUMIFS(Table2[NewPointsHome],Table2[GameDate], "&lt;=" &amp; $A172, Table2[HomeTeam], AE$1)</f>
        <v>18</v>
      </c>
      <c r="AF172" s="145">
        <f>SUMIFS(Table2[NewPointsAway],Table2[GameDate], "&lt;=" &amp; $A172, Table2[AwayTeam], AF$1)+SUMIFS(Table2[NewPointsHome],Table2[GameDate], "&lt;=" &amp; $A172, Table2[HomeTeam], AF$1)</f>
        <v>20</v>
      </c>
      <c r="AG172" s="145">
        <f>SUMIFS(Table2[NewPointsAway],Table2[GameDate], "&lt;=" &amp; $A172, Table2[AwayTeam], AG$1)+SUMIFS(Table2[NewPointsHome],Table2[GameDate], "&lt;=" &amp; $A172, Table2[HomeTeam], AG$1)</f>
        <v>17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23</v>
      </c>
      <c r="C173" s="145">
        <f>SUMIFS(Table2[NewPointsAway],Table2[GameDate], "&lt;=" &amp; $A173, Table2[AwayTeam], C$1)+SUMIFS(Table2[NewPointsHome],Table2[GameDate], "&lt;=" &amp; $A173, Table2[HomeTeam], C$1)</f>
        <v>22</v>
      </c>
      <c r="D173" s="145">
        <f>SUMIFS(Table2[NewPointsAway],Table2[GameDate], "&lt;=" &amp; $A173, Table2[AwayTeam], D$1)+SUMIFS(Table2[NewPointsHome],Table2[GameDate], "&lt;=" &amp; $A173, Table2[HomeTeam], D$1)</f>
        <v>14</v>
      </c>
      <c r="E173" s="145">
        <f>SUMIFS(Table2[NewPointsAway],Table2[GameDate], "&lt;=" &amp; $A173, Table2[AwayTeam], E$1)+SUMIFS(Table2[NewPointsHome],Table2[GameDate], "&lt;=" &amp; $A173, Table2[HomeTeam], E$1)</f>
        <v>22</v>
      </c>
      <c r="F173" s="145">
        <f>SUMIFS(Table2[NewPointsAway],Table2[GameDate], "&lt;=" &amp; $A173, Table2[AwayTeam], F$1)+SUMIFS(Table2[NewPointsHome],Table2[GameDate], "&lt;=" &amp; $A173, Table2[HomeTeam], F$1)</f>
        <v>17</v>
      </c>
      <c r="G173" s="145">
        <f>SUMIFS(Table2[NewPointsAway],Table2[GameDate], "&lt;=" &amp; $A173, Table2[AwayTeam], G$1)+SUMIFS(Table2[NewPointsHome],Table2[GameDate], "&lt;=" &amp; $A173, Table2[HomeTeam], G$1)</f>
        <v>10</v>
      </c>
      <c r="H173" s="145">
        <f>SUMIFS(Table2[NewPointsAway],Table2[GameDate], "&lt;=" &amp; $A173, Table2[AwayTeam], H$1)+SUMIFS(Table2[NewPointsHome],Table2[GameDate], "&lt;=" &amp; $A173, Table2[HomeTeam], H$1)</f>
        <v>19</v>
      </c>
      <c r="I173" s="145">
        <f>SUMIFS(Table2[NewPointsAway],Table2[GameDate], "&lt;=" &amp; $A173, Table2[AwayTeam], I$1)+SUMIFS(Table2[NewPointsHome],Table2[GameDate], "&lt;=" &amp; $A173, Table2[HomeTeam], I$1)</f>
        <v>27</v>
      </c>
      <c r="J173" s="145">
        <f>SUMIFS(Table2[NewPointsAway],Table2[GameDate], "&lt;=" &amp; $A173, Table2[AwayTeam], J$1)+SUMIFS(Table2[NewPointsHome],Table2[GameDate], "&lt;=" &amp; $A173, Table2[HomeTeam], J$1)</f>
        <v>23</v>
      </c>
      <c r="K173" s="145">
        <f>SUMIFS(Table2[NewPointsAway],Table2[GameDate], "&lt;=" &amp; $A173, Table2[AwayTeam], K$1)+SUMIFS(Table2[NewPointsHome],Table2[GameDate], "&lt;=" &amp; $A173, Table2[HomeTeam], K$1)</f>
        <v>18</v>
      </c>
      <c r="L173" s="145">
        <f>SUMIFS(Table2[NewPointsAway],Table2[GameDate], "&lt;=" &amp; $A173, Table2[AwayTeam], L$1)+SUMIFS(Table2[NewPointsHome],Table2[GameDate], "&lt;=" &amp; $A173, Table2[HomeTeam], L$1)</f>
        <v>20</v>
      </c>
      <c r="M173" s="145">
        <f>SUMIFS(Table2[NewPointsAway],Table2[GameDate], "&lt;=" &amp; $A173, Table2[AwayTeam], M$1)+SUMIFS(Table2[NewPointsHome],Table2[GameDate], "&lt;=" &amp; $A173, Table2[HomeTeam], M$1)</f>
        <v>17</v>
      </c>
      <c r="N173" s="145">
        <f>SUMIFS(Table2[NewPointsAway],Table2[GameDate], "&lt;=" &amp; $A173, Table2[AwayTeam], N$1)+SUMIFS(Table2[NewPointsHome],Table2[GameDate], "&lt;=" &amp; $A173, Table2[HomeTeam], N$1)</f>
        <v>20</v>
      </c>
      <c r="O173" s="145">
        <f>SUMIFS(Table2[NewPointsAway],Table2[GameDate], "&lt;=" &amp; $A173, Table2[AwayTeam], O$1)+SUMIFS(Table2[NewPointsHome],Table2[GameDate], "&lt;=" &amp; $A173, Table2[HomeTeam], O$1)</f>
        <v>18</v>
      </c>
      <c r="P173" s="145">
        <f>SUMIFS(Table2[NewPointsAway],Table2[GameDate], "&lt;=" &amp; $A173, Table2[AwayTeam], P$1)+SUMIFS(Table2[NewPointsHome],Table2[GameDate], "&lt;=" &amp; $A173, Table2[HomeTeam], P$1)</f>
        <v>22</v>
      </c>
      <c r="Q173" s="145">
        <f>SUMIFS(Table2[NewPointsAway],Table2[GameDate], "&lt;=" &amp; $A173, Table2[AwayTeam], Q$1)+SUMIFS(Table2[NewPointsHome],Table2[GameDate], "&lt;=" &amp; $A173, Table2[HomeTeam], Q$1)</f>
        <v>23</v>
      </c>
      <c r="R173" s="145">
        <f>SUMIFS(Table2[NewPointsAway],Table2[GameDate], "&lt;=" &amp; $A173, Table2[AwayTeam], R$1)+SUMIFS(Table2[NewPointsHome],Table2[GameDate], "&lt;=" &amp; $A173, Table2[HomeTeam], R$1)</f>
        <v>14</v>
      </c>
      <c r="S173" s="145">
        <f>SUMIFS(Table2[NewPointsAway],Table2[GameDate], "&lt;=" &amp; $A173, Table2[AwayTeam], S$1)+SUMIFS(Table2[NewPointsHome],Table2[GameDate], "&lt;=" &amp; $A173, Table2[HomeTeam], S$1)</f>
        <v>18</v>
      </c>
      <c r="T173" s="145">
        <f>SUMIFS(Table2[NewPointsAway],Table2[GameDate], "&lt;=" &amp; $A173, Table2[AwayTeam], T$1)+SUMIFS(Table2[NewPointsHome],Table2[GameDate], "&lt;=" &amp; $A173, Table2[HomeTeam], T$1)</f>
        <v>20</v>
      </c>
      <c r="U173" s="145">
        <f>SUMIFS(Table2[NewPointsAway],Table2[GameDate], "&lt;=" &amp; $A173, Table2[AwayTeam], U$1)+SUMIFS(Table2[NewPointsHome],Table2[GameDate], "&lt;=" &amp; $A173, Table2[HomeTeam], U$1)</f>
        <v>20</v>
      </c>
      <c r="V173" s="145">
        <f>SUMIFS(Table2[NewPointsAway],Table2[GameDate], "&lt;=" &amp; $A173, Table2[AwayTeam], V$1)+SUMIFS(Table2[NewPointsHome],Table2[GameDate], "&lt;=" &amp; $A173, Table2[HomeTeam], V$1)</f>
        <v>19</v>
      </c>
      <c r="W173" s="145">
        <f>SUMIFS(Table2[NewPointsAway],Table2[GameDate], "&lt;=" &amp; $A173, Table2[AwayTeam], W$1)+SUMIFS(Table2[NewPointsHome],Table2[GameDate], "&lt;=" &amp; $A173, Table2[HomeTeam], W$1)</f>
        <v>21</v>
      </c>
      <c r="X173" s="145">
        <f>SUMIFS(Table2[NewPointsAway],Table2[GameDate], "&lt;=" &amp; $A173, Table2[AwayTeam], X$1)+SUMIFS(Table2[NewPointsHome],Table2[GameDate], "&lt;=" &amp; $A173, Table2[HomeTeam], X$1)</f>
        <v>19</v>
      </c>
      <c r="Y173" s="145">
        <f>SUMIFS(Table2[NewPointsAway],Table2[GameDate], "&lt;=" &amp; $A173, Table2[AwayTeam], Y$1)+SUMIFS(Table2[NewPointsHome],Table2[GameDate], "&lt;=" &amp; $A173, Table2[HomeTeam], Y$1)</f>
        <v>19</v>
      </c>
      <c r="Z173" s="145">
        <f>SUMIFS(Table2[NewPointsAway],Table2[GameDate], "&lt;=" &amp; $A173, Table2[AwayTeam], Z$1)+SUMIFS(Table2[NewPointsHome],Table2[GameDate], "&lt;=" &amp; $A173, Table2[HomeTeam], Z$1)</f>
        <v>15</v>
      </c>
      <c r="AA173" s="145">
        <f>SUMIFS(Table2[NewPointsAway],Table2[GameDate], "&lt;=" &amp; $A173, Table2[AwayTeam], AA$1)+SUMIFS(Table2[NewPointsHome],Table2[GameDate], "&lt;=" &amp; $A173, Table2[HomeTeam], AA$1)</f>
        <v>18</v>
      </c>
      <c r="AB173" s="145">
        <f>SUMIFS(Table2[NewPointsAway],Table2[GameDate], "&lt;=" &amp; $A173, Table2[AwayTeam], AB$1)+SUMIFS(Table2[NewPointsHome],Table2[GameDate], "&lt;=" &amp; $A173, Table2[HomeTeam], AB$1)</f>
        <v>17</v>
      </c>
      <c r="AC173" s="145">
        <f>SUMIFS(Table2[NewPointsAway],Table2[GameDate], "&lt;=" &amp; $A173, Table2[AwayTeam], AC$1)+SUMIFS(Table2[NewPointsHome],Table2[GameDate], "&lt;=" &amp; $A173, Table2[HomeTeam], AC$1)</f>
        <v>18</v>
      </c>
      <c r="AD173" s="145">
        <f>SUMIFS(Table2[NewPointsAway],Table2[GameDate], "&lt;=" &amp; $A173, Table2[AwayTeam], AD$1)+SUMIFS(Table2[NewPointsHome],Table2[GameDate], "&lt;=" &amp; $A173, Table2[HomeTeam], AD$1)</f>
        <v>17</v>
      </c>
      <c r="AE173" s="145">
        <f>SUMIFS(Table2[NewPointsAway],Table2[GameDate], "&lt;=" &amp; $A173, Table2[AwayTeam], AE$1)+SUMIFS(Table2[NewPointsHome],Table2[GameDate], "&lt;=" &amp; $A173, Table2[HomeTeam], AE$1)</f>
        <v>18</v>
      </c>
      <c r="AF173" s="145">
        <f>SUMIFS(Table2[NewPointsAway],Table2[GameDate], "&lt;=" &amp; $A173, Table2[AwayTeam], AF$1)+SUMIFS(Table2[NewPointsHome],Table2[GameDate], "&lt;=" &amp; $A173, Table2[HomeTeam], AF$1)</f>
        <v>20</v>
      </c>
      <c r="AG173" s="145">
        <f>SUMIFS(Table2[NewPointsAway],Table2[GameDate], "&lt;=" &amp; $A173, Table2[AwayTeam], AG$1)+SUMIFS(Table2[NewPointsHome],Table2[GameDate], "&lt;=" &amp; $A173, Table2[HomeTeam], AG$1)</f>
        <v>17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23</v>
      </c>
      <c r="C174" s="145">
        <f>SUMIFS(Table2[NewPointsAway],Table2[GameDate], "&lt;=" &amp; $A174, Table2[AwayTeam], C$1)+SUMIFS(Table2[NewPointsHome],Table2[GameDate], "&lt;=" &amp; $A174, Table2[HomeTeam], C$1)</f>
        <v>22</v>
      </c>
      <c r="D174" s="145">
        <f>SUMIFS(Table2[NewPointsAway],Table2[GameDate], "&lt;=" &amp; $A174, Table2[AwayTeam], D$1)+SUMIFS(Table2[NewPointsHome],Table2[GameDate], "&lt;=" &amp; $A174, Table2[HomeTeam], D$1)</f>
        <v>14</v>
      </c>
      <c r="E174" s="145">
        <f>SUMIFS(Table2[NewPointsAway],Table2[GameDate], "&lt;=" &amp; $A174, Table2[AwayTeam], E$1)+SUMIFS(Table2[NewPointsHome],Table2[GameDate], "&lt;=" &amp; $A174, Table2[HomeTeam], E$1)</f>
        <v>22</v>
      </c>
      <c r="F174" s="145">
        <f>SUMIFS(Table2[NewPointsAway],Table2[GameDate], "&lt;=" &amp; $A174, Table2[AwayTeam], F$1)+SUMIFS(Table2[NewPointsHome],Table2[GameDate], "&lt;=" &amp; $A174, Table2[HomeTeam], F$1)</f>
        <v>17</v>
      </c>
      <c r="G174" s="145">
        <f>SUMIFS(Table2[NewPointsAway],Table2[GameDate], "&lt;=" &amp; $A174, Table2[AwayTeam], G$1)+SUMIFS(Table2[NewPointsHome],Table2[GameDate], "&lt;=" &amp; $A174, Table2[HomeTeam], G$1)</f>
        <v>10</v>
      </c>
      <c r="H174" s="145">
        <f>SUMIFS(Table2[NewPointsAway],Table2[GameDate], "&lt;=" &amp; $A174, Table2[AwayTeam], H$1)+SUMIFS(Table2[NewPointsHome],Table2[GameDate], "&lt;=" &amp; $A174, Table2[HomeTeam], H$1)</f>
        <v>19</v>
      </c>
      <c r="I174" s="145">
        <f>SUMIFS(Table2[NewPointsAway],Table2[GameDate], "&lt;=" &amp; $A174, Table2[AwayTeam], I$1)+SUMIFS(Table2[NewPointsHome],Table2[GameDate], "&lt;=" &amp; $A174, Table2[HomeTeam], I$1)</f>
        <v>27</v>
      </c>
      <c r="J174" s="145">
        <f>SUMIFS(Table2[NewPointsAway],Table2[GameDate], "&lt;=" &amp; $A174, Table2[AwayTeam], J$1)+SUMIFS(Table2[NewPointsHome],Table2[GameDate], "&lt;=" &amp; $A174, Table2[HomeTeam], J$1)</f>
        <v>23</v>
      </c>
      <c r="K174" s="145">
        <f>SUMIFS(Table2[NewPointsAway],Table2[GameDate], "&lt;=" &amp; $A174, Table2[AwayTeam], K$1)+SUMIFS(Table2[NewPointsHome],Table2[GameDate], "&lt;=" &amp; $A174, Table2[HomeTeam], K$1)</f>
        <v>18</v>
      </c>
      <c r="L174" s="145">
        <f>SUMIFS(Table2[NewPointsAway],Table2[GameDate], "&lt;=" &amp; $A174, Table2[AwayTeam], L$1)+SUMIFS(Table2[NewPointsHome],Table2[GameDate], "&lt;=" &amp; $A174, Table2[HomeTeam], L$1)</f>
        <v>20</v>
      </c>
      <c r="M174" s="145">
        <f>SUMIFS(Table2[NewPointsAway],Table2[GameDate], "&lt;=" &amp; $A174, Table2[AwayTeam], M$1)+SUMIFS(Table2[NewPointsHome],Table2[GameDate], "&lt;=" &amp; $A174, Table2[HomeTeam], M$1)</f>
        <v>17</v>
      </c>
      <c r="N174" s="145">
        <f>SUMIFS(Table2[NewPointsAway],Table2[GameDate], "&lt;=" &amp; $A174, Table2[AwayTeam], N$1)+SUMIFS(Table2[NewPointsHome],Table2[GameDate], "&lt;=" &amp; $A174, Table2[HomeTeam], N$1)</f>
        <v>20</v>
      </c>
      <c r="O174" s="145">
        <f>SUMIFS(Table2[NewPointsAway],Table2[GameDate], "&lt;=" &amp; $A174, Table2[AwayTeam], O$1)+SUMIFS(Table2[NewPointsHome],Table2[GameDate], "&lt;=" &amp; $A174, Table2[HomeTeam], O$1)</f>
        <v>18</v>
      </c>
      <c r="P174" s="145">
        <f>SUMIFS(Table2[NewPointsAway],Table2[GameDate], "&lt;=" &amp; $A174, Table2[AwayTeam], P$1)+SUMIFS(Table2[NewPointsHome],Table2[GameDate], "&lt;=" &amp; $A174, Table2[HomeTeam], P$1)</f>
        <v>22</v>
      </c>
      <c r="Q174" s="145">
        <f>SUMIFS(Table2[NewPointsAway],Table2[GameDate], "&lt;=" &amp; $A174, Table2[AwayTeam], Q$1)+SUMIFS(Table2[NewPointsHome],Table2[GameDate], "&lt;=" &amp; $A174, Table2[HomeTeam], Q$1)</f>
        <v>23</v>
      </c>
      <c r="R174" s="145">
        <f>SUMIFS(Table2[NewPointsAway],Table2[GameDate], "&lt;=" &amp; $A174, Table2[AwayTeam], R$1)+SUMIFS(Table2[NewPointsHome],Table2[GameDate], "&lt;=" &amp; $A174, Table2[HomeTeam], R$1)</f>
        <v>14</v>
      </c>
      <c r="S174" s="145">
        <f>SUMIFS(Table2[NewPointsAway],Table2[GameDate], "&lt;=" &amp; $A174, Table2[AwayTeam], S$1)+SUMIFS(Table2[NewPointsHome],Table2[GameDate], "&lt;=" &amp; $A174, Table2[HomeTeam], S$1)</f>
        <v>18</v>
      </c>
      <c r="T174" s="145">
        <f>SUMIFS(Table2[NewPointsAway],Table2[GameDate], "&lt;=" &amp; $A174, Table2[AwayTeam], T$1)+SUMIFS(Table2[NewPointsHome],Table2[GameDate], "&lt;=" &amp; $A174, Table2[HomeTeam], T$1)</f>
        <v>20</v>
      </c>
      <c r="U174" s="145">
        <f>SUMIFS(Table2[NewPointsAway],Table2[GameDate], "&lt;=" &amp; $A174, Table2[AwayTeam], U$1)+SUMIFS(Table2[NewPointsHome],Table2[GameDate], "&lt;=" &amp; $A174, Table2[HomeTeam], U$1)</f>
        <v>20</v>
      </c>
      <c r="V174" s="145">
        <f>SUMIFS(Table2[NewPointsAway],Table2[GameDate], "&lt;=" &amp; $A174, Table2[AwayTeam], V$1)+SUMIFS(Table2[NewPointsHome],Table2[GameDate], "&lt;=" &amp; $A174, Table2[HomeTeam], V$1)</f>
        <v>19</v>
      </c>
      <c r="W174" s="145">
        <f>SUMIFS(Table2[NewPointsAway],Table2[GameDate], "&lt;=" &amp; $A174, Table2[AwayTeam], W$1)+SUMIFS(Table2[NewPointsHome],Table2[GameDate], "&lt;=" &amp; $A174, Table2[HomeTeam], W$1)</f>
        <v>21</v>
      </c>
      <c r="X174" s="145">
        <f>SUMIFS(Table2[NewPointsAway],Table2[GameDate], "&lt;=" &amp; $A174, Table2[AwayTeam], X$1)+SUMIFS(Table2[NewPointsHome],Table2[GameDate], "&lt;=" &amp; $A174, Table2[HomeTeam], X$1)</f>
        <v>19</v>
      </c>
      <c r="Y174" s="145">
        <f>SUMIFS(Table2[NewPointsAway],Table2[GameDate], "&lt;=" &amp; $A174, Table2[AwayTeam], Y$1)+SUMIFS(Table2[NewPointsHome],Table2[GameDate], "&lt;=" &amp; $A174, Table2[HomeTeam], Y$1)</f>
        <v>19</v>
      </c>
      <c r="Z174" s="145">
        <f>SUMIFS(Table2[NewPointsAway],Table2[GameDate], "&lt;=" &amp; $A174, Table2[AwayTeam], Z$1)+SUMIFS(Table2[NewPointsHome],Table2[GameDate], "&lt;=" &amp; $A174, Table2[HomeTeam], Z$1)</f>
        <v>15</v>
      </c>
      <c r="AA174" s="145">
        <f>SUMIFS(Table2[NewPointsAway],Table2[GameDate], "&lt;=" &amp; $A174, Table2[AwayTeam], AA$1)+SUMIFS(Table2[NewPointsHome],Table2[GameDate], "&lt;=" &amp; $A174, Table2[HomeTeam], AA$1)</f>
        <v>18</v>
      </c>
      <c r="AB174" s="145">
        <f>SUMIFS(Table2[NewPointsAway],Table2[GameDate], "&lt;=" &amp; $A174, Table2[AwayTeam], AB$1)+SUMIFS(Table2[NewPointsHome],Table2[GameDate], "&lt;=" &amp; $A174, Table2[HomeTeam], AB$1)</f>
        <v>17</v>
      </c>
      <c r="AC174" s="145">
        <f>SUMIFS(Table2[NewPointsAway],Table2[GameDate], "&lt;=" &amp; $A174, Table2[AwayTeam], AC$1)+SUMIFS(Table2[NewPointsHome],Table2[GameDate], "&lt;=" &amp; $A174, Table2[HomeTeam], AC$1)</f>
        <v>18</v>
      </c>
      <c r="AD174" s="145">
        <f>SUMIFS(Table2[NewPointsAway],Table2[GameDate], "&lt;=" &amp; $A174, Table2[AwayTeam], AD$1)+SUMIFS(Table2[NewPointsHome],Table2[GameDate], "&lt;=" &amp; $A174, Table2[HomeTeam], AD$1)</f>
        <v>17</v>
      </c>
      <c r="AE174" s="145">
        <f>SUMIFS(Table2[NewPointsAway],Table2[GameDate], "&lt;=" &amp; $A174, Table2[AwayTeam], AE$1)+SUMIFS(Table2[NewPointsHome],Table2[GameDate], "&lt;=" &amp; $A174, Table2[HomeTeam], AE$1)</f>
        <v>18</v>
      </c>
      <c r="AF174" s="145">
        <f>SUMIFS(Table2[NewPointsAway],Table2[GameDate], "&lt;=" &amp; $A174, Table2[AwayTeam], AF$1)+SUMIFS(Table2[NewPointsHome],Table2[GameDate], "&lt;=" &amp; $A174, Table2[HomeTeam], AF$1)</f>
        <v>20</v>
      </c>
      <c r="AG174" s="145">
        <f>SUMIFS(Table2[NewPointsAway],Table2[GameDate], "&lt;=" &amp; $A174, Table2[AwayTeam], AG$1)+SUMIFS(Table2[NewPointsHome],Table2[GameDate], "&lt;=" &amp; $A174, Table2[HomeTeam], AG$1)</f>
        <v>17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23</v>
      </c>
      <c r="C175" s="145">
        <f>SUMIFS(Table2[NewPointsAway],Table2[GameDate], "&lt;=" &amp; $A175, Table2[AwayTeam], C$1)+SUMIFS(Table2[NewPointsHome],Table2[GameDate], "&lt;=" &amp; $A175, Table2[HomeTeam], C$1)</f>
        <v>22</v>
      </c>
      <c r="D175" s="145">
        <f>SUMIFS(Table2[NewPointsAway],Table2[GameDate], "&lt;=" &amp; $A175, Table2[AwayTeam], D$1)+SUMIFS(Table2[NewPointsHome],Table2[GameDate], "&lt;=" &amp; $A175, Table2[HomeTeam], D$1)</f>
        <v>14</v>
      </c>
      <c r="E175" s="145">
        <f>SUMIFS(Table2[NewPointsAway],Table2[GameDate], "&lt;=" &amp; $A175, Table2[AwayTeam], E$1)+SUMIFS(Table2[NewPointsHome],Table2[GameDate], "&lt;=" &amp; $A175, Table2[HomeTeam], E$1)</f>
        <v>22</v>
      </c>
      <c r="F175" s="145">
        <f>SUMIFS(Table2[NewPointsAway],Table2[GameDate], "&lt;=" &amp; $A175, Table2[AwayTeam], F$1)+SUMIFS(Table2[NewPointsHome],Table2[GameDate], "&lt;=" &amp; $A175, Table2[HomeTeam], F$1)</f>
        <v>17</v>
      </c>
      <c r="G175" s="145">
        <f>SUMIFS(Table2[NewPointsAway],Table2[GameDate], "&lt;=" &amp; $A175, Table2[AwayTeam], G$1)+SUMIFS(Table2[NewPointsHome],Table2[GameDate], "&lt;=" &amp; $A175, Table2[HomeTeam], G$1)</f>
        <v>10</v>
      </c>
      <c r="H175" s="145">
        <f>SUMIFS(Table2[NewPointsAway],Table2[GameDate], "&lt;=" &amp; $A175, Table2[AwayTeam], H$1)+SUMIFS(Table2[NewPointsHome],Table2[GameDate], "&lt;=" &amp; $A175, Table2[HomeTeam], H$1)</f>
        <v>19</v>
      </c>
      <c r="I175" s="145">
        <f>SUMIFS(Table2[NewPointsAway],Table2[GameDate], "&lt;=" &amp; $A175, Table2[AwayTeam], I$1)+SUMIFS(Table2[NewPointsHome],Table2[GameDate], "&lt;=" &amp; $A175, Table2[HomeTeam], I$1)</f>
        <v>27</v>
      </c>
      <c r="J175" s="145">
        <f>SUMIFS(Table2[NewPointsAway],Table2[GameDate], "&lt;=" &amp; $A175, Table2[AwayTeam], J$1)+SUMIFS(Table2[NewPointsHome],Table2[GameDate], "&lt;=" &amp; $A175, Table2[HomeTeam], J$1)</f>
        <v>23</v>
      </c>
      <c r="K175" s="145">
        <f>SUMIFS(Table2[NewPointsAway],Table2[GameDate], "&lt;=" &amp; $A175, Table2[AwayTeam], K$1)+SUMIFS(Table2[NewPointsHome],Table2[GameDate], "&lt;=" &amp; $A175, Table2[HomeTeam], K$1)</f>
        <v>18</v>
      </c>
      <c r="L175" s="145">
        <f>SUMIFS(Table2[NewPointsAway],Table2[GameDate], "&lt;=" &amp; $A175, Table2[AwayTeam], L$1)+SUMIFS(Table2[NewPointsHome],Table2[GameDate], "&lt;=" &amp; $A175, Table2[HomeTeam], L$1)</f>
        <v>20</v>
      </c>
      <c r="M175" s="145">
        <f>SUMIFS(Table2[NewPointsAway],Table2[GameDate], "&lt;=" &amp; $A175, Table2[AwayTeam], M$1)+SUMIFS(Table2[NewPointsHome],Table2[GameDate], "&lt;=" &amp; $A175, Table2[HomeTeam], M$1)</f>
        <v>17</v>
      </c>
      <c r="N175" s="145">
        <f>SUMIFS(Table2[NewPointsAway],Table2[GameDate], "&lt;=" &amp; $A175, Table2[AwayTeam], N$1)+SUMIFS(Table2[NewPointsHome],Table2[GameDate], "&lt;=" &amp; $A175, Table2[HomeTeam], N$1)</f>
        <v>20</v>
      </c>
      <c r="O175" s="145">
        <f>SUMIFS(Table2[NewPointsAway],Table2[GameDate], "&lt;=" &amp; $A175, Table2[AwayTeam], O$1)+SUMIFS(Table2[NewPointsHome],Table2[GameDate], "&lt;=" &amp; $A175, Table2[HomeTeam], O$1)</f>
        <v>18</v>
      </c>
      <c r="P175" s="145">
        <f>SUMIFS(Table2[NewPointsAway],Table2[GameDate], "&lt;=" &amp; $A175, Table2[AwayTeam], P$1)+SUMIFS(Table2[NewPointsHome],Table2[GameDate], "&lt;=" &amp; $A175, Table2[HomeTeam], P$1)</f>
        <v>22</v>
      </c>
      <c r="Q175" s="145">
        <f>SUMIFS(Table2[NewPointsAway],Table2[GameDate], "&lt;=" &amp; $A175, Table2[AwayTeam], Q$1)+SUMIFS(Table2[NewPointsHome],Table2[GameDate], "&lt;=" &amp; $A175, Table2[HomeTeam], Q$1)</f>
        <v>23</v>
      </c>
      <c r="R175" s="145">
        <f>SUMIFS(Table2[NewPointsAway],Table2[GameDate], "&lt;=" &amp; $A175, Table2[AwayTeam], R$1)+SUMIFS(Table2[NewPointsHome],Table2[GameDate], "&lt;=" &amp; $A175, Table2[HomeTeam], R$1)</f>
        <v>14</v>
      </c>
      <c r="S175" s="145">
        <f>SUMIFS(Table2[NewPointsAway],Table2[GameDate], "&lt;=" &amp; $A175, Table2[AwayTeam], S$1)+SUMIFS(Table2[NewPointsHome],Table2[GameDate], "&lt;=" &amp; $A175, Table2[HomeTeam], S$1)</f>
        <v>18</v>
      </c>
      <c r="T175" s="145">
        <f>SUMIFS(Table2[NewPointsAway],Table2[GameDate], "&lt;=" &amp; $A175, Table2[AwayTeam], T$1)+SUMIFS(Table2[NewPointsHome],Table2[GameDate], "&lt;=" &amp; $A175, Table2[HomeTeam], T$1)</f>
        <v>20</v>
      </c>
      <c r="U175" s="145">
        <f>SUMIFS(Table2[NewPointsAway],Table2[GameDate], "&lt;=" &amp; $A175, Table2[AwayTeam], U$1)+SUMIFS(Table2[NewPointsHome],Table2[GameDate], "&lt;=" &amp; $A175, Table2[HomeTeam], U$1)</f>
        <v>20</v>
      </c>
      <c r="V175" s="145">
        <f>SUMIFS(Table2[NewPointsAway],Table2[GameDate], "&lt;=" &amp; $A175, Table2[AwayTeam], V$1)+SUMIFS(Table2[NewPointsHome],Table2[GameDate], "&lt;=" &amp; $A175, Table2[HomeTeam], V$1)</f>
        <v>19</v>
      </c>
      <c r="W175" s="145">
        <f>SUMIFS(Table2[NewPointsAway],Table2[GameDate], "&lt;=" &amp; $A175, Table2[AwayTeam], W$1)+SUMIFS(Table2[NewPointsHome],Table2[GameDate], "&lt;=" &amp; $A175, Table2[HomeTeam], W$1)</f>
        <v>21</v>
      </c>
      <c r="X175" s="145">
        <f>SUMIFS(Table2[NewPointsAway],Table2[GameDate], "&lt;=" &amp; $A175, Table2[AwayTeam], X$1)+SUMIFS(Table2[NewPointsHome],Table2[GameDate], "&lt;=" &amp; $A175, Table2[HomeTeam], X$1)</f>
        <v>19</v>
      </c>
      <c r="Y175" s="145">
        <f>SUMIFS(Table2[NewPointsAway],Table2[GameDate], "&lt;=" &amp; $A175, Table2[AwayTeam], Y$1)+SUMIFS(Table2[NewPointsHome],Table2[GameDate], "&lt;=" &amp; $A175, Table2[HomeTeam], Y$1)</f>
        <v>19</v>
      </c>
      <c r="Z175" s="145">
        <f>SUMIFS(Table2[NewPointsAway],Table2[GameDate], "&lt;=" &amp; $A175, Table2[AwayTeam], Z$1)+SUMIFS(Table2[NewPointsHome],Table2[GameDate], "&lt;=" &amp; $A175, Table2[HomeTeam], Z$1)</f>
        <v>15</v>
      </c>
      <c r="AA175" s="145">
        <f>SUMIFS(Table2[NewPointsAway],Table2[GameDate], "&lt;=" &amp; $A175, Table2[AwayTeam], AA$1)+SUMIFS(Table2[NewPointsHome],Table2[GameDate], "&lt;=" &amp; $A175, Table2[HomeTeam], AA$1)</f>
        <v>18</v>
      </c>
      <c r="AB175" s="145">
        <f>SUMIFS(Table2[NewPointsAway],Table2[GameDate], "&lt;=" &amp; $A175, Table2[AwayTeam], AB$1)+SUMIFS(Table2[NewPointsHome],Table2[GameDate], "&lt;=" &amp; $A175, Table2[HomeTeam], AB$1)</f>
        <v>17</v>
      </c>
      <c r="AC175" s="145">
        <f>SUMIFS(Table2[NewPointsAway],Table2[GameDate], "&lt;=" &amp; $A175, Table2[AwayTeam], AC$1)+SUMIFS(Table2[NewPointsHome],Table2[GameDate], "&lt;=" &amp; $A175, Table2[HomeTeam], AC$1)</f>
        <v>18</v>
      </c>
      <c r="AD175" s="145">
        <f>SUMIFS(Table2[NewPointsAway],Table2[GameDate], "&lt;=" &amp; $A175, Table2[AwayTeam], AD$1)+SUMIFS(Table2[NewPointsHome],Table2[GameDate], "&lt;=" &amp; $A175, Table2[HomeTeam], AD$1)</f>
        <v>17</v>
      </c>
      <c r="AE175" s="145">
        <f>SUMIFS(Table2[NewPointsAway],Table2[GameDate], "&lt;=" &amp; $A175, Table2[AwayTeam], AE$1)+SUMIFS(Table2[NewPointsHome],Table2[GameDate], "&lt;=" &amp; $A175, Table2[HomeTeam], AE$1)</f>
        <v>18</v>
      </c>
      <c r="AF175" s="145">
        <f>SUMIFS(Table2[NewPointsAway],Table2[GameDate], "&lt;=" &amp; $A175, Table2[AwayTeam], AF$1)+SUMIFS(Table2[NewPointsHome],Table2[GameDate], "&lt;=" &amp; $A175, Table2[HomeTeam], AF$1)</f>
        <v>20</v>
      </c>
      <c r="AG175" s="145">
        <f>SUMIFS(Table2[NewPointsAway],Table2[GameDate], "&lt;=" &amp; $A175, Table2[AwayTeam], AG$1)+SUMIFS(Table2[NewPointsHome],Table2[GameDate], "&lt;=" &amp; $A175, Table2[HomeTeam], AG$1)</f>
        <v>17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23</v>
      </c>
      <c r="C176" s="145">
        <f>SUMIFS(Table2[NewPointsAway],Table2[GameDate], "&lt;=" &amp; $A176, Table2[AwayTeam], C$1)+SUMIFS(Table2[NewPointsHome],Table2[GameDate], "&lt;=" &amp; $A176, Table2[HomeTeam], C$1)</f>
        <v>22</v>
      </c>
      <c r="D176" s="145">
        <f>SUMIFS(Table2[NewPointsAway],Table2[GameDate], "&lt;=" &amp; $A176, Table2[AwayTeam], D$1)+SUMIFS(Table2[NewPointsHome],Table2[GameDate], "&lt;=" &amp; $A176, Table2[HomeTeam], D$1)</f>
        <v>14</v>
      </c>
      <c r="E176" s="145">
        <f>SUMIFS(Table2[NewPointsAway],Table2[GameDate], "&lt;=" &amp; $A176, Table2[AwayTeam], E$1)+SUMIFS(Table2[NewPointsHome],Table2[GameDate], "&lt;=" &amp; $A176, Table2[HomeTeam], E$1)</f>
        <v>22</v>
      </c>
      <c r="F176" s="145">
        <f>SUMIFS(Table2[NewPointsAway],Table2[GameDate], "&lt;=" &amp; $A176, Table2[AwayTeam], F$1)+SUMIFS(Table2[NewPointsHome],Table2[GameDate], "&lt;=" &amp; $A176, Table2[HomeTeam], F$1)</f>
        <v>17</v>
      </c>
      <c r="G176" s="145">
        <f>SUMIFS(Table2[NewPointsAway],Table2[GameDate], "&lt;=" &amp; $A176, Table2[AwayTeam], G$1)+SUMIFS(Table2[NewPointsHome],Table2[GameDate], "&lt;=" &amp; $A176, Table2[HomeTeam], G$1)</f>
        <v>10</v>
      </c>
      <c r="H176" s="145">
        <f>SUMIFS(Table2[NewPointsAway],Table2[GameDate], "&lt;=" &amp; $A176, Table2[AwayTeam], H$1)+SUMIFS(Table2[NewPointsHome],Table2[GameDate], "&lt;=" &amp; $A176, Table2[HomeTeam], H$1)</f>
        <v>19</v>
      </c>
      <c r="I176" s="145">
        <f>SUMIFS(Table2[NewPointsAway],Table2[GameDate], "&lt;=" &amp; $A176, Table2[AwayTeam], I$1)+SUMIFS(Table2[NewPointsHome],Table2[GameDate], "&lt;=" &amp; $A176, Table2[HomeTeam], I$1)</f>
        <v>27</v>
      </c>
      <c r="J176" s="145">
        <f>SUMIFS(Table2[NewPointsAway],Table2[GameDate], "&lt;=" &amp; $A176, Table2[AwayTeam], J$1)+SUMIFS(Table2[NewPointsHome],Table2[GameDate], "&lt;=" &amp; $A176, Table2[HomeTeam], J$1)</f>
        <v>23</v>
      </c>
      <c r="K176" s="145">
        <f>SUMIFS(Table2[NewPointsAway],Table2[GameDate], "&lt;=" &amp; $A176, Table2[AwayTeam], K$1)+SUMIFS(Table2[NewPointsHome],Table2[GameDate], "&lt;=" &amp; $A176, Table2[HomeTeam], K$1)</f>
        <v>18</v>
      </c>
      <c r="L176" s="145">
        <f>SUMIFS(Table2[NewPointsAway],Table2[GameDate], "&lt;=" &amp; $A176, Table2[AwayTeam], L$1)+SUMIFS(Table2[NewPointsHome],Table2[GameDate], "&lt;=" &amp; $A176, Table2[HomeTeam], L$1)</f>
        <v>20</v>
      </c>
      <c r="M176" s="145">
        <f>SUMIFS(Table2[NewPointsAway],Table2[GameDate], "&lt;=" &amp; $A176, Table2[AwayTeam], M$1)+SUMIFS(Table2[NewPointsHome],Table2[GameDate], "&lt;=" &amp; $A176, Table2[HomeTeam], M$1)</f>
        <v>17</v>
      </c>
      <c r="N176" s="145">
        <f>SUMIFS(Table2[NewPointsAway],Table2[GameDate], "&lt;=" &amp; $A176, Table2[AwayTeam], N$1)+SUMIFS(Table2[NewPointsHome],Table2[GameDate], "&lt;=" &amp; $A176, Table2[HomeTeam], N$1)</f>
        <v>20</v>
      </c>
      <c r="O176" s="145">
        <f>SUMIFS(Table2[NewPointsAway],Table2[GameDate], "&lt;=" &amp; $A176, Table2[AwayTeam], O$1)+SUMIFS(Table2[NewPointsHome],Table2[GameDate], "&lt;=" &amp; $A176, Table2[HomeTeam], O$1)</f>
        <v>18</v>
      </c>
      <c r="P176" s="145">
        <f>SUMIFS(Table2[NewPointsAway],Table2[GameDate], "&lt;=" &amp; $A176, Table2[AwayTeam], P$1)+SUMIFS(Table2[NewPointsHome],Table2[GameDate], "&lt;=" &amp; $A176, Table2[HomeTeam], P$1)</f>
        <v>22</v>
      </c>
      <c r="Q176" s="145">
        <f>SUMIFS(Table2[NewPointsAway],Table2[GameDate], "&lt;=" &amp; $A176, Table2[AwayTeam], Q$1)+SUMIFS(Table2[NewPointsHome],Table2[GameDate], "&lt;=" &amp; $A176, Table2[HomeTeam], Q$1)</f>
        <v>23</v>
      </c>
      <c r="R176" s="145">
        <f>SUMIFS(Table2[NewPointsAway],Table2[GameDate], "&lt;=" &amp; $A176, Table2[AwayTeam], R$1)+SUMIFS(Table2[NewPointsHome],Table2[GameDate], "&lt;=" &amp; $A176, Table2[HomeTeam], R$1)</f>
        <v>14</v>
      </c>
      <c r="S176" s="145">
        <f>SUMIFS(Table2[NewPointsAway],Table2[GameDate], "&lt;=" &amp; $A176, Table2[AwayTeam], S$1)+SUMIFS(Table2[NewPointsHome],Table2[GameDate], "&lt;=" &amp; $A176, Table2[HomeTeam], S$1)</f>
        <v>18</v>
      </c>
      <c r="T176" s="145">
        <f>SUMIFS(Table2[NewPointsAway],Table2[GameDate], "&lt;=" &amp; $A176, Table2[AwayTeam], T$1)+SUMIFS(Table2[NewPointsHome],Table2[GameDate], "&lt;=" &amp; $A176, Table2[HomeTeam], T$1)</f>
        <v>20</v>
      </c>
      <c r="U176" s="145">
        <f>SUMIFS(Table2[NewPointsAway],Table2[GameDate], "&lt;=" &amp; $A176, Table2[AwayTeam], U$1)+SUMIFS(Table2[NewPointsHome],Table2[GameDate], "&lt;=" &amp; $A176, Table2[HomeTeam], U$1)</f>
        <v>20</v>
      </c>
      <c r="V176" s="145">
        <f>SUMIFS(Table2[NewPointsAway],Table2[GameDate], "&lt;=" &amp; $A176, Table2[AwayTeam], V$1)+SUMIFS(Table2[NewPointsHome],Table2[GameDate], "&lt;=" &amp; $A176, Table2[HomeTeam], V$1)</f>
        <v>19</v>
      </c>
      <c r="W176" s="145">
        <f>SUMIFS(Table2[NewPointsAway],Table2[GameDate], "&lt;=" &amp; $A176, Table2[AwayTeam], W$1)+SUMIFS(Table2[NewPointsHome],Table2[GameDate], "&lt;=" &amp; $A176, Table2[HomeTeam], W$1)</f>
        <v>21</v>
      </c>
      <c r="X176" s="145">
        <f>SUMIFS(Table2[NewPointsAway],Table2[GameDate], "&lt;=" &amp; $A176, Table2[AwayTeam], X$1)+SUMIFS(Table2[NewPointsHome],Table2[GameDate], "&lt;=" &amp; $A176, Table2[HomeTeam], X$1)</f>
        <v>19</v>
      </c>
      <c r="Y176" s="145">
        <f>SUMIFS(Table2[NewPointsAway],Table2[GameDate], "&lt;=" &amp; $A176, Table2[AwayTeam], Y$1)+SUMIFS(Table2[NewPointsHome],Table2[GameDate], "&lt;=" &amp; $A176, Table2[HomeTeam], Y$1)</f>
        <v>19</v>
      </c>
      <c r="Z176" s="145">
        <f>SUMIFS(Table2[NewPointsAway],Table2[GameDate], "&lt;=" &amp; $A176, Table2[AwayTeam], Z$1)+SUMIFS(Table2[NewPointsHome],Table2[GameDate], "&lt;=" &amp; $A176, Table2[HomeTeam], Z$1)</f>
        <v>15</v>
      </c>
      <c r="AA176" s="145">
        <f>SUMIFS(Table2[NewPointsAway],Table2[GameDate], "&lt;=" &amp; $A176, Table2[AwayTeam], AA$1)+SUMIFS(Table2[NewPointsHome],Table2[GameDate], "&lt;=" &amp; $A176, Table2[HomeTeam], AA$1)</f>
        <v>18</v>
      </c>
      <c r="AB176" s="145">
        <f>SUMIFS(Table2[NewPointsAway],Table2[GameDate], "&lt;=" &amp; $A176, Table2[AwayTeam], AB$1)+SUMIFS(Table2[NewPointsHome],Table2[GameDate], "&lt;=" &amp; $A176, Table2[HomeTeam], AB$1)</f>
        <v>17</v>
      </c>
      <c r="AC176" s="145">
        <f>SUMIFS(Table2[NewPointsAway],Table2[GameDate], "&lt;=" &amp; $A176, Table2[AwayTeam], AC$1)+SUMIFS(Table2[NewPointsHome],Table2[GameDate], "&lt;=" &amp; $A176, Table2[HomeTeam], AC$1)</f>
        <v>18</v>
      </c>
      <c r="AD176" s="145">
        <f>SUMIFS(Table2[NewPointsAway],Table2[GameDate], "&lt;=" &amp; $A176, Table2[AwayTeam], AD$1)+SUMIFS(Table2[NewPointsHome],Table2[GameDate], "&lt;=" &amp; $A176, Table2[HomeTeam], AD$1)</f>
        <v>17</v>
      </c>
      <c r="AE176" s="145">
        <f>SUMIFS(Table2[NewPointsAway],Table2[GameDate], "&lt;=" &amp; $A176, Table2[AwayTeam], AE$1)+SUMIFS(Table2[NewPointsHome],Table2[GameDate], "&lt;=" &amp; $A176, Table2[HomeTeam], AE$1)</f>
        <v>18</v>
      </c>
      <c r="AF176" s="145">
        <f>SUMIFS(Table2[NewPointsAway],Table2[GameDate], "&lt;=" &amp; $A176, Table2[AwayTeam], AF$1)+SUMIFS(Table2[NewPointsHome],Table2[GameDate], "&lt;=" &amp; $A176, Table2[HomeTeam], AF$1)</f>
        <v>20</v>
      </c>
      <c r="AG176" s="145">
        <f>SUMIFS(Table2[NewPointsAway],Table2[GameDate], "&lt;=" &amp; $A176, Table2[AwayTeam], AG$1)+SUMIFS(Table2[NewPointsHome],Table2[GameDate], "&lt;=" &amp; $A176, Table2[HomeTeam], AG$1)</f>
        <v>17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23</v>
      </c>
      <c r="C177" s="145">
        <f>SUMIFS(Table2[NewPointsAway],Table2[GameDate], "&lt;=" &amp; $A177, Table2[AwayTeam], C$1)+SUMIFS(Table2[NewPointsHome],Table2[GameDate], "&lt;=" &amp; $A177, Table2[HomeTeam], C$1)</f>
        <v>22</v>
      </c>
      <c r="D177" s="145">
        <f>SUMIFS(Table2[NewPointsAway],Table2[GameDate], "&lt;=" &amp; $A177, Table2[AwayTeam], D$1)+SUMIFS(Table2[NewPointsHome],Table2[GameDate], "&lt;=" &amp; $A177, Table2[HomeTeam], D$1)</f>
        <v>14</v>
      </c>
      <c r="E177" s="145">
        <f>SUMIFS(Table2[NewPointsAway],Table2[GameDate], "&lt;=" &amp; $A177, Table2[AwayTeam], E$1)+SUMIFS(Table2[NewPointsHome],Table2[GameDate], "&lt;=" &amp; $A177, Table2[HomeTeam], E$1)</f>
        <v>22</v>
      </c>
      <c r="F177" s="145">
        <f>SUMIFS(Table2[NewPointsAway],Table2[GameDate], "&lt;=" &amp; $A177, Table2[AwayTeam], F$1)+SUMIFS(Table2[NewPointsHome],Table2[GameDate], "&lt;=" &amp; $A177, Table2[HomeTeam], F$1)</f>
        <v>17</v>
      </c>
      <c r="G177" s="145">
        <f>SUMIFS(Table2[NewPointsAway],Table2[GameDate], "&lt;=" &amp; $A177, Table2[AwayTeam], G$1)+SUMIFS(Table2[NewPointsHome],Table2[GameDate], "&lt;=" &amp; $A177, Table2[HomeTeam], G$1)</f>
        <v>10</v>
      </c>
      <c r="H177" s="145">
        <f>SUMIFS(Table2[NewPointsAway],Table2[GameDate], "&lt;=" &amp; $A177, Table2[AwayTeam], H$1)+SUMIFS(Table2[NewPointsHome],Table2[GameDate], "&lt;=" &amp; $A177, Table2[HomeTeam], H$1)</f>
        <v>19</v>
      </c>
      <c r="I177" s="145">
        <f>SUMIFS(Table2[NewPointsAway],Table2[GameDate], "&lt;=" &amp; $A177, Table2[AwayTeam], I$1)+SUMIFS(Table2[NewPointsHome],Table2[GameDate], "&lt;=" &amp; $A177, Table2[HomeTeam], I$1)</f>
        <v>27</v>
      </c>
      <c r="J177" s="145">
        <f>SUMIFS(Table2[NewPointsAway],Table2[GameDate], "&lt;=" &amp; $A177, Table2[AwayTeam], J$1)+SUMIFS(Table2[NewPointsHome],Table2[GameDate], "&lt;=" &amp; $A177, Table2[HomeTeam], J$1)</f>
        <v>23</v>
      </c>
      <c r="K177" s="145">
        <f>SUMIFS(Table2[NewPointsAway],Table2[GameDate], "&lt;=" &amp; $A177, Table2[AwayTeam], K$1)+SUMIFS(Table2[NewPointsHome],Table2[GameDate], "&lt;=" &amp; $A177, Table2[HomeTeam], K$1)</f>
        <v>18</v>
      </c>
      <c r="L177" s="145">
        <f>SUMIFS(Table2[NewPointsAway],Table2[GameDate], "&lt;=" &amp; $A177, Table2[AwayTeam], L$1)+SUMIFS(Table2[NewPointsHome],Table2[GameDate], "&lt;=" &amp; $A177, Table2[HomeTeam], L$1)</f>
        <v>20</v>
      </c>
      <c r="M177" s="145">
        <f>SUMIFS(Table2[NewPointsAway],Table2[GameDate], "&lt;=" &amp; $A177, Table2[AwayTeam], M$1)+SUMIFS(Table2[NewPointsHome],Table2[GameDate], "&lt;=" &amp; $A177, Table2[HomeTeam], M$1)</f>
        <v>17</v>
      </c>
      <c r="N177" s="145">
        <f>SUMIFS(Table2[NewPointsAway],Table2[GameDate], "&lt;=" &amp; $A177, Table2[AwayTeam], N$1)+SUMIFS(Table2[NewPointsHome],Table2[GameDate], "&lt;=" &amp; $A177, Table2[HomeTeam], N$1)</f>
        <v>20</v>
      </c>
      <c r="O177" s="145">
        <f>SUMIFS(Table2[NewPointsAway],Table2[GameDate], "&lt;=" &amp; $A177, Table2[AwayTeam], O$1)+SUMIFS(Table2[NewPointsHome],Table2[GameDate], "&lt;=" &amp; $A177, Table2[HomeTeam], O$1)</f>
        <v>18</v>
      </c>
      <c r="P177" s="145">
        <f>SUMIFS(Table2[NewPointsAway],Table2[GameDate], "&lt;=" &amp; $A177, Table2[AwayTeam], P$1)+SUMIFS(Table2[NewPointsHome],Table2[GameDate], "&lt;=" &amp; $A177, Table2[HomeTeam], P$1)</f>
        <v>22</v>
      </c>
      <c r="Q177" s="145">
        <f>SUMIFS(Table2[NewPointsAway],Table2[GameDate], "&lt;=" &amp; $A177, Table2[AwayTeam], Q$1)+SUMIFS(Table2[NewPointsHome],Table2[GameDate], "&lt;=" &amp; $A177, Table2[HomeTeam], Q$1)</f>
        <v>23</v>
      </c>
      <c r="R177" s="145">
        <f>SUMIFS(Table2[NewPointsAway],Table2[GameDate], "&lt;=" &amp; $A177, Table2[AwayTeam], R$1)+SUMIFS(Table2[NewPointsHome],Table2[GameDate], "&lt;=" &amp; $A177, Table2[HomeTeam], R$1)</f>
        <v>14</v>
      </c>
      <c r="S177" s="145">
        <f>SUMIFS(Table2[NewPointsAway],Table2[GameDate], "&lt;=" &amp; $A177, Table2[AwayTeam], S$1)+SUMIFS(Table2[NewPointsHome],Table2[GameDate], "&lt;=" &amp; $A177, Table2[HomeTeam], S$1)</f>
        <v>18</v>
      </c>
      <c r="T177" s="145">
        <f>SUMIFS(Table2[NewPointsAway],Table2[GameDate], "&lt;=" &amp; $A177, Table2[AwayTeam], T$1)+SUMIFS(Table2[NewPointsHome],Table2[GameDate], "&lt;=" &amp; $A177, Table2[HomeTeam], T$1)</f>
        <v>20</v>
      </c>
      <c r="U177" s="145">
        <f>SUMIFS(Table2[NewPointsAway],Table2[GameDate], "&lt;=" &amp; $A177, Table2[AwayTeam], U$1)+SUMIFS(Table2[NewPointsHome],Table2[GameDate], "&lt;=" &amp; $A177, Table2[HomeTeam], U$1)</f>
        <v>20</v>
      </c>
      <c r="V177" s="145">
        <f>SUMIFS(Table2[NewPointsAway],Table2[GameDate], "&lt;=" &amp; $A177, Table2[AwayTeam], V$1)+SUMIFS(Table2[NewPointsHome],Table2[GameDate], "&lt;=" &amp; $A177, Table2[HomeTeam], V$1)</f>
        <v>19</v>
      </c>
      <c r="W177" s="145">
        <f>SUMIFS(Table2[NewPointsAway],Table2[GameDate], "&lt;=" &amp; $A177, Table2[AwayTeam], W$1)+SUMIFS(Table2[NewPointsHome],Table2[GameDate], "&lt;=" &amp; $A177, Table2[HomeTeam], W$1)</f>
        <v>21</v>
      </c>
      <c r="X177" s="145">
        <f>SUMIFS(Table2[NewPointsAway],Table2[GameDate], "&lt;=" &amp; $A177, Table2[AwayTeam], X$1)+SUMIFS(Table2[NewPointsHome],Table2[GameDate], "&lt;=" &amp; $A177, Table2[HomeTeam], X$1)</f>
        <v>19</v>
      </c>
      <c r="Y177" s="145">
        <f>SUMIFS(Table2[NewPointsAway],Table2[GameDate], "&lt;=" &amp; $A177, Table2[AwayTeam], Y$1)+SUMIFS(Table2[NewPointsHome],Table2[GameDate], "&lt;=" &amp; $A177, Table2[HomeTeam], Y$1)</f>
        <v>19</v>
      </c>
      <c r="Z177" s="145">
        <f>SUMIFS(Table2[NewPointsAway],Table2[GameDate], "&lt;=" &amp; $A177, Table2[AwayTeam], Z$1)+SUMIFS(Table2[NewPointsHome],Table2[GameDate], "&lt;=" &amp; $A177, Table2[HomeTeam], Z$1)</f>
        <v>15</v>
      </c>
      <c r="AA177" s="145">
        <f>SUMIFS(Table2[NewPointsAway],Table2[GameDate], "&lt;=" &amp; $A177, Table2[AwayTeam], AA$1)+SUMIFS(Table2[NewPointsHome],Table2[GameDate], "&lt;=" &amp; $A177, Table2[HomeTeam], AA$1)</f>
        <v>18</v>
      </c>
      <c r="AB177" s="145">
        <f>SUMIFS(Table2[NewPointsAway],Table2[GameDate], "&lt;=" &amp; $A177, Table2[AwayTeam], AB$1)+SUMIFS(Table2[NewPointsHome],Table2[GameDate], "&lt;=" &amp; $A177, Table2[HomeTeam], AB$1)</f>
        <v>17</v>
      </c>
      <c r="AC177" s="145">
        <f>SUMIFS(Table2[NewPointsAway],Table2[GameDate], "&lt;=" &amp; $A177, Table2[AwayTeam], AC$1)+SUMIFS(Table2[NewPointsHome],Table2[GameDate], "&lt;=" &amp; $A177, Table2[HomeTeam], AC$1)</f>
        <v>18</v>
      </c>
      <c r="AD177" s="145">
        <f>SUMIFS(Table2[NewPointsAway],Table2[GameDate], "&lt;=" &amp; $A177, Table2[AwayTeam], AD$1)+SUMIFS(Table2[NewPointsHome],Table2[GameDate], "&lt;=" &amp; $A177, Table2[HomeTeam], AD$1)</f>
        <v>17</v>
      </c>
      <c r="AE177" s="145">
        <f>SUMIFS(Table2[NewPointsAway],Table2[GameDate], "&lt;=" &amp; $A177, Table2[AwayTeam], AE$1)+SUMIFS(Table2[NewPointsHome],Table2[GameDate], "&lt;=" &amp; $A177, Table2[HomeTeam], AE$1)</f>
        <v>18</v>
      </c>
      <c r="AF177" s="145">
        <f>SUMIFS(Table2[NewPointsAway],Table2[GameDate], "&lt;=" &amp; $A177, Table2[AwayTeam], AF$1)+SUMIFS(Table2[NewPointsHome],Table2[GameDate], "&lt;=" &amp; $A177, Table2[HomeTeam], AF$1)</f>
        <v>20</v>
      </c>
      <c r="AG177" s="145">
        <f>SUMIFS(Table2[NewPointsAway],Table2[GameDate], "&lt;=" &amp; $A177, Table2[AwayTeam], AG$1)+SUMIFS(Table2[NewPointsHome],Table2[GameDate], "&lt;=" &amp; $A177, Table2[HomeTeam], AG$1)</f>
        <v>17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23</v>
      </c>
      <c r="C178" s="145">
        <f>SUMIFS(Table2[NewPointsAway],Table2[GameDate], "&lt;=" &amp; $A178, Table2[AwayTeam], C$1)+SUMIFS(Table2[NewPointsHome],Table2[GameDate], "&lt;=" &amp; $A178, Table2[HomeTeam], C$1)</f>
        <v>22</v>
      </c>
      <c r="D178" s="145">
        <f>SUMIFS(Table2[NewPointsAway],Table2[GameDate], "&lt;=" &amp; $A178, Table2[AwayTeam], D$1)+SUMIFS(Table2[NewPointsHome],Table2[GameDate], "&lt;=" &amp; $A178, Table2[HomeTeam], D$1)</f>
        <v>14</v>
      </c>
      <c r="E178" s="145">
        <f>SUMIFS(Table2[NewPointsAway],Table2[GameDate], "&lt;=" &amp; $A178, Table2[AwayTeam], E$1)+SUMIFS(Table2[NewPointsHome],Table2[GameDate], "&lt;=" &amp; $A178, Table2[HomeTeam], E$1)</f>
        <v>22</v>
      </c>
      <c r="F178" s="145">
        <f>SUMIFS(Table2[NewPointsAway],Table2[GameDate], "&lt;=" &amp; $A178, Table2[AwayTeam], F$1)+SUMIFS(Table2[NewPointsHome],Table2[GameDate], "&lt;=" &amp; $A178, Table2[HomeTeam], F$1)</f>
        <v>17</v>
      </c>
      <c r="G178" s="145">
        <f>SUMIFS(Table2[NewPointsAway],Table2[GameDate], "&lt;=" &amp; $A178, Table2[AwayTeam], G$1)+SUMIFS(Table2[NewPointsHome],Table2[GameDate], "&lt;=" &amp; $A178, Table2[HomeTeam], G$1)</f>
        <v>10</v>
      </c>
      <c r="H178" s="145">
        <f>SUMIFS(Table2[NewPointsAway],Table2[GameDate], "&lt;=" &amp; $A178, Table2[AwayTeam], H$1)+SUMIFS(Table2[NewPointsHome],Table2[GameDate], "&lt;=" &amp; $A178, Table2[HomeTeam], H$1)</f>
        <v>19</v>
      </c>
      <c r="I178" s="145">
        <f>SUMIFS(Table2[NewPointsAway],Table2[GameDate], "&lt;=" &amp; $A178, Table2[AwayTeam], I$1)+SUMIFS(Table2[NewPointsHome],Table2[GameDate], "&lt;=" &amp; $A178, Table2[HomeTeam], I$1)</f>
        <v>27</v>
      </c>
      <c r="J178" s="145">
        <f>SUMIFS(Table2[NewPointsAway],Table2[GameDate], "&lt;=" &amp; $A178, Table2[AwayTeam], J$1)+SUMIFS(Table2[NewPointsHome],Table2[GameDate], "&lt;=" &amp; $A178, Table2[HomeTeam], J$1)</f>
        <v>23</v>
      </c>
      <c r="K178" s="145">
        <f>SUMIFS(Table2[NewPointsAway],Table2[GameDate], "&lt;=" &amp; $A178, Table2[AwayTeam], K$1)+SUMIFS(Table2[NewPointsHome],Table2[GameDate], "&lt;=" &amp; $A178, Table2[HomeTeam], K$1)</f>
        <v>18</v>
      </c>
      <c r="L178" s="145">
        <f>SUMIFS(Table2[NewPointsAway],Table2[GameDate], "&lt;=" &amp; $A178, Table2[AwayTeam], L$1)+SUMIFS(Table2[NewPointsHome],Table2[GameDate], "&lt;=" &amp; $A178, Table2[HomeTeam], L$1)</f>
        <v>20</v>
      </c>
      <c r="M178" s="145">
        <f>SUMIFS(Table2[NewPointsAway],Table2[GameDate], "&lt;=" &amp; $A178, Table2[AwayTeam], M$1)+SUMIFS(Table2[NewPointsHome],Table2[GameDate], "&lt;=" &amp; $A178, Table2[HomeTeam], M$1)</f>
        <v>17</v>
      </c>
      <c r="N178" s="145">
        <f>SUMIFS(Table2[NewPointsAway],Table2[GameDate], "&lt;=" &amp; $A178, Table2[AwayTeam], N$1)+SUMIFS(Table2[NewPointsHome],Table2[GameDate], "&lt;=" &amp; $A178, Table2[HomeTeam], N$1)</f>
        <v>20</v>
      </c>
      <c r="O178" s="145">
        <f>SUMIFS(Table2[NewPointsAway],Table2[GameDate], "&lt;=" &amp; $A178, Table2[AwayTeam], O$1)+SUMIFS(Table2[NewPointsHome],Table2[GameDate], "&lt;=" &amp; $A178, Table2[HomeTeam], O$1)</f>
        <v>18</v>
      </c>
      <c r="P178" s="145">
        <f>SUMIFS(Table2[NewPointsAway],Table2[GameDate], "&lt;=" &amp; $A178, Table2[AwayTeam], P$1)+SUMIFS(Table2[NewPointsHome],Table2[GameDate], "&lt;=" &amp; $A178, Table2[HomeTeam], P$1)</f>
        <v>22</v>
      </c>
      <c r="Q178" s="145">
        <f>SUMIFS(Table2[NewPointsAway],Table2[GameDate], "&lt;=" &amp; $A178, Table2[AwayTeam], Q$1)+SUMIFS(Table2[NewPointsHome],Table2[GameDate], "&lt;=" &amp; $A178, Table2[HomeTeam], Q$1)</f>
        <v>23</v>
      </c>
      <c r="R178" s="145">
        <f>SUMIFS(Table2[NewPointsAway],Table2[GameDate], "&lt;=" &amp; $A178, Table2[AwayTeam], R$1)+SUMIFS(Table2[NewPointsHome],Table2[GameDate], "&lt;=" &amp; $A178, Table2[HomeTeam], R$1)</f>
        <v>14</v>
      </c>
      <c r="S178" s="145">
        <f>SUMIFS(Table2[NewPointsAway],Table2[GameDate], "&lt;=" &amp; $A178, Table2[AwayTeam], S$1)+SUMIFS(Table2[NewPointsHome],Table2[GameDate], "&lt;=" &amp; $A178, Table2[HomeTeam], S$1)</f>
        <v>18</v>
      </c>
      <c r="T178" s="145">
        <f>SUMIFS(Table2[NewPointsAway],Table2[GameDate], "&lt;=" &amp; $A178, Table2[AwayTeam], T$1)+SUMIFS(Table2[NewPointsHome],Table2[GameDate], "&lt;=" &amp; $A178, Table2[HomeTeam], T$1)</f>
        <v>20</v>
      </c>
      <c r="U178" s="145">
        <f>SUMIFS(Table2[NewPointsAway],Table2[GameDate], "&lt;=" &amp; $A178, Table2[AwayTeam], U$1)+SUMIFS(Table2[NewPointsHome],Table2[GameDate], "&lt;=" &amp; $A178, Table2[HomeTeam], U$1)</f>
        <v>20</v>
      </c>
      <c r="V178" s="145">
        <f>SUMIFS(Table2[NewPointsAway],Table2[GameDate], "&lt;=" &amp; $A178, Table2[AwayTeam], V$1)+SUMIFS(Table2[NewPointsHome],Table2[GameDate], "&lt;=" &amp; $A178, Table2[HomeTeam], V$1)</f>
        <v>19</v>
      </c>
      <c r="W178" s="145">
        <f>SUMIFS(Table2[NewPointsAway],Table2[GameDate], "&lt;=" &amp; $A178, Table2[AwayTeam], W$1)+SUMIFS(Table2[NewPointsHome],Table2[GameDate], "&lt;=" &amp; $A178, Table2[HomeTeam], W$1)</f>
        <v>21</v>
      </c>
      <c r="X178" s="145">
        <f>SUMIFS(Table2[NewPointsAway],Table2[GameDate], "&lt;=" &amp; $A178, Table2[AwayTeam], X$1)+SUMIFS(Table2[NewPointsHome],Table2[GameDate], "&lt;=" &amp; $A178, Table2[HomeTeam], X$1)</f>
        <v>19</v>
      </c>
      <c r="Y178" s="145">
        <f>SUMIFS(Table2[NewPointsAway],Table2[GameDate], "&lt;=" &amp; $A178, Table2[AwayTeam], Y$1)+SUMIFS(Table2[NewPointsHome],Table2[GameDate], "&lt;=" &amp; $A178, Table2[HomeTeam], Y$1)</f>
        <v>19</v>
      </c>
      <c r="Z178" s="145">
        <f>SUMIFS(Table2[NewPointsAway],Table2[GameDate], "&lt;=" &amp; $A178, Table2[AwayTeam], Z$1)+SUMIFS(Table2[NewPointsHome],Table2[GameDate], "&lt;=" &amp; $A178, Table2[HomeTeam], Z$1)</f>
        <v>15</v>
      </c>
      <c r="AA178" s="145">
        <f>SUMIFS(Table2[NewPointsAway],Table2[GameDate], "&lt;=" &amp; $A178, Table2[AwayTeam], AA$1)+SUMIFS(Table2[NewPointsHome],Table2[GameDate], "&lt;=" &amp; $A178, Table2[HomeTeam], AA$1)</f>
        <v>18</v>
      </c>
      <c r="AB178" s="145">
        <f>SUMIFS(Table2[NewPointsAway],Table2[GameDate], "&lt;=" &amp; $A178, Table2[AwayTeam], AB$1)+SUMIFS(Table2[NewPointsHome],Table2[GameDate], "&lt;=" &amp; $A178, Table2[HomeTeam], AB$1)</f>
        <v>17</v>
      </c>
      <c r="AC178" s="145">
        <f>SUMIFS(Table2[NewPointsAway],Table2[GameDate], "&lt;=" &amp; $A178, Table2[AwayTeam], AC$1)+SUMIFS(Table2[NewPointsHome],Table2[GameDate], "&lt;=" &amp; $A178, Table2[HomeTeam], AC$1)</f>
        <v>18</v>
      </c>
      <c r="AD178" s="145">
        <f>SUMIFS(Table2[NewPointsAway],Table2[GameDate], "&lt;=" &amp; $A178, Table2[AwayTeam], AD$1)+SUMIFS(Table2[NewPointsHome],Table2[GameDate], "&lt;=" &amp; $A178, Table2[HomeTeam], AD$1)</f>
        <v>17</v>
      </c>
      <c r="AE178" s="145">
        <f>SUMIFS(Table2[NewPointsAway],Table2[GameDate], "&lt;=" &amp; $A178, Table2[AwayTeam], AE$1)+SUMIFS(Table2[NewPointsHome],Table2[GameDate], "&lt;=" &amp; $A178, Table2[HomeTeam], AE$1)</f>
        <v>18</v>
      </c>
      <c r="AF178" s="145">
        <f>SUMIFS(Table2[NewPointsAway],Table2[GameDate], "&lt;=" &amp; $A178, Table2[AwayTeam], AF$1)+SUMIFS(Table2[NewPointsHome],Table2[GameDate], "&lt;=" &amp; $A178, Table2[HomeTeam], AF$1)</f>
        <v>20</v>
      </c>
      <c r="AG178" s="145">
        <f>SUMIFS(Table2[NewPointsAway],Table2[GameDate], "&lt;=" &amp; $A178, Table2[AwayTeam], AG$1)+SUMIFS(Table2[NewPointsHome],Table2[GameDate], "&lt;=" &amp; $A178, Table2[HomeTeam], AG$1)</f>
        <v>17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23</v>
      </c>
      <c r="C179" s="145">
        <f>SUMIFS(Table2[NewPointsAway],Table2[GameDate], "&lt;=" &amp; $A179, Table2[AwayTeam], C$1)+SUMIFS(Table2[NewPointsHome],Table2[GameDate], "&lt;=" &amp; $A179, Table2[HomeTeam], C$1)</f>
        <v>22</v>
      </c>
      <c r="D179" s="145">
        <f>SUMIFS(Table2[NewPointsAway],Table2[GameDate], "&lt;=" &amp; $A179, Table2[AwayTeam], D$1)+SUMIFS(Table2[NewPointsHome],Table2[GameDate], "&lt;=" &amp; $A179, Table2[HomeTeam], D$1)</f>
        <v>14</v>
      </c>
      <c r="E179" s="145">
        <f>SUMIFS(Table2[NewPointsAway],Table2[GameDate], "&lt;=" &amp; $A179, Table2[AwayTeam], E$1)+SUMIFS(Table2[NewPointsHome],Table2[GameDate], "&lt;=" &amp; $A179, Table2[HomeTeam], E$1)</f>
        <v>22</v>
      </c>
      <c r="F179" s="145">
        <f>SUMIFS(Table2[NewPointsAway],Table2[GameDate], "&lt;=" &amp; $A179, Table2[AwayTeam], F$1)+SUMIFS(Table2[NewPointsHome],Table2[GameDate], "&lt;=" &amp; $A179, Table2[HomeTeam], F$1)</f>
        <v>17</v>
      </c>
      <c r="G179" s="145">
        <f>SUMIFS(Table2[NewPointsAway],Table2[GameDate], "&lt;=" &amp; $A179, Table2[AwayTeam], G$1)+SUMIFS(Table2[NewPointsHome],Table2[GameDate], "&lt;=" &amp; $A179, Table2[HomeTeam], G$1)</f>
        <v>10</v>
      </c>
      <c r="H179" s="145">
        <f>SUMIFS(Table2[NewPointsAway],Table2[GameDate], "&lt;=" &amp; $A179, Table2[AwayTeam], H$1)+SUMIFS(Table2[NewPointsHome],Table2[GameDate], "&lt;=" &amp; $A179, Table2[HomeTeam], H$1)</f>
        <v>19</v>
      </c>
      <c r="I179" s="145">
        <f>SUMIFS(Table2[NewPointsAway],Table2[GameDate], "&lt;=" &amp; $A179, Table2[AwayTeam], I$1)+SUMIFS(Table2[NewPointsHome],Table2[GameDate], "&lt;=" &amp; $A179, Table2[HomeTeam], I$1)</f>
        <v>27</v>
      </c>
      <c r="J179" s="145">
        <f>SUMIFS(Table2[NewPointsAway],Table2[GameDate], "&lt;=" &amp; $A179, Table2[AwayTeam], J$1)+SUMIFS(Table2[NewPointsHome],Table2[GameDate], "&lt;=" &amp; $A179, Table2[HomeTeam], J$1)</f>
        <v>23</v>
      </c>
      <c r="K179" s="145">
        <f>SUMIFS(Table2[NewPointsAway],Table2[GameDate], "&lt;=" &amp; $A179, Table2[AwayTeam], K$1)+SUMIFS(Table2[NewPointsHome],Table2[GameDate], "&lt;=" &amp; $A179, Table2[HomeTeam], K$1)</f>
        <v>18</v>
      </c>
      <c r="L179" s="145">
        <f>SUMIFS(Table2[NewPointsAway],Table2[GameDate], "&lt;=" &amp; $A179, Table2[AwayTeam], L$1)+SUMIFS(Table2[NewPointsHome],Table2[GameDate], "&lt;=" &amp; $A179, Table2[HomeTeam], L$1)</f>
        <v>20</v>
      </c>
      <c r="M179" s="145">
        <f>SUMIFS(Table2[NewPointsAway],Table2[GameDate], "&lt;=" &amp; $A179, Table2[AwayTeam], M$1)+SUMIFS(Table2[NewPointsHome],Table2[GameDate], "&lt;=" &amp; $A179, Table2[HomeTeam], M$1)</f>
        <v>17</v>
      </c>
      <c r="N179" s="145">
        <f>SUMIFS(Table2[NewPointsAway],Table2[GameDate], "&lt;=" &amp; $A179, Table2[AwayTeam], N$1)+SUMIFS(Table2[NewPointsHome],Table2[GameDate], "&lt;=" &amp; $A179, Table2[HomeTeam], N$1)</f>
        <v>20</v>
      </c>
      <c r="O179" s="145">
        <f>SUMIFS(Table2[NewPointsAway],Table2[GameDate], "&lt;=" &amp; $A179, Table2[AwayTeam], O$1)+SUMIFS(Table2[NewPointsHome],Table2[GameDate], "&lt;=" &amp; $A179, Table2[HomeTeam], O$1)</f>
        <v>18</v>
      </c>
      <c r="P179" s="145">
        <f>SUMIFS(Table2[NewPointsAway],Table2[GameDate], "&lt;=" &amp; $A179, Table2[AwayTeam], P$1)+SUMIFS(Table2[NewPointsHome],Table2[GameDate], "&lt;=" &amp; $A179, Table2[HomeTeam], P$1)</f>
        <v>22</v>
      </c>
      <c r="Q179" s="145">
        <f>SUMIFS(Table2[NewPointsAway],Table2[GameDate], "&lt;=" &amp; $A179, Table2[AwayTeam], Q$1)+SUMIFS(Table2[NewPointsHome],Table2[GameDate], "&lt;=" &amp; $A179, Table2[HomeTeam], Q$1)</f>
        <v>23</v>
      </c>
      <c r="R179" s="145">
        <f>SUMIFS(Table2[NewPointsAway],Table2[GameDate], "&lt;=" &amp; $A179, Table2[AwayTeam], R$1)+SUMIFS(Table2[NewPointsHome],Table2[GameDate], "&lt;=" &amp; $A179, Table2[HomeTeam], R$1)</f>
        <v>14</v>
      </c>
      <c r="S179" s="145">
        <f>SUMIFS(Table2[NewPointsAway],Table2[GameDate], "&lt;=" &amp; $A179, Table2[AwayTeam], S$1)+SUMIFS(Table2[NewPointsHome],Table2[GameDate], "&lt;=" &amp; $A179, Table2[HomeTeam], S$1)</f>
        <v>18</v>
      </c>
      <c r="T179" s="145">
        <f>SUMIFS(Table2[NewPointsAway],Table2[GameDate], "&lt;=" &amp; $A179, Table2[AwayTeam], T$1)+SUMIFS(Table2[NewPointsHome],Table2[GameDate], "&lt;=" &amp; $A179, Table2[HomeTeam], T$1)</f>
        <v>20</v>
      </c>
      <c r="U179" s="145">
        <f>SUMIFS(Table2[NewPointsAway],Table2[GameDate], "&lt;=" &amp; $A179, Table2[AwayTeam], U$1)+SUMIFS(Table2[NewPointsHome],Table2[GameDate], "&lt;=" &amp; $A179, Table2[HomeTeam], U$1)</f>
        <v>20</v>
      </c>
      <c r="V179" s="145">
        <f>SUMIFS(Table2[NewPointsAway],Table2[GameDate], "&lt;=" &amp; $A179, Table2[AwayTeam], V$1)+SUMIFS(Table2[NewPointsHome],Table2[GameDate], "&lt;=" &amp; $A179, Table2[HomeTeam], V$1)</f>
        <v>19</v>
      </c>
      <c r="W179" s="145">
        <f>SUMIFS(Table2[NewPointsAway],Table2[GameDate], "&lt;=" &amp; $A179, Table2[AwayTeam], W$1)+SUMIFS(Table2[NewPointsHome],Table2[GameDate], "&lt;=" &amp; $A179, Table2[HomeTeam], W$1)</f>
        <v>21</v>
      </c>
      <c r="X179" s="145">
        <f>SUMIFS(Table2[NewPointsAway],Table2[GameDate], "&lt;=" &amp; $A179, Table2[AwayTeam], X$1)+SUMIFS(Table2[NewPointsHome],Table2[GameDate], "&lt;=" &amp; $A179, Table2[HomeTeam], X$1)</f>
        <v>19</v>
      </c>
      <c r="Y179" s="145">
        <f>SUMIFS(Table2[NewPointsAway],Table2[GameDate], "&lt;=" &amp; $A179, Table2[AwayTeam], Y$1)+SUMIFS(Table2[NewPointsHome],Table2[GameDate], "&lt;=" &amp; $A179, Table2[HomeTeam], Y$1)</f>
        <v>19</v>
      </c>
      <c r="Z179" s="145">
        <f>SUMIFS(Table2[NewPointsAway],Table2[GameDate], "&lt;=" &amp; $A179, Table2[AwayTeam], Z$1)+SUMIFS(Table2[NewPointsHome],Table2[GameDate], "&lt;=" &amp; $A179, Table2[HomeTeam], Z$1)</f>
        <v>15</v>
      </c>
      <c r="AA179" s="145">
        <f>SUMIFS(Table2[NewPointsAway],Table2[GameDate], "&lt;=" &amp; $A179, Table2[AwayTeam], AA$1)+SUMIFS(Table2[NewPointsHome],Table2[GameDate], "&lt;=" &amp; $A179, Table2[HomeTeam], AA$1)</f>
        <v>18</v>
      </c>
      <c r="AB179" s="145">
        <f>SUMIFS(Table2[NewPointsAway],Table2[GameDate], "&lt;=" &amp; $A179, Table2[AwayTeam], AB$1)+SUMIFS(Table2[NewPointsHome],Table2[GameDate], "&lt;=" &amp; $A179, Table2[HomeTeam], AB$1)</f>
        <v>17</v>
      </c>
      <c r="AC179" s="145">
        <f>SUMIFS(Table2[NewPointsAway],Table2[GameDate], "&lt;=" &amp; $A179, Table2[AwayTeam], AC$1)+SUMIFS(Table2[NewPointsHome],Table2[GameDate], "&lt;=" &amp; $A179, Table2[HomeTeam], AC$1)</f>
        <v>18</v>
      </c>
      <c r="AD179" s="145">
        <f>SUMIFS(Table2[NewPointsAway],Table2[GameDate], "&lt;=" &amp; $A179, Table2[AwayTeam], AD$1)+SUMIFS(Table2[NewPointsHome],Table2[GameDate], "&lt;=" &amp; $A179, Table2[HomeTeam], AD$1)</f>
        <v>17</v>
      </c>
      <c r="AE179" s="145">
        <f>SUMIFS(Table2[NewPointsAway],Table2[GameDate], "&lt;=" &amp; $A179, Table2[AwayTeam], AE$1)+SUMIFS(Table2[NewPointsHome],Table2[GameDate], "&lt;=" &amp; $A179, Table2[HomeTeam], AE$1)</f>
        <v>18</v>
      </c>
      <c r="AF179" s="145">
        <f>SUMIFS(Table2[NewPointsAway],Table2[GameDate], "&lt;=" &amp; $A179, Table2[AwayTeam], AF$1)+SUMIFS(Table2[NewPointsHome],Table2[GameDate], "&lt;=" &amp; $A179, Table2[HomeTeam], AF$1)</f>
        <v>20</v>
      </c>
      <c r="AG179" s="145">
        <f>SUMIFS(Table2[NewPointsAway],Table2[GameDate], "&lt;=" &amp; $A179, Table2[AwayTeam], AG$1)+SUMIFS(Table2[NewPointsHome],Table2[GameDate], "&lt;=" &amp; $A179, Table2[HomeTeam], AG$1)</f>
        <v>17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23</v>
      </c>
      <c r="C180" s="145">
        <f>SUMIFS(Table2[NewPointsAway],Table2[GameDate], "&lt;=" &amp; $A180, Table2[AwayTeam], C$1)+SUMIFS(Table2[NewPointsHome],Table2[GameDate], "&lt;=" &amp; $A180, Table2[HomeTeam], C$1)</f>
        <v>22</v>
      </c>
      <c r="D180" s="145">
        <f>SUMIFS(Table2[NewPointsAway],Table2[GameDate], "&lt;=" &amp; $A180, Table2[AwayTeam], D$1)+SUMIFS(Table2[NewPointsHome],Table2[GameDate], "&lt;=" &amp; $A180, Table2[HomeTeam], D$1)</f>
        <v>14</v>
      </c>
      <c r="E180" s="145">
        <f>SUMIFS(Table2[NewPointsAway],Table2[GameDate], "&lt;=" &amp; $A180, Table2[AwayTeam], E$1)+SUMIFS(Table2[NewPointsHome],Table2[GameDate], "&lt;=" &amp; $A180, Table2[HomeTeam], E$1)</f>
        <v>22</v>
      </c>
      <c r="F180" s="145">
        <f>SUMIFS(Table2[NewPointsAway],Table2[GameDate], "&lt;=" &amp; $A180, Table2[AwayTeam], F$1)+SUMIFS(Table2[NewPointsHome],Table2[GameDate], "&lt;=" &amp; $A180, Table2[HomeTeam], F$1)</f>
        <v>17</v>
      </c>
      <c r="G180" s="145">
        <f>SUMIFS(Table2[NewPointsAway],Table2[GameDate], "&lt;=" &amp; $A180, Table2[AwayTeam], G$1)+SUMIFS(Table2[NewPointsHome],Table2[GameDate], "&lt;=" &amp; $A180, Table2[HomeTeam], G$1)</f>
        <v>10</v>
      </c>
      <c r="H180" s="145">
        <f>SUMIFS(Table2[NewPointsAway],Table2[GameDate], "&lt;=" &amp; $A180, Table2[AwayTeam], H$1)+SUMIFS(Table2[NewPointsHome],Table2[GameDate], "&lt;=" &amp; $A180, Table2[HomeTeam], H$1)</f>
        <v>19</v>
      </c>
      <c r="I180" s="145">
        <f>SUMIFS(Table2[NewPointsAway],Table2[GameDate], "&lt;=" &amp; $A180, Table2[AwayTeam], I$1)+SUMIFS(Table2[NewPointsHome],Table2[GameDate], "&lt;=" &amp; $A180, Table2[HomeTeam], I$1)</f>
        <v>27</v>
      </c>
      <c r="J180" s="145">
        <f>SUMIFS(Table2[NewPointsAway],Table2[GameDate], "&lt;=" &amp; $A180, Table2[AwayTeam], J$1)+SUMIFS(Table2[NewPointsHome],Table2[GameDate], "&lt;=" &amp; $A180, Table2[HomeTeam], J$1)</f>
        <v>23</v>
      </c>
      <c r="K180" s="145">
        <f>SUMIFS(Table2[NewPointsAway],Table2[GameDate], "&lt;=" &amp; $A180, Table2[AwayTeam], K$1)+SUMIFS(Table2[NewPointsHome],Table2[GameDate], "&lt;=" &amp; $A180, Table2[HomeTeam], K$1)</f>
        <v>18</v>
      </c>
      <c r="L180" s="145">
        <f>SUMIFS(Table2[NewPointsAway],Table2[GameDate], "&lt;=" &amp; $A180, Table2[AwayTeam], L$1)+SUMIFS(Table2[NewPointsHome],Table2[GameDate], "&lt;=" &amp; $A180, Table2[HomeTeam], L$1)</f>
        <v>20</v>
      </c>
      <c r="M180" s="145">
        <f>SUMIFS(Table2[NewPointsAway],Table2[GameDate], "&lt;=" &amp; $A180, Table2[AwayTeam], M$1)+SUMIFS(Table2[NewPointsHome],Table2[GameDate], "&lt;=" &amp; $A180, Table2[HomeTeam], M$1)</f>
        <v>17</v>
      </c>
      <c r="N180" s="145">
        <f>SUMIFS(Table2[NewPointsAway],Table2[GameDate], "&lt;=" &amp; $A180, Table2[AwayTeam], N$1)+SUMIFS(Table2[NewPointsHome],Table2[GameDate], "&lt;=" &amp; $A180, Table2[HomeTeam], N$1)</f>
        <v>20</v>
      </c>
      <c r="O180" s="145">
        <f>SUMIFS(Table2[NewPointsAway],Table2[GameDate], "&lt;=" &amp; $A180, Table2[AwayTeam], O$1)+SUMIFS(Table2[NewPointsHome],Table2[GameDate], "&lt;=" &amp; $A180, Table2[HomeTeam], O$1)</f>
        <v>18</v>
      </c>
      <c r="P180" s="145">
        <f>SUMIFS(Table2[NewPointsAway],Table2[GameDate], "&lt;=" &amp; $A180, Table2[AwayTeam], P$1)+SUMIFS(Table2[NewPointsHome],Table2[GameDate], "&lt;=" &amp; $A180, Table2[HomeTeam], P$1)</f>
        <v>22</v>
      </c>
      <c r="Q180" s="145">
        <f>SUMIFS(Table2[NewPointsAway],Table2[GameDate], "&lt;=" &amp; $A180, Table2[AwayTeam], Q$1)+SUMIFS(Table2[NewPointsHome],Table2[GameDate], "&lt;=" &amp; $A180, Table2[HomeTeam], Q$1)</f>
        <v>23</v>
      </c>
      <c r="R180" s="145">
        <f>SUMIFS(Table2[NewPointsAway],Table2[GameDate], "&lt;=" &amp; $A180, Table2[AwayTeam], R$1)+SUMIFS(Table2[NewPointsHome],Table2[GameDate], "&lt;=" &amp; $A180, Table2[HomeTeam], R$1)</f>
        <v>14</v>
      </c>
      <c r="S180" s="145">
        <f>SUMIFS(Table2[NewPointsAway],Table2[GameDate], "&lt;=" &amp; $A180, Table2[AwayTeam], S$1)+SUMIFS(Table2[NewPointsHome],Table2[GameDate], "&lt;=" &amp; $A180, Table2[HomeTeam], S$1)</f>
        <v>18</v>
      </c>
      <c r="T180" s="145">
        <f>SUMIFS(Table2[NewPointsAway],Table2[GameDate], "&lt;=" &amp; $A180, Table2[AwayTeam], T$1)+SUMIFS(Table2[NewPointsHome],Table2[GameDate], "&lt;=" &amp; $A180, Table2[HomeTeam], T$1)</f>
        <v>20</v>
      </c>
      <c r="U180" s="145">
        <f>SUMIFS(Table2[NewPointsAway],Table2[GameDate], "&lt;=" &amp; $A180, Table2[AwayTeam], U$1)+SUMIFS(Table2[NewPointsHome],Table2[GameDate], "&lt;=" &amp; $A180, Table2[HomeTeam], U$1)</f>
        <v>20</v>
      </c>
      <c r="V180" s="145">
        <f>SUMIFS(Table2[NewPointsAway],Table2[GameDate], "&lt;=" &amp; $A180, Table2[AwayTeam], V$1)+SUMIFS(Table2[NewPointsHome],Table2[GameDate], "&lt;=" &amp; $A180, Table2[HomeTeam], V$1)</f>
        <v>19</v>
      </c>
      <c r="W180" s="145">
        <f>SUMIFS(Table2[NewPointsAway],Table2[GameDate], "&lt;=" &amp; $A180, Table2[AwayTeam], W$1)+SUMIFS(Table2[NewPointsHome],Table2[GameDate], "&lt;=" &amp; $A180, Table2[HomeTeam], W$1)</f>
        <v>21</v>
      </c>
      <c r="X180" s="145">
        <f>SUMIFS(Table2[NewPointsAway],Table2[GameDate], "&lt;=" &amp; $A180, Table2[AwayTeam], X$1)+SUMIFS(Table2[NewPointsHome],Table2[GameDate], "&lt;=" &amp; $A180, Table2[HomeTeam], X$1)</f>
        <v>19</v>
      </c>
      <c r="Y180" s="145">
        <f>SUMIFS(Table2[NewPointsAway],Table2[GameDate], "&lt;=" &amp; $A180, Table2[AwayTeam], Y$1)+SUMIFS(Table2[NewPointsHome],Table2[GameDate], "&lt;=" &amp; $A180, Table2[HomeTeam], Y$1)</f>
        <v>19</v>
      </c>
      <c r="Z180" s="145">
        <f>SUMIFS(Table2[NewPointsAway],Table2[GameDate], "&lt;=" &amp; $A180, Table2[AwayTeam], Z$1)+SUMIFS(Table2[NewPointsHome],Table2[GameDate], "&lt;=" &amp; $A180, Table2[HomeTeam], Z$1)</f>
        <v>15</v>
      </c>
      <c r="AA180" s="145">
        <f>SUMIFS(Table2[NewPointsAway],Table2[GameDate], "&lt;=" &amp; $A180, Table2[AwayTeam], AA$1)+SUMIFS(Table2[NewPointsHome],Table2[GameDate], "&lt;=" &amp; $A180, Table2[HomeTeam], AA$1)</f>
        <v>18</v>
      </c>
      <c r="AB180" s="145">
        <f>SUMIFS(Table2[NewPointsAway],Table2[GameDate], "&lt;=" &amp; $A180, Table2[AwayTeam], AB$1)+SUMIFS(Table2[NewPointsHome],Table2[GameDate], "&lt;=" &amp; $A180, Table2[HomeTeam], AB$1)</f>
        <v>17</v>
      </c>
      <c r="AC180" s="145">
        <f>SUMIFS(Table2[NewPointsAway],Table2[GameDate], "&lt;=" &amp; $A180, Table2[AwayTeam], AC$1)+SUMIFS(Table2[NewPointsHome],Table2[GameDate], "&lt;=" &amp; $A180, Table2[HomeTeam], AC$1)</f>
        <v>18</v>
      </c>
      <c r="AD180" s="145">
        <f>SUMIFS(Table2[NewPointsAway],Table2[GameDate], "&lt;=" &amp; $A180, Table2[AwayTeam], AD$1)+SUMIFS(Table2[NewPointsHome],Table2[GameDate], "&lt;=" &amp; $A180, Table2[HomeTeam], AD$1)</f>
        <v>17</v>
      </c>
      <c r="AE180" s="145">
        <f>SUMIFS(Table2[NewPointsAway],Table2[GameDate], "&lt;=" &amp; $A180, Table2[AwayTeam], AE$1)+SUMIFS(Table2[NewPointsHome],Table2[GameDate], "&lt;=" &amp; $A180, Table2[HomeTeam], AE$1)</f>
        <v>18</v>
      </c>
      <c r="AF180" s="145">
        <f>SUMIFS(Table2[NewPointsAway],Table2[GameDate], "&lt;=" &amp; $A180, Table2[AwayTeam], AF$1)+SUMIFS(Table2[NewPointsHome],Table2[GameDate], "&lt;=" &amp; $A180, Table2[HomeTeam], AF$1)</f>
        <v>20</v>
      </c>
      <c r="AG180" s="145">
        <f>SUMIFS(Table2[NewPointsAway],Table2[GameDate], "&lt;=" &amp; $A180, Table2[AwayTeam], AG$1)+SUMIFS(Table2[NewPointsHome],Table2[GameDate], "&lt;=" &amp; $A180, Table2[HomeTeam], AG$1)</f>
        <v>17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23</v>
      </c>
      <c r="C181" s="145">
        <f>SUMIFS(Table2[NewPointsAway],Table2[GameDate], "&lt;=" &amp; $A181, Table2[AwayTeam], C$1)+SUMIFS(Table2[NewPointsHome],Table2[GameDate], "&lt;=" &amp; $A181, Table2[HomeTeam], C$1)</f>
        <v>22</v>
      </c>
      <c r="D181" s="145">
        <f>SUMIFS(Table2[NewPointsAway],Table2[GameDate], "&lt;=" &amp; $A181, Table2[AwayTeam], D$1)+SUMIFS(Table2[NewPointsHome],Table2[GameDate], "&lt;=" &amp; $A181, Table2[HomeTeam], D$1)</f>
        <v>14</v>
      </c>
      <c r="E181" s="145">
        <f>SUMIFS(Table2[NewPointsAway],Table2[GameDate], "&lt;=" &amp; $A181, Table2[AwayTeam], E$1)+SUMIFS(Table2[NewPointsHome],Table2[GameDate], "&lt;=" &amp; $A181, Table2[HomeTeam], E$1)</f>
        <v>22</v>
      </c>
      <c r="F181" s="145">
        <f>SUMIFS(Table2[NewPointsAway],Table2[GameDate], "&lt;=" &amp; $A181, Table2[AwayTeam], F$1)+SUMIFS(Table2[NewPointsHome],Table2[GameDate], "&lt;=" &amp; $A181, Table2[HomeTeam], F$1)</f>
        <v>17</v>
      </c>
      <c r="G181" s="145">
        <f>SUMIFS(Table2[NewPointsAway],Table2[GameDate], "&lt;=" &amp; $A181, Table2[AwayTeam], G$1)+SUMIFS(Table2[NewPointsHome],Table2[GameDate], "&lt;=" &amp; $A181, Table2[HomeTeam], G$1)</f>
        <v>10</v>
      </c>
      <c r="H181" s="145">
        <f>SUMIFS(Table2[NewPointsAway],Table2[GameDate], "&lt;=" &amp; $A181, Table2[AwayTeam], H$1)+SUMIFS(Table2[NewPointsHome],Table2[GameDate], "&lt;=" &amp; $A181, Table2[HomeTeam], H$1)</f>
        <v>19</v>
      </c>
      <c r="I181" s="145">
        <f>SUMIFS(Table2[NewPointsAway],Table2[GameDate], "&lt;=" &amp; $A181, Table2[AwayTeam], I$1)+SUMIFS(Table2[NewPointsHome],Table2[GameDate], "&lt;=" &amp; $A181, Table2[HomeTeam], I$1)</f>
        <v>27</v>
      </c>
      <c r="J181" s="145">
        <f>SUMIFS(Table2[NewPointsAway],Table2[GameDate], "&lt;=" &amp; $A181, Table2[AwayTeam], J$1)+SUMIFS(Table2[NewPointsHome],Table2[GameDate], "&lt;=" &amp; $A181, Table2[HomeTeam], J$1)</f>
        <v>23</v>
      </c>
      <c r="K181" s="145">
        <f>SUMIFS(Table2[NewPointsAway],Table2[GameDate], "&lt;=" &amp; $A181, Table2[AwayTeam], K$1)+SUMIFS(Table2[NewPointsHome],Table2[GameDate], "&lt;=" &amp; $A181, Table2[HomeTeam], K$1)</f>
        <v>18</v>
      </c>
      <c r="L181" s="145">
        <f>SUMIFS(Table2[NewPointsAway],Table2[GameDate], "&lt;=" &amp; $A181, Table2[AwayTeam], L$1)+SUMIFS(Table2[NewPointsHome],Table2[GameDate], "&lt;=" &amp; $A181, Table2[HomeTeam], L$1)</f>
        <v>20</v>
      </c>
      <c r="M181" s="145">
        <f>SUMIFS(Table2[NewPointsAway],Table2[GameDate], "&lt;=" &amp; $A181, Table2[AwayTeam], M$1)+SUMIFS(Table2[NewPointsHome],Table2[GameDate], "&lt;=" &amp; $A181, Table2[HomeTeam], M$1)</f>
        <v>17</v>
      </c>
      <c r="N181" s="145">
        <f>SUMIFS(Table2[NewPointsAway],Table2[GameDate], "&lt;=" &amp; $A181, Table2[AwayTeam], N$1)+SUMIFS(Table2[NewPointsHome],Table2[GameDate], "&lt;=" &amp; $A181, Table2[HomeTeam], N$1)</f>
        <v>20</v>
      </c>
      <c r="O181" s="145">
        <f>SUMIFS(Table2[NewPointsAway],Table2[GameDate], "&lt;=" &amp; $A181, Table2[AwayTeam], O$1)+SUMIFS(Table2[NewPointsHome],Table2[GameDate], "&lt;=" &amp; $A181, Table2[HomeTeam], O$1)</f>
        <v>18</v>
      </c>
      <c r="P181" s="145">
        <f>SUMIFS(Table2[NewPointsAway],Table2[GameDate], "&lt;=" &amp; $A181, Table2[AwayTeam], P$1)+SUMIFS(Table2[NewPointsHome],Table2[GameDate], "&lt;=" &amp; $A181, Table2[HomeTeam], P$1)</f>
        <v>22</v>
      </c>
      <c r="Q181" s="145">
        <f>SUMIFS(Table2[NewPointsAway],Table2[GameDate], "&lt;=" &amp; $A181, Table2[AwayTeam], Q$1)+SUMIFS(Table2[NewPointsHome],Table2[GameDate], "&lt;=" &amp; $A181, Table2[HomeTeam], Q$1)</f>
        <v>23</v>
      </c>
      <c r="R181" s="145">
        <f>SUMIFS(Table2[NewPointsAway],Table2[GameDate], "&lt;=" &amp; $A181, Table2[AwayTeam], R$1)+SUMIFS(Table2[NewPointsHome],Table2[GameDate], "&lt;=" &amp; $A181, Table2[HomeTeam], R$1)</f>
        <v>14</v>
      </c>
      <c r="S181" s="145">
        <f>SUMIFS(Table2[NewPointsAway],Table2[GameDate], "&lt;=" &amp; $A181, Table2[AwayTeam], S$1)+SUMIFS(Table2[NewPointsHome],Table2[GameDate], "&lt;=" &amp; $A181, Table2[HomeTeam], S$1)</f>
        <v>18</v>
      </c>
      <c r="T181" s="145">
        <f>SUMIFS(Table2[NewPointsAway],Table2[GameDate], "&lt;=" &amp; $A181, Table2[AwayTeam], T$1)+SUMIFS(Table2[NewPointsHome],Table2[GameDate], "&lt;=" &amp; $A181, Table2[HomeTeam], T$1)</f>
        <v>20</v>
      </c>
      <c r="U181" s="145">
        <f>SUMIFS(Table2[NewPointsAway],Table2[GameDate], "&lt;=" &amp; $A181, Table2[AwayTeam], U$1)+SUMIFS(Table2[NewPointsHome],Table2[GameDate], "&lt;=" &amp; $A181, Table2[HomeTeam], U$1)</f>
        <v>20</v>
      </c>
      <c r="V181" s="145">
        <f>SUMIFS(Table2[NewPointsAway],Table2[GameDate], "&lt;=" &amp; $A181, Table2[AwayTeam], V$1)+SUMIFS(Table2[NewPointsHome],Table2[GameDate], "&lt;=" &amp; $A181, Table2[HomeTeam], V$1)</f>
        <v>19</v>
      </c>
      <c r="W181" s="145">
        <f>SUMIFS(Table2[NewPointsAway],Table2[GameDate], "&lt;=" &amp; $A181, Table2[AwayTeam], W$1)+SUMIFS(Table2[NewPointsHome],Table2[GameDate], "&lt;=" &amp; $A181, Table2[HomeTeam], W$1)</f>
        <v>21</v>
      </c>
      <c r="X181" s="145">
        <f>SUMIFS(Table2[NewPointsAway],Table2[GameDate], "&lt;=" &amp; $A181, Table2[AwayTeam], X$1)+SUMIFS(Table2[NewPointsHome],Table2[GameDate], "&lt;=" &amp; $A181, Table2[HomeTeam], X$1)</f>
        <v>19</v>
      </c>
      <c r="Y181" s="145">
        <f>SUMIFS(Table2[NewPointsAway],Table2[GameDate], "&lt;=" &amp; $A181, Table2[AwayTeam], Y$1)+SUMIFS(Table2[NewPointsHome],Table2[GameDate], "&lt;=" &amp; $A181, Table2[HomeTeam], Y$1)</f>
        <v>19</v>
      </c>
      <c r="Z181" s="145">
        <f>SUMIFS(Table2[NewPointsAway],Table2[GameDate], "&lt;=" &amp; $A181, Table2[AwayTeam], Z$1)+SUMIFS(Table2[NewPointsHome],Table2[GameDate], "&lt;=" &amp; $A181, Table2[HomeTeam], Z$1)</f>
        <v>15</v>
      </c>
      <c r="AA181" s="145">
        <f>SUMIFS(Table2[NewPointsAway],Table2[GameDate], "&lt;=" &amp; $A181, Table2[AwayTeam], AA$1)+SUMIFS(Table2[NewPointsHome],Table2[GameDate], "&lt;=" &amp; $A181, Table2[HomeTeam], AA$1)</f>
        <v>18</v>
      </c>
      <c r="AB181" s="145">
        <f>SUMIFS(Table2[NewPointsAway],Table2[GameDate], "&lt;=" &amp; $A181, Table2[AwayTeam], AB$1)+SUMIFS(Table2[NewPointsHome],Table2[GameDate], "&lt;=" &amp; $A181, Table2[HomeTeam], AB$1)</f>
        <v>17</v>
      </c>
      <c r="AC181" s="145">
        <f>SUMIFS(Table2[NewPointsAway],Table2[GameDate], "&lt;=" &amp; $A181, Table2[AwayTeam], AC$1)+SUMIFS(Table2[NewPointsHome],Table2[GameDate], "&lt;=" &amp; $A181, Table2[HomeTeam], AC$1)</f>
        <v>18</v>
      </c>
      <c r="AD181" s="145">
        <f>SUMIFS(Table2[NewPointsAway],Table2[GameDate], "&lt;=" &amp; $A181, Table2[AwayTeam], AD$1)+SUMIFS(Table2[NewPointsHome],Table2[GameDate], "&lt;=" &amp; $A181, Table2[HomeTeam], AD$1)</f>
        <v>17</v>
      </c>
      <c r="AE181" s="145">
        <f>SUMIFS(Table2[NewPointsAway],Table2[GameDate], "&lt;=" &amp; $A181, Table2[AwayTeam], AE$1)+SUMIFS(Table2[NewPointsHome],Table2[GameDate], "&lt;=" &amp; $A181, Table2[HomeTeam], AE$1)</f>
        <v>18</v>
      </c>
      <c r="AF181" s="145">
        <f>SUMIFS(Table2[NewPointsAway],Table2[GameDate], "&lt;=" &amp; $A181, Table2[AwayTeam], AF$1)+SUMIFS(Table2[NewPointsHome],Table2[GameDate], "&lt;=" &amp; $A181, Table2[HomeTeam], AF$1)</f>
        <v>20</v>
      </c>
      <c r="AG181" s="145">
        <f>SUMIFS(Table2[NewPointsAway],Table2[GameDate], "&lt;=" &amp; $A181, Table2[AwayTeam], AG$1)+SUMIFS(Table2[NewPointsHome],Table2[GameDate], "&lt;=" &amp; $A181, Table2[HomeTeam], AG$1)</f>
        <v>17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23</v>
      </c>
      <c r="C182" s="145">
        <f>SUMIFS(Table2[NewPointsAway],Table2[GameDate], "&lt;=" &amp; $A182, Table2[AwayTeam], C$1)+SUMIFS(Table2[NewPointsHome],Table2[GameDate], "&lt;=" &amp; $A182, Table2[HomeTeam], C$1)</f>
        <v>22</v>
      </c>
      <c r="D182" s="145">
        <f>SUMIFS(Table2[NewPointsAway],Table2[GameDate], "&lt;=" &amp; $A182, Table2[AwayTeam], D$1)+SUMIFS(Table2[NewPointsHome],Table2[GameDate], "&lt;=" &amp; $A182, Table2[HomeTeam], D$1)</f>
        <v>14</v>
      </c>
      <c r="E182" s="145">
        <f>SUMIFS(Table2[NewPointsAway],Table2[GameDate], "&lt;=" &amp; $A182, Table2[AwayTeam], E$1)+SUMIFS(Table2[NewPointsHome],Table2[GameDate], "&lt;=" &amp; $A182, Table2[HomeTeam], E$1)</f>
        <v>22</v>
      </c>
      <c r="F182" s="145">
        <f>SUMIFS(Table2[NewPointsAway],Table2[GameDate], "&lt;=" &amp; $A182, Table2[AwayTeam], F$1)+SUMIFS(Table2[NewPointsHome],Table2[GameDate], "&lt;=" &amp; $A182, Table2[HomeTeam], F$1)</f>
        <v>17</v>
      </c>
      <c r="G182" s="145">
        <f>SUMIFS(Table2[NewPointsAway],Table2[GameDate], "&lt;=" &amp; $A182, Table2[AwayTeam], G$1)+SUMIFS(Table2[NewPointsHome],Table2[GameDate], "&lt;=" &amp; $A182, Table2[HomeTeam], G$1)</f>
        <v>10</v>
      </c>
      <c r="H182" s="145">
        <f>SUMIFS(Table2[NewPointsAway],Table2[GameDate], "&lt;=" &amp; $A182, Table2[AwayTeam], H$1)+SUMIFS(Table2[NewPointsHome],Table2[GameDate], "&lt;=" &amp; $A182, Table2[HomeTeam], H$1)</f>
        <v>19</v>
      </c>
      <c r="I182" s="145">
        <f>SUMIFS(Table2[NewPointsAway],Table2[GameDate], "&lt;=" &amp; $A182, Table2[AwayTeam], I$1)+SUMIFS(Table2[NewPointsHome],Table2[GameDate], "&lt;=" &amp; $A182, Table2[HomeTeam], I$1)</f>
        <v>27</v>
      </c>
      <c r="J182" s="145">
        <f>SUMIFS(Table2[NewPointsAway],Table2[GameDate], "&lt;=" &amp; $A182, Table2[AwayTeam], J$1)+SUMIFS(Table2[NewPointsHome],Table2[GameDate], "&lt;=" &amp; $A182, Table2[HomeTeam], J$1)</f>
        <v>23</v>
      </c>
      <c r="K182" s="145">
        <f>SUMIFS(Table2[NewPointsAway],Table2[GameDate], "&lt;=" &amp; $A182, Table2[AwayTeam], K$1)+SUMIFS(Table2[NewPointsHome],Table2[GameDate], "&lt;=" &amp; $A182, Table2[HomeTeam], K$1)</f>
        <v>18</v>
      </c>
      <c r="L182" s="145">
        <f>SUMIFS(Table2[NewPointsAway],Table2[GameDate], "&lt;=" &amp; $A182, Table2[AwayTeam], L$1)+SUMIFS(Table2[NewPointsHome],Table2[GameDate], "&lt;=" &amp; $A182, Table2[HomeTeam], L$1)</f>
        <v>20</v>
      </c>
      <c r="M182" s="145">
        <f>SUMIFS(Table2[NewPointsAway],Table2[GameDate], "&lt;=" &amp; $A182, Table2[AwayTeam], M$1)+SUMIFS(Table2[NewPointsHome],Table2[GameDate], "&lt;=" &amp; $A182, Table2[HomeTeam], M$1)</f>
        <v>17</v>
      </c>
      <c r="N182" s="145">
        <f>SUMIFS(Table2[NewPointsAway],Table2[GameDate], "&lt;=" &amp; $A182, Table2[AwayTeam], N$1)+SUMIFS(Table2[NewPointsHome],Table2[GameDate], "&lt;=" &amp; $A182, Table2[HomeTeam], N$1)</f>
        <v>20</v>
      </c>
      <c r="O182" s="145">
        <f>SUMIFS(Table2[NewPointsAway],Table2[GameDate], "&lt;=" &amp; $A182, Table2[AwayTeam], O$1)+SUMIFS(Table2[NewPointsHome],Table2[GameDate], "&lt;=" &amp; $A182, Table2[HomeTeam], O$1)</f>
        <v>18</v>
      </c>
      <c r="P182" s="145">
        <f>SUMIFS(Table2[NewPointsAway],Table2[GameDate], "&lt;=" &amp; $A182, Table2[AwayTeam], P$1)+SUMIFS(Table2[NewPointsHome],Table2[GameDate], "&lt;=" &amp; $A182, Table2[HomeTeam], P$1)</f>
        <v>22</v>
      </c>
      <c r="Q182" s="145">
        <f>SUMIFS(Table2[NewPointsAway],Table2[GameDate], "&lt;=" &amp; $A182, Table2[AwayTeam], Q$1)+SUMIFS(Table2[NewPointsHome],Table2[GameDate], "&lt;=" &amp; $A182, Table2[HomeTeam], Q$1)</f>
        <v>23</v>
      </c>
      <c r="R182" s="145">
        <f>SUMIFS(Table2[NewPointsAway],Table2[GameDate], "&lt;=" &amp; $A182, Table2[AwayTeam], R$1)+SUMIFS(Table2[NewPointsHome],Table2[GameDate], "&lt;=" &amp; $A182, Table2[HomeTeam], R$1)</f>
        <v>14</v>
      </c>
      <c r="S182" s="145">
        <f>SUMIFS(Table2[NewPointsAway],Table2[GameDate], "&lt;=" &amp; $A182, Table2[AwayTeam], S$1)+SUMIFS(Table2[NewPointsHome],Table2[GameDate], "&lt;=" &amp; $A182, Table2[HomeTeam], S$1)</f>
        <v>18</v>
      </c>
      <c r="T182" s="145">
        <f>SUMIFS(Table2[NewPointsAway],Table2[GameDate], "&lt;=" &amp; $A182, Table2[AwayTeam], T$1)+SUMIFS(Table2[NewPointsHome],Table2[GameDate], "&lt;=" &amp; $A182, Table2[HomeTeam], T$1)</f>
        <v>20</v>
      </c>
      <c r="U182" s="145">
        <f>SUMIFS(Table2[NewPointsAway],Table2[GameDate], "&lt;=" &amp; $A182, Table2[AwayTeam], U$1)+SUMIFS(Table2[NewPointsHome],Table2[GameDate], "&lt;=" &amp; $A182, Table2[HomeTeam], U$1)</f>
        <v>20</v>
      </c>
      <c r="V182" s="145">
        <f>SUMIFS(Table2[NewPointsAway],Table2[GameDate], "&lt;=" &amp; $A182, Table2[AwayTeam], V$1)+SUMIFS(Table2[NewPointsHome],Table2[GameDate], "&lt;=" &amp; $A182, Table2[HomeTeam], V$1)</f>
        <v>19</v>
      </c>
      <c r="W182" s="145">
        <f>SUMIFS(Table2[NewPointsAway],Table2[GameDate], "&lt;=" &amp; $A182, Table2[AwayTeam], W$1)+SUMIFS(Table2[NewPointsHome],Table2[GameDate], "&lt;=" &amp; $A182, Table2[HomeTeam], W$1)</f>
        <v>21</v>
      </c>
      <c r="X182" s="145">
        <f>SUMIFS(Table2[NewPointsAway],Table2[GameDate], "&lt;=" &amp; $A182, Table2[AwayTeam], X$1)+SUMIFS(Table2[NewPointsHome],Table2[GameDate], "&lt;=" &amp; $A182, Table2[HomeTeam], X$1)</f>
        <v>19</v>
      </c>
      <c r="Y182" s="145">
        <f>SUMIFS(Table2[NewPointsAway],Table2[GameDate], "&lt;=" &amp; $A182, Table2[AwayTeam], Y$1)+SUMIFS(Table2[NewPointsHome],Table2[GameDate], "&lt;=" &amp; $A182, Table2[HomeTeam], Y$1)</f>
        <v>19</v>
      </c>
      <c r="Z182" s="145">
        <f>SUMIFS(Table2[NewPointsAway],Table2[GameDate], "&lt;=" &amp; $A182, Table2[AwayTeam], Z$1)+SUMIFS(Table2[NewPointsHome],Table2[GameDate], "&lt;=" &amp; $A182, Table2[HomeTeam], Z$1)</f>
        <v>15</v>
      </c>
      <c r="AA182" s="145">
        <f>SUMIFS(Table2[NewPointsAway],Table2[GameDate], "&lt;=" &amp; $A182, Table2[AwayTeam], AA$1)+SUMIFS(Table2[NewPointsHome],Table2[GameDate], "&lt;=" &amp; $A182, Table2[HomeTeam], AA$1)</f>
        <v>18</v>
      </c>
      <c r="AB182" s="145">
        <f>SUMIFS(Table2[NewPointsAway],Table2[GameDate], "&lt;=" &amp; $A182, Table2[AwayTeam], AB$1)+SUMIFS(Table2[NewPointsHome],Table2[GameDate], "&lt;=" &amp; $A182, Table2[HomeTeam], AB$1)</f>
        <v>17</v>
      </c>
      <c r="AC182" s="145">
        <f>SUMIFS(Table2[NewPointsAway],Table2[GameDate], "&lt;=" &amp; $A182, Table2[AwayTeam], AC$1)+SUMIFS(Table2[NewPointsHome],Table2[GameDate], "&lt;=" &amp; $A182, Table2[HomeTeam], AC$1)</f>
        <v>18</v>
      </c>
      <c r="AD182" s="145">
        <f>SUMIFS(Table2[NewPointsAway],Table2[GameDate], "&lt;=" &amp; $A182, Table2[AwayTeam], AD$1)+SUMIFS(Table2[NewPointsHome],Table2[GameDate], "&lt;=" &amp; $A182, Table2[HomeTeam], AD$1)</f>
        <v>17</v>
      </c>
      <c r="AE182" s="145">
        <f>SUMIFS(Table2[NewPointsAway],Table2[GameDate], "&lt;=" &amp; $A182, Table2[AwayTeam], AE$1)+SUMIFS(Table2[NewPointsHome],Table2[GameDate], "&lt;=" &amp; $A182, Table2[HomeTeam], AE$1)</f>
        <v>18</v>
      </c>
      <c r="AF182" s="145">
        <f>SUMIFS(Table2[NewPointsAway],Table2[GameDate], "&lt;=" &amp; $A182, Table2[AwayTeam], AF$1)+SUMIFS(Table2[NewPointsHome],Table2[GameDate], "&lt;=" &amp; $A182, Table2[HomeTeam], AF$1)</f>
        <v>20</v>
      </c>
      <c r="AG182" s="145">
        <f>SUMIFS(Table2[NewPointsAway],Table2[GameDate], "&lt;=" &amp; $A182, Table2[AwayTeam], AG$1)+SUMIFS(Table2[NewPointsHome],Table2[GameDate], "&lt;=" &amp; $A182, Table2[HomeTeam], AG$1)</f>
        <v>17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23</v>
      </c>
      <c r="C183" s="145">
        <f>SUMIFS(Table2[NewPointsAway],Table2[GameDate], "&lt;=" &amp; $A183, Table2[AwayTeam], C$1)+SUMIFS(Table2[NewPointsHome],Table2[GameDate], "&lt;=" &amp; $A183, Table2[HomeTeam], C$1)</f>
        <v>22</v>
      </c>
      <c r="D183" s="145">
        <f>SUMIFS(Table2[NewPointsAway],Table2[GameDate], "&lt;=" &amp; $A183, Table2[AwayTeam], D$1)+SUMIFS(Table2[NewPointsHome],Table2[GameDate], "&lt;=" &amp; $A183, Table2[HomeTeam], D$1)</f>
        <v>14</v>
      </c>
      <c r="E183" s="145">
        <f>SUMIFS(Table2[NewPointsAway],Table2[GameDate], "&lt;=" &amp; $A183, Table2[AwayTeam], E$1)+SUMIFS(Table2[NewPointsHome],Table2[GameDate], "&lt;=" &amp; $A183, Table2[HomeTeam], E$1)</f>
        <v>22</v>
      </c>
      <c r="F183" s="145">
        <f>SUMIFS(Table2[NewPointsAway],Table2[GameDate], "&lt;=" &amp; $A183, Table2[AwayTeam], F$1)+SUMIFS(Table2[NewPointsHome],Table2[GameDate], "&lt;=" &amp; $A183, Table2[HomeTeam], F$1)</f>
        <v>17</v>
      </c>
      <c r="G183" s="145">
        <f>SUMIFS(Table2[NewPointsAway],Table2[GameDate], "&lt;=" &amp; $A183, Table2[AwayTeam], G$1)+SUMIFS(Table2[NewPointsHome],Table2[GameDate], "&lt;=" &amp; $A183, Table2[HomeTeam], G$1)</f>
        <v>10</v>
      </c>
      <c r="H183" s="145">
        <f>SUMIFS(Table2[NewPointsAway],Table2[GameDate], "&lt;=" &amp; $A183, Table2[AwayTeam], H$1)+SUMIFS(Table2[NewPointsHome],Table2[GameDate], "&lt;=" &amp; $A183, Table2[HomeTeam], H$1)</f>
        <v>19</v>
      </c>
      <c r="I183" s="145">
        <f>SUMIFS(Table2[NewPointsAway],Table2[GameDate], "&lt;=" &amp; $A183, Table2[AwayTeam], I$1)+SUMIFS(Table2[NewPointsHome],Table2[GameDate], "&lt;=" &amp; $A183, Table2[HomeTeam], I$1)</f>
        <v>27</v>
      </c>
      <c r="J183" s="145">
        <f>SUMIFS(Table2[NewPointsAway],Table2[GameDate], "&lt;=" &amp; $A183, Table2[AwayTeam], J$1)+SUMIFS(Table2[NewPointsHome],Table2[GameDate], "&lt;=" &amp; $A183, Table2[HomeTeam], J$1)</f>
        <v>23</v>
      </c>
      <c r="K183" s="145">
        <f>SUMIFS(Table2[NewPointsAway],Table2[GameDate], "&lt;=" &amp; $A183, Table2[AwayTeam], K$1)+SUMIFS(Table2[NewPointsHome],Table2[GameDate], "&lt;=" &amp; $A183, Table2[HomeTeam], K$1)</f>
        <v>18</v>
      </c>
      <c r="L183" s="145">
        <f>SUMIFS(Table2[NewPointsAway],Table2[GameDate], "&lt;=" &amp; $A183, Table2[AwayTeam], L$1)+SUMIFS(Table2[NewPointsHome],Table2[GameDate], "&lt;=" &amp; $A183, Table2[HomeTeam], L$1)</f>
        <v>20</v>
      </c>
      <c r="M183" s="145">
        <f>SUMIFS(Table2[NewPointsAway],Table2[GameDate], "&lt;=" &amp; $A183, Table2[AwayTeam], M$1)+SUMIFS(Table2[NewPointsHome],Table2[GameDate], "&lt;=" &amp; $A183, Table2[HomeTeam], M$1)</f>
        <v>17</v>
      </c>
      <c r="N183" s="145">
        <f>SUMIFS(Table2[NewPointsAway],Table2[GameDate], "&lt;=" &amp; $A183, Table2[AwayTeam], N$1)+SUMIFS(Table2[NewPointsHome],Table2[GameDate], "&lt;=" &amp; $A183, Table2[HomeTeam], N$1)</f>
        <v>20</v>
      </c>
      <c r="O183" s="145">
        <f>SUMIFS(Table2[NewPointsAway],Table2[GameDate], "&lt;=" &amp; $A183, Table2[AwayTeam], O$1)+SUMIFS(Table2[NewPointsHome],Table2[GameDate], "&lt;=" &amp; $A183, Table2[HomeTeam], O$1)</f>
        <v>18</v>
      </c>
      <c r="P183" s="145">
        <f>SUMIFS(Table2[NewPointsAway],Table2[GameDate], "&lt;=" &amp; $A183, Table2[AwayTeam], P$1)+SUMIFS(Table2[NewPointsHome],Table2[GameDate], "&lt;=" &amp; $A183, Table2[HomeTeam], P$1)</f>
        <v>22</v>
      </c>
      <c r="Q183" s="145">
        <f>SUMIFS(Table2[NewPointsAway],Table2[GameDate], "&lt;=" &amp; $A183, Table2[AwayTeam], Q$1)+SUMIFS(Table2[NewPointsHome],Table2[GameDate], "&lt;=" &amp; $A183, Table2[HomeTeam], Q$1)</f>
        <v>23</v>
      </c>
      <c r="R183" s="145">
        <f>SUMIFS(Table2[NewPointsAway],Table2[GameDate], "&lt;=" &amp; $A183, Table2[AwayTeam], R$1)+SUMIFS(Table2[NewPointsHome],Table2[GameDate], "&lt;=" &amp; $A183, Table2[HomeTeam], R$1)</f>
        <v>14</v>
      </c>
      <c r="S183" s="145">
        <f>SUMIFS(Table2[NewPointsAway],Table2[GameDate], "&lt;=" &amp; $A183, Table2[AwayTeam], S$1)+SUMIFS(Table2[NewPointsHome],Table2[GameDate], "&lt;=" &amp; $A183, Table2[HomeTeam], S$1)</f>
        <v>18</v>
      </c>
      <c r="T183" s="145">
        <f>SUMIFS(Table2[NewPointsAway],Table2[GameDate], "&lt;=" &amp; $A183, Table2[AwayTeam], T$1)+SUMIFS(Table2[NewPointsHome],Table2[GameDate], "&lt;=" &amp; $A183, Table2[HomeTeam], T$1)</f>
        <v>20</v>
      </c>
      <c r="U183" s="145">
        <f>SUMIFS(Table2[NewPointsAway],Table2[GameDate], "&lt;=" &amp; $A183, Table2[AwayTeam], U$1)+SUMIFS(Table2[NewPointsHome],Table2[GameDate], "&lt;=" &amp; $A183, Table2[HomeTeam], U$1)</f>
        <v>20</v>
      </c>
      <c r="V183" s="145">
        <f>SUMIFS(Table2[NewPointsAway],Table2[GameDate], "&lt;=" &amp; $A183, Table2[AwayTeam], V$1)+SUMIFS(Table2[NewPointsHome],Table2[GameDate], "&lt;=" &amp; $A183, Table2[HomeTeam], V$1)</f>
        <v>19</v>
      </c>
      <c r="W183" s="145">
        <f>SUMIFS(Table2[NewPointsAway],Table2[GameDate], "&lt;=" &amp; $A183, Table2[AwayTeam], W$1)+SUMIFS(Table2[NewPointsHome],Table2[GameDate], "&lt;=" &amp; $A183, Table2[HomeTeam], W$1)</f>
        <v>21</v>
      </c>
      <c r="X183" s="145">
        <f>SUMIFS(Table2[NewPointsAway],Table2[GameDate], "&lt;=" &amp; $A183, Table2[AwayTeam], X$1)+SUMIFS(Table2[NewPointsHome],Table2[GameDate], "&lt;=" &amp; $A183, Table2[HomeTeam], X$1)</f>
        <v>19</v>
      </c>
      <c r="Y183" s="145">
        <f>SUMIFS(Table2[NewPointsAway],Table2[GameDate], "&lt;=" &amp; $A183, Table2[AwayTeam], Y$1)+SUMIFS(Table2[NewPointsHome],Table2[GameDate], "&lt;=" &amp; $A183, Table2[HomeTeam], Y$1)</f>
        <v>19</v>
      </c>
      <c r="Z183" s="145">
        <f>SUMIFS(Table2[NewPointsAway],Table2[GameDate], "&lt;=" &amp; $A183, Table2[AwayTeam], Z$1)+SUMIFS(Table2[NewPointsHome],Table2[GameDate], "&lt;=" &amp; $A183, Table2[HomeTeam], Z$1)</f>
        <v>15</v>
      </c>
      <c r="AA183" s="145">
        <f>SUMIFS(Table2[NewPointsAway],Table2[GameDate], "&lt;=" &amp; $A183, Table2[AwayTeam], AA$1)+SUMIFS(Table2[NewPointsHome],Table2[GameDate], "&lt;=" &amp; $A183, Table2[HomeTeam], AA$1)</f>
        <v>18</v>
      </c>
      <c r="AB183" s="145">
        <f>SUMIFS(Table2[NewPointsAway],Table2[GameDate], "&lt;=" &amp; $A183, Table2[AwayTeam], AB$1)+SUMIFS(Table2[NewPointsHome],Table2[GameDate], "&lt;=" &amp; $A183, Table2[HomeTeam], AB$1)</f>
        <v>17</v>
      </c>
      <c r="AC183" s="145">
        <f>SUMIFS(Table2[NewPointsAway],Table2[GameDate], "&lt;=" &amp; $A183, Table2[AwayTeam], AC$1)+SUMIFS(Table2[NewPointsHome],Table2[GameDate], "&lt;=" &amp; $A183, Table2[HomeTeam], AC$1)</f>
        <v>18</v>
      </c>
      <c r="AD183" s="145">
        <f>SUMIFS(Table2[NewPointsAway],Table2[GameDate], "&lt;=" &amp; $A183, Table2[AwayTeam], AD$1)+SUMIFS(Table2[NewPointsHome],Table2[GameDate], "&lt;=" &amp; $A183, Table2[HomeTeam], AD$1)</f>
        <v>17</v>
      </c>
      <c r="AE183" s="145">
        <f>SUMIFS(Table2[NewPointsAway],Table2[GameDate], "&lt;=" &amp; $A183, Table2[AwayTeam], AE$1)+SUMIFS(Table2[NewPointsHome],Table2[GameDate], "&lt;=" &amp; $A183, Table2[HomeTeam], AE$1)</f>
        <v>18</v>
      </c>
      <c r="AF183" s="145">
        <f>SUMIFS(Table2[NewPointsAway],Table2[GameDate], "&lt;=" &amp; $A183, Table2[AwayTeam], AF$1)+SUMIFS(Table2[NewPointsHome],Table2[GameDate], "&lt;=" &amp; $A183, Table2[HomeTeam], AF$1)</f>
        <v>20</v>
      </c>
      <c r="AG183" s="145">
        <f>SUMIFS(Table2[NewPointsAway],Table2[GameDate], "&lt;=" &amp; $A183, Table2[AwayTeam], AG$1)+SUMIFS(Table2[NewPointsHome],Table2[GameDate], "&lt;=" &amp; $A183, Table2[HomeTeam], AG$1)</f>
        <v>17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23</v>
      </c>
      <c r="C184" s="145">
        <f>SUMIFS(Table2[NewPointsAway],Table2[GameDate], "&lt;=" &amp; $A184, Table2[AwayTeam], C$1)+SUMIFS(Table2[NewPointsHome],Table2[GameDate], "&lt;=" &amp; $A184, Table2[HomeTeam], C$1)</f>
        <v>22</v>
      </c>
      <c r="D184" s="145">
        <f>SUMIFS(Table2[NewPointsAway],Table2[GameDate], "&lt;=" &amp; $A184, Table2[AwayTeam], D$1)+SUMIFS(Table2[NewPointsHome],Table2[GameDate], "&lt;=" &amp; $A184, Table2[HomeTeam], D$1)</f>
        <v>14</v>
      </c>
      <c r="E184" s="145">
        <f>SUMIFS(Table2[NewPointsAway],Table2[GameDate], "&lt;=" &amp; $A184, Table2[AwayTeam], E$1)+SUMIFS(Table2[NewPointsHome],Table2[GameDate], "&lt;=" &amp; $A184, Table2[HomeTeam], E$1)</f>
        <v>22</v>
      </c>
      <c r="F184" s="145">
        <f>SUMIFS(Table2[NewPointsAway],Table2[GameDate], "&lt;=" &amp; $A184, Table2[AwayTeam], F$1)+SUMIFS(Table2[NewPointsHome],Table2[GameDate], "&lt;=" &amp; $A184, Table2[HomeTeam], F$1)</f>
        <v>17</v>
      </c>
      <c r="G184" s="145">
        <f>SUMIFS(Table2[NewPointsAway],Table2[GameDate], "&lt;=" &amp; $A184, Table2[AwayTeam], G$1)+SUMIFS(Table2[NewPointsHome],Table2[GameDate], "&lt;=" &amp; $A184, Table2[HomeTeam], G$1)</f>
        <v>10</v>
      </c>
      <c r="H184" s="145">
        <f>SUMIFS(Table2[NewPointsAway],Table2[GameDate], "&lt;=" &amp; $A184, Table2[AwayTeam], H$1)+SUMIFS(Table2[NewPointsHome],Table2[GameDate], "&lt;=" &amp; $A184, Table2[HomeTeam], H$1)</f>
        <v>19</v>
      </c>
      <c r="I184" s="145">
        <f>SUMIFS(Table2[NewPointsAway],Table2[GameDate], "&lt;=" &amp; $A184, Table2[AwayTeam], I$1)+SUMIFS(Table2[NewPointsHome],Table2[GameDate], "&lt;=" &amp; $A184, Table2[HomeTeam], I$1)</f>
        <v>27</v>
      </c>
      <c r="J184" s="145">
        <f>SUMIFS(Table2[NewPointsAway],Table2[GameDate], "&lt;=" &amp; $A184, Table2[AwayTeam], J$1)+SUMIFS(Table2[NewPointsHome],Table2[GameDate], "&lt;=" &amp; $A184, Table2[HomeTeam], J$1)</f>
        <v>23</v>
      </c>
      <c r="K184" s="145">
        <f>SUMIFS(Table2[NewPointsAway],Table2[GameDate], "&lt;=" &amp; $A184, Table2[AwayTeam], K$1)+SUMIFS(Table2[NewPointsHome],Table2[GameDate], "&lt;=" &amp; $A184, Table2[HomeTeam], K$1)</f>
        <v>18</v>
      </c>
      <c r="L184" s="145">
        <f>SUMIFS(Table2[NewPointsAway],Table2[GameDate], "&lt;=" &amp; $A184, Table2[AwayTeam], L$1)+SUMIFS(Table2[NewPointsHome],Table2[GameDate], "&lt;=" &amp; $A184, Table2[HomeTeam], L$1)</f>
        <v>20</v>
      </c>
      <c r="M184" s="145">
        <f>SUMIFS(Table2[NewPointsAway],Table2[GameDate], "&lt;=" &amp; $A184, Table2[AwayTeam], M$1)+SUMIFS(Table2[NewPointsHome],Table2[GameDate], "&lt;=" &amp; $A184, Table2[HomeTeam], M$1)</f>
        <v>17</v>
      </c>
      <c r="N184" s="145">
        <f>SUMIFS(Table2[NewPointsAway],Table2[GameDate], "&lt;=" &amp; $A184, Table2[AwayTeam], N$1)+SUMIFS(Table2[NewPointsHome],Table2[GameDate], "&lt;=" &amp; $A184, Table2[HomeTeam], N$1)</f>
        <v>20</v>
      </c>
      <c r="O184" s="145">
        <f>SUMIFS(Table2[NewPointsAway],Table2[GameDate], "&lt;=" &amp; $A184, Table2[AwayTeam], O$1)+SUMIFS(Table2[NewPointsHome],Table2[GameDate], "&lt;=" &amp; $A184, Table2[HomeTeam], O$1)</f>
        <v>18</v>
      </c>
      <c r="P184" s="145">
        <f>SUMIFS(Table2[NewPointsAway],Table2[GameDate], "&lt;=" &amp; $A184, Table2[AwayTeam], P$1)+SUMIFS(Table2[NewPointsHome],Table2[GameDate], "&lt;=" &amp; $A184, Table2[HomeTeam], P$1)</f>
        <v>22</v>
      </c>
      <c r="Q184" s="145">
        <f>SUMIFS(Table2[NewPointsAway],Table2[GameDate], "&lt;=" &amp; $A184, Table2[AwayTeam], Q$1)+SUMIFS(Table2[NewPointsHome],Table2[GameDate], "&lt;=" &amp; $A184, Table2[HomeTeam], Q$1)</f>
        <v>23</v>
      </c>
      <c r="R184" s="145">
        <f>SUMIFS(Table2[NewPointsAway],Table2[GameDate], "&lt;=" &amp; $A184, Table2[AwayTeam], R$1)+SUMIFS(Table2[NewPointsHome],Table2[GameDate], "&lt;=" &amp; $A184, Table2[HomeTeam], R$1)</f>
        <v>14</v>
      </c>
      <c r="S184" s="145">
        <f>SUMIFS(Table2[NewPointsAway],Table2[GameDate], "&lt;=" &amp; $A184, Table2[AwayTeam], S$1)+SUMIFS(Table2[NewPointsHome],Table2[GameDate], "&lt;=" &amp; $A184, Table2[HomeTeam], S$1)</f>
        <v>18</v>
      </c>
      <c r="T184" s="145">
        <f>SUMIFS(Table2[NewPointsAway],Table2[GameDate], "&lt;=" &amp; $A184, Table2[AwayTeam], T$1)+SUMIFS(Table2[NewPointsHome],Table2[GameDate], "&lt;=" &amp; $A184, Table2[HomeTeam], T$1)</f>
        <v>20</v>
      </c>
      <c r="U184" s="145">
        <f>SUMIFS(Table2[NewPointsAway],Table2[GameDate], "&lt;=" &amp; $A184, Table2[AwayTeam], U$1)+SUMIFS(Table2[NewPointsHome],Table2[GameDate], "&lt;=" &amp; $A184, Table2[HomeTeam], U$1)</f>
        <v>20</v>
      </c>
      <c r="V184" s="145">
        <f>SUMIFS(Table2[NewPointsAway],Table2[GameDate], "&lt;=" &amp; $A184, Table2[AwayTeam], V$1)+SUMIFS(Table2[NewPointsHome],Table2[GameDate], "&lt;=" &amp; $A184, Table2[HomeTeam], V$1)</f>
        <v>19</v>
      </c>
      <c r="W184" s="145">
        <f>SUMIFS(Table2[NewPointsAway],Table2[GameDate], "&lt;=" &amp; $A184, Table2[AwayTeam], W$1)+SUMIFS(Table2[NewPointsHome],Table2[GameDate], "&lt;=" &amp; $A184, Table2[HomeTeam], W$1)</f>
        <v>21</v>
      </c>
      <c r="X184" s="145">
        <f>SUMIFS(Table2[NewPointsAway],Table2[GameDate], "&lt;=" &amp; $A184, Table2[AwayTeam], X$1)+SUMIFS(Table2[NewPointsHome],Table2[GameDate], "&lt;=" &amp; $A184, Table2[HomeTeam], X$1)</f>
        <v>19</v>
      </c>
      <c r="Y184" s="145">
        <f>SUMIFS(Table2[NewPointsAway],Table2[GameDate], "&lt;=" &amp; $A184, Table2[AwayTeam], Y$1)+SUMIFS(Table2[NewPointsHome],Table2[GameDate], "&lt;=" &amp; $A184, Table2[HomeTeam], Y$1)</f>
        <v>19</v>
      </c>
      <c r="Z184" s="145">
        <f>SUMIFS(Table2[NewPointsAway],Table2[GameDate], "&lt;=" &amp; $A184, Table2[AwayTeam], Z$1)+SUMIFS(Table2[NewPointsHome],Table2[GameDate], "&lt;=" &amp; $A184, Table2[HomeTeam], Z$1)</f>
        <v>15</v>
      </c>
      <c r="AA184" s="145">
        <f>SUMIFS(Table2[NewPointsAway],Table2[GameDate], "&lt;=" &amp; $A184, Table2[AwayTeam], AA$1)+SUMIFS(Table2[NewPointsHome],Table2[GameDate], "&lt;=" &amp; $A184, Table2[HomeTeam], AA$1)</f>
        <v>18</v>
      </c>
      <c r="AB184" s="145">
        <f>SUMIFS(Table2[NewPointsAway],Table2[GameDate], "&lt;=" &amp; $A184, Table2[AwayTeam], AB$1)+SUMIFS(Table2[NewPointsHome],Table2[GameDate], "&lt;=" &amp; $A184, Table2[HomeTeam], AB$1)</f>
        <v>17</v>
      </c>
      <c r="AC184" s="145">
        <f>SUMIFS(Table2[NewPointsAway],Table2[GameDate], "&lt;=" &amp; $A184, Table2[AwayTeam], AC$1)+SUMIFS(Table2[NewPointsHome],Table2[GameDate], "&lt;=" &amp; $A184, Table2[HomeTeam], AC$1)</f>
        <v>18</v>
      </c>
      <c r="AD184" s="145">
        <f>SUMIFS(Table2[NewPointsAway],Table2[GameDate], "&lt;=" &amp; $A184, Table2[AwayTeam], AD$1)+SUMIFS(Table2[NewPointsHome],Table2[GameDate], "&lt;=" &amp; $A184, Table2[HomeTeam], AD$1)</f>
        <v>17</v>
      </c>
      <c r="AE184" s="145">
        <f>SUMIFS(Table2[NewPointsAway],Table2[GameDate], "&lt;=" &amp; $A184, Table2[AwayTeam], AE$1)+SUMIFS(Table2[NewPointsHome],Table2[GameDate], "&lt;=" &amp; $A184, Table2[HomeTeam], AE$1)</f>
        <v>18</v>
      </c>
      <c r="AF184" s="145">
        <f>SUMIFS(Table2[NewPointsAway],Table2[GameDate], "&lt;=" &amp; $A184, Table2[AwayTeam], AF$1)+SUMIFS(Table2[NewPointsHome],Table2[GameDate], "&lt;=" &amp; $A184, Table2[HomeTeam], AF$1)</f>
        <v>20</v>
      </c>
      <c r="AG184" s="145">
        <f>SUMIFS(Table2[NewPointsAway],Table2[GameDate], "&lt;=" &amp; $A184, Table2[AwayTeam], AG$1)+SUMIFS(Table2[NewPointsHome],Table2[GameDate], "&lt;=" &amp; $A184, Table2[HomeTeam], AG$1)</f>
        <v>17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23</v>
      </c>
      <c r="C185" s="145">
        <f>SUMIFS(Table2[NewPointsAway],Table2[GameDate], "&lt;=" &amp; $A185, Table2[AwayTeam], C$1)+SUMIFS(Table2[NewPointsHome],Table2[GameDate], "&lt;=" &amp; $A185, Table2[HomeTeam], C$1)</f>
        <v>22</v>
      </c>
      <c r="D185" s="145">
        <f>SUMIFS(Table2[NewPointsAway],Table2[GameDate], "&lt;=" &amp; $A185, Table2[AwayTeam], D$1)+SUMIFS(Table2[NewPointsHome],Table2[GameDate], "&lt;=" &amp; $A185, Table2[HomeTeam], D$1)</f>
        <v>14</v>
      </c>
      <c r="E185" s="145">
        <f>SUMIFS(Table2[NewPointsAway],Table2[GameDate], "&lt;=" &amp; $A185, Table2[AwayTeam], E$1)+SUMIFS(Table2[NewPointsHome],Table2[GameDate], "&lt;=" &amp; $A185, Table2[HomeTeam], E$1)</f>
        <v>22</v>
      </c>
      <c r="F185" s="145">
        <f>SUMIFS(Table2[NewPointsAway],Table2[GameDate], "&lt;=" &amp; $A185, Table2[AwayTeam], F$1)+SUMIFS(Table2[NewPointsHome],Table2[GameDate], "&lt;=" &amp; $A185, Table2[HomeTeam], F$1)</f>
        <v>17</v>
      </c>
      <c r="G185" s="145">
        <f>SUMIFS(Table2[NewPointsAway],Table2[GameDate], "&lt;=" &amp; $A185, Table2[AwayTeam], G$1)+SUMIFS(Table2[NewPointsHome],Table2[GameDate], "&lt;=" &amp; $A185, Table2[HomeTeam], G$1)</f>
        <v>10</v>
      </c>
      <c r="H185" s="145">
        <f>SUMIFS(Table2[NewPointsAway],Table2[GameDate], "&lt;=" &amp; $A185, Table2[AwayTeam], H$1)+SUMIFS(Table2[NewPointsHome],Table2[GameDate], "&lt;=" &amp; $A185, Table2[HomeTeam], H$1)</f>
        <v>19</v>
      </c>
      <c r="I185" s="145">
        <f>SUMIFS(Table2[NewPointsAway],Table2[GameDate], "&lt;=" &amp; $A185, Table2[AwayTeam], I$1)+SUMIFS(Table2[NewPointsHome],Table2[GameDate], "&lt;=" &amp; $A185, Table2[HomeTeam], I$1)</f>
        <v>27</v>
      </c>
      <c r="J185" s="145">
        <f>SUMIFS(Table2[NewPointsAway],Table2[GameDate], "&lt;=" &amp; $A185, Table2[AwayTeam], J$1)+SUMIFS(Table2[NewPointsHome],Table2[GameDate], "&lt;=" &amp; $A185, Table2[HomeTeam], J$1)</f>
        <v>23</v>
      </c>
      <c r="K185" s="145">
        <f>SUMIFS(Table2[NewPointsAway],Table2[GameDate], "&lt;=" &amp; $A185, Table2[AwayTeam], K$1)+SUMIFS(Table2[NewPointsHome],Table2[GameDate], "&lt;=" &amp; $A185, Table2[HomeTeam], K$1)</f>
        <v>18</v>
      </c>
      <c r="L185" s="145">
        <f>SUMIFS(Table2[NewPointsAway],Table2[GameDate], "&lt;=" &amp; $A185, Table2[AwayTeam], L$1)+SUMIFS(Table2[NewPointsHome],Table2[GameDate], "&lt;=" &amp; $A185, Table2[HomeTeam], L$1)</f>
        <v>20</v>
      </c>
      <c r="M185" s="145">
        <f>SUMIFS(Table2[NewPointsAway],Table2[GameDate], "&lt;=" &amp; $A185, Table2[AwayTeam], M$1)+SUMIFS(Table2[NewPointsHome],Table2[GameDate], "&lt;=" &amp; $A185, Table2[HomeTeam], M$1)</f>
        <v>17</v>
      </c>
      <c r="N185" s="145">
        <f>SUMIFS(Table2[NewPointsAway],Table2[GameDate], "&lt;=" &amp; $A185, Table2[AwayTeam], N$1)+SUMIFS(Table2[NewPointsHome],Table2[GameDate], "&lt;=" &amp; $A185, Table2[HomeTeam], N$1)</f>
        <v>20</v>
      </c>
      <c r="O185" s="145">
        <f>SUMIFS(Table2[NewPointsAway],Table2[GameDate], "&lt;=" &amp; $A185, Table2[AwayTeam], O$1)+SUMIFS(Table2[NewPointsHome],Table2[GameDate], "&lt;=" &amp; $A185, Table2[HomeTeam], O$1)</f>
        <v>18</v>
      </c>
      <c r="P185" s="145">
        <f>SUMIFS(Table2[NewPointsAway],Table2[GameDate], "&lt;=" &amp; $A185, Table2[AwayTeam], P$1)+SUMIFS(Table2[NewPointsHome],Table2[GameDate], "&lt;=" &amp; $A185, Table2[HomeTeam], P$1)</f>
        <v>22</v>
      </c>
      <c r="Q185" s="145">
        <f>SUMIFS(Table2[NewPointsAway],Table2[GameDate], "&lt;=" &amp; $A185, Table2[AwayTeam], Q$1)+SUMIFS(Table2[NewPointsHome],Table2[GameDate], "&lt;=" &amp; $A185, Table2[HomeTeam], Q$1)</f>
        <v>23</v>
      </c>
      <c r="R185" s="145">
        <f>SUMIFS(Table2[NewPointsAway],Table2[GameDate], "&lt;=" &amp; $A185, Table2[AwayTeam], R$1)+SUMIFS(Table2[NewPointsHome],Table2[GameDate], "&lt;=" &amp; $A185, Table2[HomeTeam], R$1)</f>
        <v>14</v>
      </c>
      <c r="S185" s="145">
        <f>SUMIFS(Table2[NewPointsAway],Table2[GameDate], "&lt;=" &amp; $A185, Table2[AwayTeam], S$1)+SUMIFS(Table2[NewPointsHome],Table2[GameDate], "&lt;=" &amp; $A185, Table2[HomeTeam], S$1)</f>
        <v>18</v>
      </c>
      <c r="T185" s="145">
        <f>SUMIFS(Table2[NewPointsAway],Table2[GameDate], "&lt;=" &amp; $A185, Table2[AwayTeam], T$1)+SUMIFS(Table2[NewPointsHome],Table2[GameDate], "&lt;=" &amp; $A185, Table2[HomeTeam], T$1)</f>
        <v>20</v>
      </c>
      <c r="U185" s="145">
        <f>SUMIFS(Table2[NewPointsAway],Table2[GameDate], "&lt;=" &amp; $A185, Table2[AwayTeam], U$1)+SUMIFS(Table2[NewPointsHome],Table2[GameDate], "&lt;=" &amp; $A185, Table2[HomeTeam], U$1)</f>
        <v>20</v>
      </c>
      <c r="V185" s="145">
        <f>SUMIFS(Table2[NewPointsAway],Table2[GameDate], "&lt;=" &amp; $A185, Table2[AwayTeam], V$1)+SUMIFS(Table2[NewPointsHome],Table2[GameDate], "&lt;=" &amp; $A185, Table2[HomeTeam], V$1)</f>
        <v>19</v>
      </c>
      <c r="W185" s="145">
        <f>SUMIFS(Table2[NewPointsAway],Table2[GameDate], "&lt;=" &amp; $A185, Table2[AwayTeam], W$1)+SUMIFS(Table2[NewPointsHome],Table2[GameDate], "&lt;=" &amp; $A185, Table2[HomeTeam], W$1)</f>
        <v>21</v>
      </c>
      <c r="X185" s="145">
        <f>SUMIFS(Table2[NewPointsAway],Table2[GameDate], "&lt;=" &amp; $A185, Table2[AwayTeam], X$1)+SUMIFS(Table2[NewPointsHome],Table2[GameDate], "&lt;=" &amp; $A185, Table2[HomeTeam], X$1)</f>
        <v>19</v>
      </c>
      <c r="Y185" s="145">
        <f>SUMIFS(Table2[NewPointsAway],Table2[GameDate], "&lt;=" &amp; $A185, Table2[AwayTeam], Y$1)+SUMIFS(Table2[NewPointsHome],Table2[GameDate], "&lt;=" &amp; $A185, Table2[HomeTeam], Y$1)</f>
        <v>19</v>
      </c>
      <c r="Z185" s="145">
        <f>SUMIFS(Table2[NewPointsAway],Table2[GameDate], "&lt;=" &amp; $A185, Table2[AwayTeam], Z$1)+SUMIFS(Table2[NewPointsHome],Table2[GameDate], "&lt;=" &amp; $A185, Table2[HomeTeam], Z$1)</f>
        <v>15</v>
      </c>
      <c r="AA185" s="145">
        <f>SUMIFS(Table2[NewPointsAway],Table2[GameDate], "&lt;=" &amp; $A185, Table2[AwayTeam], AA$1)+SUMIFS(Table2[NewPointsHome],Table2[GameDate], "&lt;=" &amp; $A185, Table2[HomeTeam], AA$1)</f>
        <v>18</v>
      </c>
      <c r="AB185" s="145">
        <f>SUMIFS(Table2[NewPointsAway],Table2[GameDate], "&lt;=" &amp; $A185, Table2[AwayTeam], AB$1)+SUMIFS(Table2[NewPointsHome],Table2[GameDate], "&lt;=" &amp; $A185, Table2[HomeTeam], AB$1)</f>
        <v>17</v>
      </c>
      <c r="AC185" s="145">
        <f>SUMIFS(Table2[NewPointsAway],Table2[GameDate], "&lt;=" &amp; $A185, Table2[AwayTeam], AC$1)+SUMIFS(Table2[NewPointsHome],Table2[GameDate], "&lt;=" &amp; $A185, Table2[HomeTeam], AC$1)</f>
        <v>18</v>
      </c>
      <c r="AD185" s="145">
        <f>SUMIFS(Table2[NewPointsAway],Table2[GameDate], "&lt;=" &amp; $A185, Table2[AwayTeam], AD$1)+SUMIFS(Table2[NewPointsHome],Table2[GameDate], "&lt;=" &amp; $A185, Table2[HomeTeam], AD$1)</f>
        <v>17</v>
      </c>
      <c r="AE185" s="145">
        <f>SUMIFS(Table2[NewPointsAway],Table2[GameDate], "&lt;=" &amp; $A185, Table2[AwayTeam], AE$1)+SUMIFS(Table2[NewPointsHome],Table2[GameDate], "&lt;=" &amp; $A185, Table2[HomeTeam], AE$1)</f>
        <v>18</v>
      </c>
      <c r="AF185" s="145">
        <f>SUMIFS(Table2[NewPointsAway],Table2[GameDate], "&lt;=" &amp; $A185, Table2[AwayTeam], AF$1)+SUMIFS(Table2[NewPointsHome],Table2[GameDate], "&lt;=" &amp; $A185, Table2[HomeTeam], AF$1)</f>
        <v>20</v>
      </c>
      <c r="AG185" s="145">
        <f>SUMIFS(Table2[NewPointsAway],Table2[GameDate], "&lt;=" &amp; $A185, Table2[AwayTeam], AG$1)+SUMIFS(Table2[NewPointsHome],Table2[GameDate], "&lt;=" &amp; $A185, Table2[HomeTeam], AG$1)</f>
        <v>17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23</v>
      </c>
      <c r="C186" s="145">
        <f>SUMIFS(Table2[NewPointsAway],Table2[GameDate], "&lt;=" &amp; $A186, Table2[AwayTeam], C$1)+SUMIFS(Table2[NewPointsHome],Table2[GameDate], "&lt;=" &amp; $A186, Table2[HomeTeam], C$1)</f>
        <v>22</v>
      </c>
      <c r="D186" s="145">
        <f>SUMIFS(Table2[NewPointsAway],Table2[GameDate], "&lt;=" &amp; $A186, Table2[AwayTeam], D$1)+SUMIFS(Table2[NewPointsHome],Table2[GameDate], "&lt;=" &amp; $A186, Table2[HomeTeam], D$1)</f>
        <v>14</v>
      </c>
      <c r="E186" s="145">
        <f>SUMIFS(Table2[NewPointsAway],Table2[GameDate], "&lt;=" &amp; $A186, Table2[AwayTeam], E$1)+SUMIFS(Table2[NewPointsHome],Table2[GameDate], "&lt;=" &amp; $A186, Table2[HomeTeam], E$1)</f>
        <v>22</v>
      </c>
      <c r="F186" s="145">
        <f>SUMIFS(Table2[NewPointsAway],Table2[GameDate], "&lt;=" &amp; $A186, Table2[AwayTeam], F$1)+SUMIFS(Table2[NewPointsHome],Table2[GameDate], "&lt;=" &amp; $A186, Table2[HomeTeam], F$1)</f>
        <v>17</v>
      </c>
      <c r="G186" s="145">
        <f>SUMIFS(Table2[NewPointsAway],Table2[GameDate], "&lt;=" &amp; $A186, Table2[AwayTeam], G$1)+SUMIFS(Table2[NewPointsHome],Table2[GameDate], "&lt;=" &amp; $A186, Table2[HomeTeam], G$1)</f>
        <v>10</v>
      </c>
      <c r="H186" s="145">
        <f>SUMIFS(Table2[NewPointsAway],Table2[GameDate], "&lt;=" &amp; $A186, Table2[AwayTeam], H$1)+SUMIFS(Table2[NewPointsHome],Table2[GameDate], "&lt;=" &amp; $A186, Table2[HomeTeam], H$1)</f>
        <v>19</v>
      </c>
      <c r="I186" s="145">
        <f>SUMIFS(Table2[NewPointsAway],Table2[GameDate], "&lt;=" &amp; $A186, Table2[AwayTeam], I$1)+SUMIFS(Table2[NewPointsHome],Table2[GameDate], "&lt;=" &amp; $A186, Table2[HomeTeam], I$1)</f>
        <v>27</v>
      </c>
      <c r="J186" s="145">
        <f>SUMIFS(Table2[NewPointsAway],Table2[GameDate], "&lt;=" &amp; $A186, Table2[AwayTeam], J$1)+SUMIFS(Table2[NewPointsHome],Table2[GameDate], "&lt;=" &amp; $A186, Table2[HomeTeam], J$1)</f>
        <v>23</v>
      </c>
      <c r="K186" s="145">
        <f>SUMIFS(Table2[NewPointsAway],Table2[GameDate], "&lt;=" &amp; $A186, Table2[AwayTeam], K$1)+SUMIFS(Table2[NewPointsHome],Table2[GameDate], "&lt;=" &amp; $A186, Table2[HomeTeam], K$1)</f>
        <v>18</v>
      </c>
      <c r="L186" s="145">
        <f>SUMIFS(Table2[NewPointsAway],Table2[GameDate], "&lt;=" &amp; $A186, Table2[AwayTeam], L$1)+SUMIFS(Table2[NewPointsHome],Table2[GameDate], "&lt;=" &amp; $A186, Table2[HomeTeam], L$1)</f>
        <v>20</v>
      </c>
      <c r="M186" s="145">
        <f>SUMIFS(Table2[NewPointsAway],Table2[GameDate], "&lt;=" &amp; $A186, Table2[AwayTeam], M$1)+SUMIFS(Table2[NewPointsHome],Table2[GameDate], "&lt;=" &amp; $A186, Table2[HomeTeam], M$1)</f>
        <v>17</v>
      </c>
      <c r="N186" s="145">
        <f>SUMIFS(Table2[NewPointsAway],Table2[GameDate], "&lt;=" &amp; $A186, Table2[AwayTeam], N$1)+SUMIFS(Table2[NewPointsHome],Table2[GameDate], "&lt;=" &amp; $A186, Table2[HomeTeam], N$1)</f>
        <v>20</v>
      </c>
      <c r="O186" s="145">
        <f>SUMIFS(Table2[NewPointsAway],Table2[GameDate], "&lt;=" &amp; $A186, Table2[AwayTeam], O$1)+SUMIFS(Table2[NewPointsHome],Table2[GameDate], "&lt;=" &amp; $A186, Table2[HomeTeam], O$1)</f>
        <v>18</v>
      </c>
      <c r="P186" s="145">
        <f>SUMIFS(Table2[NewPointsAway],Table2[GameDate], "&lt;=" &amp; $A186, Table2[AwayTeam], P$1)+SUMIFS(Table2[NewPointsHome],Table2[GameDate], "&lt;=" &amp; $A186, Table2[HomeTeam], P$1)</f>
        <v>22</v>
      </c>
      <c r="Q186" s="145">
        <f>SUMIFS(Table2[NewPointsAway],Table2[GameDate], "&lt;=" &amp; $A186, Table2[AwayTeam], Q$1)+SUMIFS(Table2[NewPointsHome],Table2[GameDate], "&lt;=" &amp; $A186, Table2[HomeTeam], Q$1)</f>
        <v>23</v>
      </c>
      <c r="R186" s="145">
        <f>SUMIFS(Table2[NewPointsAway],Table2[GameDate], "&lt;=" &amp; $A186, Table2[AwayTeam], R$1)+SUMIFS(Table2[NewPointsHome],Table2[GameDate], "&lt;=" &amp; $A186, Table2[HomeTeam], R$1)</f>
        <v>14</v>
      </c>
      <c r="S186" s="145">
        <f>SUMIFS(Table2[NewPointsAway],Table2[GameDate], "&lt;=" &amp; $A186, Table2[AwayTeam], S$1)+SUMIFS(Table2[NewPointsHome],Table2[GameDate], "&lt;=" &amp; $A186, Table2[HomeTeam], S$1)</f>
        <v>18</v>
      </c>
      <c r="T186" s="145">
        <f>SUMIFS(Table2[NewPointsAway],Table2[GameDate], "&lt;=" &amp; $A186, Table2[AwayTeam], T$1)+SUMIFS(Table2[NewPointsHome],Table2[GameDate], "&lt;=" &amp; $A186, Table2[HomeTeam], T$1)</f>
        <v>20</v>
      </c>
      <c r="U186" s="145">
        <f>SUMIFS(Table2[NewPointsAway],Table2[GameDate], "&lt;=" &amp; $A186, Table2[AwayTeam], U$1)+SUMIFS(Table2[NewPointsHome],Table2[GameDate], "&lt;=" &amp; $A186, Table2[HomeTeam], U$1)</f>
        <v>20</v>
      </c>
      <c r="V186" s="145">
        <f>SUMIFS(Table2[NewPointsAway],Table2[GameDate], "&lt;=" &amp; $A186, Table2[AwayTeam], V$1)+SUMIFS(Table2[NewPointsHome],Table2[GameDate], "&lt;=" &amp; $A186, Table2[HomeTeam], V$1)</f>
        <v>19</v>
      </c>
      <c r="W186" s="145">
        <f>SUMIFS(Table2[NewPointsAway],Table2[GameDate], "&lt;=" &amp; $A186, Table2[AwayTeam], W$1)+SUMIFS(Table2[NewPointsHome],Table2[GameDate], "&lt;=" &amp; $A186, Table2[HomeTeam], W$1)</f>
        <v>21</v>
      </c>
      <c r="X186" s="145">
        <f>SUMIFS(Table2[NewPointsAway],Table2[GameDate], "&lt;=" &amp; $A186, Table2[AwayTeam], X$1)+SUMIFS(Table2[NewPointsHome],Table2[GameDate], "&lt;=" &amp; $A186, Table2[HomeTeam], X$1)</f>
        <v>19</v>
      </c>
      <c r="Y186" s="145">
        <f>SUMIFS(Table2[NewPointsAway],Table2[GameDate], "&lt;=" &amp; $A186, Table2[AwayTeam], Y$1)+SUMIFS(Table2[NewPointsHome],Table2[GameDate], "&lt;=" &amp; $A186, Table2[HomeTeam], Y$1)</f>
        <v>19</v>
      </c>
      <c r="Z186" s="145">
        <f>SUMIFS(Table2[NewPointsAway],Table2[GameDate], "&lt;=" &amp; $A186, Table2[AwayTeam], Z$1)+SUMIFS(Table2[NewPointsHome],Table2[GameDate], "&lt;=" &amp; $A186, Table2[HomeTeam], Z$1)</f>
        <v>15</v>
      </c>
      <c r="AA186" s="145">
        <f>SUMIFS(Table2[NewPointsAway],Table2[GameDate], "&lt;=" &amp; $A186, Table2[AwayTeam], AA$1)+SUMIFS(Table2[NewPointsHome],Table2[GameDate], "&lt;=" &amp; $A186, Table2[HomeTeam], AA$1)</f>
        <v>18</v>
      </c>
      <c r="AB186" s="145">
        <f>SUMIFS(Table2[NewPointsAway],Table2[GameDate], "&lt;=" &amp; $A186, Table2[AwayTeam], AB$1)+SUMIFS(Table2[NewPointsHome],Table2[GameDate], "&lt;=" &amp; $A186, Table2[HomeTeam], AB$1)</f>
        <v>17</v>
      </c>
      <c r="AC186" s="145">
        <f>SUMIFS(Table2[NewPointsAway],Table2[GameDate], "&lt;=" &amp; $A186, Table2[AwayTeam], AC$1)+SUMIFS(Table2[NewPointsHome],Table2[GameDate], "&lt;=" &amp; $A186, Table2[HomeTeam], AC$1)</f>
        <v>18</v>
      </c>
      <c r="AD186" s="145">
        <f>SUMIFS(Table2[NewPointsAway],Table2[GameDate], "&lt;=" &amp; $A186, Table2[AwayTeam], AD$1)+SUMIFS(Table2[NewPointsHome],Table2[GameDate], "&lt;=" &amp; $A186, Table2[HomeTeam], AD$1)</f>
        <v>17</v>
      </c>
      <c r="AE186" s="145">
        <f>SUMIFS(Table2[NewPointsAway],Table2[GameDate], "&lt;=" &amp; $A186, Table2[AwayTeam], AE$1)+SUMIFS(Table2[NewPointsHome],Table2[GameDate], "&lt;=" &amp; $A186, Table2[HomeTeam], AE$1)</f>
        <v>18</v>
      </c>
      <c r="AF186" s="145">
        <f>SUMIFS(Table2[NewPointsAway],Table2[GameDate], "&lt;=" &amp; $A186, Table2[AwayTeam], AF$1)+SUMIFS(Table2[NewPointsHome],Table2[GameDate], "&lt;=" &amp; $A186, Table2[HomeTeam], AF$1)</f>
        <v>20</v>
      </c>
      <c r="AG186" s="145">
        <f>SUMIFS(Table2[NewPointsAway],Table2[GameDate], "&lt;=" &amp; $A186, Table2[AwayTeam], AG$1)+SUMIFS(Table2[NewPointsHome],Table2[GameDate], "&lt;=" &amp; $A186, Table2[HomeTeam], AG$1)</f>
        <v>17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23</v>
      </c>
      <c r="C187" s="145">
        <f>SUMIFS(Table2[NewPointsAway],Table2[GameDate], "&lt;=" &amp; $A187, Table2[AwayTeam], C$1)+SUMIFS(Table2[NewPointsHome],Table2[GameDate], "&lt;=" &amp; $A187, Table2[HomeTeam], C$1)</f>
        <v>22</v>
      </c>
      <c r="D187" s="145">
        <f>SUMIFS(Table2[NewPointsAway],Table2[GameDate], "&lt;=" &amp; $A187, Table2[AwayTeam], D$1)+SUMIFS(Table2[NewPointsHome],Table2[GameDate], "&lt;=" &amp; $A187, Table2[HomeTeam], D$1)</f>
        <v>14</v>
      </c>
      <c r="E187" s="145">
        <f>SUMIFS(Table2[NewPointsAway],Table2[GameDate], "&lt;=" &amp; $A187, Table2[AwayTeam], E$1)+SUMIFS(Table2[NewPointsHome],Table2[GameDate], "&lt;=" &amp; $A187, Table2[HomeTeam], E$1)</f>
        <v>22</v>
      </c>
      <c r="F187" s="145">
        <f>SUMIFS(Table2[NewPointsAway],Table2[GameDate], "&lt;=" &amp; $A187, Table2[AwayTeam], F$1)+SUMIFS(Table2[NewPointsHome],Table2[GameDate], "&lt;=" &amp; $A187, Table2[HomeTeam], F$1)</f>
        <v>17</v>
      </c>
      <c r="G187" s="145">
        <f>SUMIFS(Table2[NewPointsAway],Table2[GameDate], "&lt;=" &amp; $A187, Table2[AwayTeam], G$1)+SUMIFS(Table2[NewPointsHome],Table2[GameDate], "&lt;=" &amp; $A187, Table2[HomeTeam], G$1)</f>
        <v>10</v>
      </c>
      <c r="H187" s="145">
        <f>SUMIFS(Table2[NewPointsAway],Table2[GameDate], "&lt;=" &amp; $A187, Table2[AwayTeam], H$1)+SUMIFS(Table2[NewPointsHome],Table2[GameDate], "&lt;=" &amp; $A187, Table2[HomeTeam], H$1)</f>
        <v>19</v>
      </c>
      <c r="I187" s="145">
        <f>SUMIFS(Table2[NewPointsAway],Table2[GameDate], "&lt;=" &amp; $A187, Table2[AwayTeam], I$1)+SUMIFS(Table2[NewPointsHome],Table2[GameDate], "&lt;=" &amp; $A187, Table2[HomeTeam], I$1)</f>
        <v>27</v>
      </c>
      <c r="J187" s="145">
        <f>SUMIFS(Table2[NewPointsAway],Table2[GameDate], "&lt;=" &amp; $A187, Table2[AwayTeam], J$1)+SUMIFS(Table2[NewPointsHome],Table2[GameDate], "&lt;=" &amp; $A187, Table2[HomeTeam], J$1)</f>
        <v>23</v>
      </c>
      <c r="K187" s="145">
        <f>SUMIFS(Table2[NewPointsAway],Table2[GameDate], "&lt;=" &amp; $A187, Table2[AwayTeam], K$1)+SUMIFS(Table2[NewPointsHome],Table2[GameDate], "&lt;=" &amp; $A187, Table2[HomeTeam], K$1)</f>
        <v>18</v>
      </c>
      <c r="L187" s="145">
        <f>SUMIFS(Table2[NewPointsAway],Table2[GameDate], "&lt;=" &amp; $A187, Table2[AwayTeam], L$1)+SUMIFS(Table2[NewPointsHome],Table2[GameDate], "&lt;=" &amp; $A187, Table2[HomeTeam], L$1)</f>
        <v>20</v>
      </c>
      <c r="M187" s="145">
        <f>SUMIFS(Table2[NewPointsAway],Table2[GameDate], "&lt;=" &amp; $A187, Table2[AwayTeam], M$1)+SUMIFS(Table2[NewPointsHome],Table2[GameDate], "&lt;=" &amp; $A187, Table2[HomeTeam], M$1)</f>
        <v>17</v>
      </c>
      <c r="N187" s="145">
        <f>SUMIFS(Table2[NewPointsAway],Table2[GameDate], "&lt;=" &amp; $A187, Table2[AwayTeam], N$1)+SUMIFS(Table2[NewPointsHome],Table2[GameDate], "&lt;=" &amp; $A187, Table2[HomeTeam], N$1)</f>
        <v>20</v>
      </c>
      <c r="O187" s="145">
        <f>SUMIFS(Table2[NewPointsAway],Table2[GameDate], "&lt;=" &amp; $A187, Table2[AwayTeam], O$1)+SUMIFS(Table2[NewPointsHome],Table2[GameDate], "&lt;=" &amp; $A187, Table2[HomeTeam], O$1)</f>
        <v>18</v>
      </c>
      <c r="P187" s="145">
        <f>SUMIFS(Table2[NewPointsAway],Table2[GameDate], "&lt;=" &amp; $A187, Table2[AwayTeam], P$1)+SUMIFS(Table2[NewPointsHome],Table2[GameDate], "&lt;=" &amp; $A187, Table2[HomeTeam], P$1)</f>
        <v>22</v>
      </c>
      <c r="Q187" s="145">
        <f>SUMIFS(Table2[NewPointsAway],Table2[GameDate], "&lt;=" &amp; $A187, Table2[AwayTeam], Q$1)+SUMIFS(Table2[NewPointsHome],Table2[GameDate], "&lt;=" &amp; $A187, Table2[HomeTeam], Q$1)</f>
        <v>23</v>
      </c>
      <c r="R187" s="145">
        <f>SUMIFS(Table2[NewPointsAway],Table2[GameDate], "&lt;=" &amp; $A187, Table2[AwayTeam], R$1)+SUMIFS(Table2[NewPointsHome],Table2[GameDate], "&lt;=" &amp; $A187, Table2[HomeTeam], R$1)</f>
        <v>14</v>
      </c>
      <c r="S187" s="145">
        <f>SUMIFS(Table2[NewPointsAway],Table2[GameDate], "&lt;=" &amp; $A187, Table2[AwayTeam], S$1)+SUMIFS(Table2[NewPointsHome],Table2[GameDate], "&lt;=" &amp; $A187, Table2[HomeTeam], S$1)</f>
        <v>18</v>
      </c>
      <c r="T187" s="145">
        <f>SUMIFS(Table2[NewPointsAway],Table2[GameDate], "&lt;=" &amp; $A187, Table2[AwayTeam], T$1)+SUMIFS(Table2[NewPointsHome],Table2[GameDate], "&lt;=" &amp; $A187, Table2[HomeTeam], T$1)</f>
        <v>20</v>
      </c>
      <c r="U187" s="145">
        <f>SUMIFS(Table2[NewPointsAway],Table2[GameDate], "&lt;=" &amp; $A187, Table2[AwayTeam], U$1)+SUMIFS(Table2[NewPointsHome],Table2[GameDate], "&lt;=" &amp; $A187, Table2[HomeTeam], U$1)</f>
        <v>20</v>
      </c>
      <c r="V187" s="145">
        <f>SUMIFS(Table2[NewPointsAway],Table2[GameDate], "&lt;=" &amp; $A187, Table2[AwayTeam], V$1)+SUMIFS(Table2[NewPointsHome],Table2[GameDate], "&lt;=" &amp; $A187, Table2[HomeTeam], V$1)</f>
        <v>19</v>
      </c>
      <c r="W187" s="145">
        <f>SUMIFS(Table2[NewPointsAway],Table2[GameDate], "&lt;=" &amp; $A187, Table2[AwayTeam], W$1)+SUMIFS(Table2[NewPointsHome],Table2[GameDate], "&lt;=" &amp; $A187, Table2[HomeTeam], W$1)</f>
        <v>21</v>
      </c>
      <c r="X187" s="145">
        <f>SUMIFS(Table2[NewPointsAway],Table2[GameDate], "&lt;=" &amp; $A187, Table2[AwayTeam], X$1)+SUMIFS(Table2[NewPointsHome],Table2[GameDate], "&lt;=" &amp; $A187, Table2[HomeTeam], X$1)</f>
        <v>19</v>
      </c>
      <c r="Y187" s="145">
        <f>SUMIFS(Table2[NewPointsAway],Table2[GameDate], "&lt;=" &amp; $A187, Table2[AwayTeam], Y$1)+SUMIFS(Table2[NewPointsHome],Table2[GameDate], "&lt;=" &amp; $A187, Table2[HomeTeam], Y$1)</f>
        <v>19</v>
      </c>
      <c r="Z187" s="145">
        <f>SUMIFS(Table2[NewPointsAway],Table2[GameDate], "&lt;=" &amp; $A187, Table2[AwayTeam], Z$1)+SUMIFS(Table2[NewPointsHome],Table2[GameDate], "&lt;=" &amp; $A187, Table2[HomeTeam], Z$1)</f>
        <v>15</v>
      </c>
      <c r="AA187" s="145">
        <f>SUMIFS(Table2[NewPointsAway],Table2[GameDate], "&lt;=" &amp; $A187, Table2[AwayTeam], AA$1)+SUMIFS(Table2[NewPointsHome],Table2[GameDate], "&lt;=" &amp; $A187, Table2[HomeTeam], AA$1)</f>
        <v>18</v>
      </c>
      <c r="AB187" s="145">
        <f>SUMIFS(Table2[NewPointsAway],Table2[GameDate], "&lt;=" &amp; $A187, Table2[AwayTeam], AB$1)+SUMIFS(Table2[NewPointsHome],Table2[GameDate], "&lt;=" &amp; $A187, Table2[HomeTeam], AB$1)</f>
        <v>17</v>
      </c>
      <c r="AC187" s="145">
        <f>SUMIFS(Table2[NewPointsAway],Table2[GameDate], "&lt;=" &amp; $A187, Table2[AwayTeam], AC$1)+SUMIFS(Table2[NewPointsHome],Table2[GameDate], "&lt;=" &amp; $A187, Table2[HomeTeam], AC$1)</f>
        <v>18</v>
      </c>
      <c r="AD187" s="145">
        <f>SUMIFS(Table2[NewPointsAway],Table2[GameDate], "&lt;=" &amp; $A187, Table2[AwayTeam], AD$1)+SUMIFS(Table2[NewPointsHome],Table2[GameDate], "&lt;=" &amp; $A187, Table2[HomeTeam], AD$1)</f>
        <v>17</v>
      </c>
      <c r="AE187" s="145">
        <f>SUMIFS(Table2[NewPointsAway],Table2[GameDate], "&lt;=" &amp; $A187, Table2[AwayTeam], AE$1)+SUMIFS(Table2[NewPointsHome],Table2[GameDate], "&lt;=" &amp; $A187, Table2[HomeTeam], AE$1)</f>
        <v>18</v>
      </c>
      <c r="AF187" s="145">
        <f>SUMIFS(Table2[NewPointsAway],Table2[GameDate], "&lt;=" &amp; $A187, Table2[AwayTeam], AF$1)+SUMIFS(Table2[NewPointsHome],Table2[GameDate], "&lt;=" &amp; $A187, Table2[HomeTeam], AF$1)</f>
        <v>20</v>
      </c>
      <c r="AG187" s="145">
        <f>SUMIFS(Table2[NewPointsAway],Table2[GameDate], "&lt;=" &amp; $A187, Table2[AwayTeam], AG$1)+SUMIFS(Table2[NewPointsHome],Table2[GameDate], "&lt;=" &amp; $A187, Table2[HomeTeam], AG$1)</f>
        <v>17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23</v>
      </c>
      <c r="C188" s="145">
        <f>SUMIFS(Table2[NewPointsAway],Table2[GameDate], "&lt;=" &amp; $A188, Table2[AwayTeam], C$1)+SUMIFS(Table2[NewPointsHome],Table2[GameDate], "&lt;=" &amp; $A188, Table2[HomeTeam], C$1)</f>
        <v>22</v>
      </c>
      <c r="D188" s="145">
        <f>SUMIFS(Table2[NewPointsAway],Table2[GameDate], "&lt;=" &amp; $A188, Table2[AwayTeam], D$1)+SUMIFS(Table2[NewPointsHome],Table2[GameDate], "&lt;=" &amp; $A188, Table2[HomeTeam], D$1)</f>
        <v>14</v>
      </c>
      <c r="E188" s="145">
        <f>SUMIFS(Table2[NewPointsAway],Table2[GameDate], "&lt;=" &amp; $A188, Table2[AwayTeam], E$1)+SUMIFS(Table2[NewPointsHome],Table2[GameDate], "&lt;=" &amp; $A188, Table2[HomeTeam], E$1)</f>
        <v>22</v>
      </c>
      <c r="F188" s="145">
        <f>SUMIFS(Table2[NewPointsAway],Table2[GameDate], "&lt;=" &amp; $A188, Table2[AwayTeam], F$1)+SUMIFS(Table2[NewPointsHome],Table2[GameDate], "&lt;=" &amp; $A188, Table2[HomeTeam], F$1)</f>
        <v>17</v>
      </c>
      <c r="G188" s="145">
        <f>SUMIFS(Table2[NewPointsAway],Table2[GameDate], "&lt;=" &amp; $A188, Table2[AwayTeam], G$1)+SUMIFS(Table2[NewPointsHome],Table2[GameDate], "&lt;=" &amp; $A188, Table2[HomeTeam], G$1)</f>
        <v>10</v>
      </c>
      <c r="H188" s="145">
        <f>SUMIFS(Table2[NewPointsAway],Table2[GameDate], "&lt;=" &amp; $A188, Table2[AwayTeam], H$1)+SUMIFS(Table2[NewPointsHome],Table2[GameDate], "&lt;=" &amp; $A188, Table2[HomeTeam], H$1)</f>
        <v>19</v>
      </c>
      <c r="I188" s="145">
        <f>SUMIFS(Table2[NewPointsAway],Table2[GameDate], "&lt;=" &amp; $A188, Table2[AwayTeam], I$1)+SUMIFS(Table2[NewPointsHome],Table2[GameDate], "&lt;=" &amp; $A188, Table2[HomeTeam], I$1)</f>
        <v>27</v>
      </c>
      <c r="J188" s="145">
        <f>SUMIFS(Table2[NewPointsAway],Table2[GameDate], "&lt;=" &amp; $A188, Table2[AwayTeam], J$1)+SUMIFS(Table2[NewPointsHome],Table2[GameDate], "&lt;=" &amp; $A188, Table2[HomeTeam], J$1)</f>
        <v>23</v>
      </c>
      <c r="K188" s="145">
        <f>SUMIFS(Table2[NewPointsAway],Table2[GameDate], "&lt;=" &amp; $A188, Table2[AwayTeam], K$1)+SUMIFS(Table2[NewPointsHome],Table2[GameDate], "&lt;=" &amp; $A188, Table2[HomeTeam], K$1)</f>
        <v>18</v>
      </c>
      <c r="L188" s="145">
        <f>SUMIFS(Table2[NewPointsAway],Table2[GameDate], "&lt;=" &amp; $A188, Table2[AwayTeam], L$1)+SUMIFS(Table2[NewPointsHome],Table2[GameDate], "&lt;=" &amp; $A188, Table2[HomeTeam], L$1)</f>
        <v>20</v>
      </c>
      <c r="M188" s="145">
        <f>SUMIFS(Table2[NewPointsAway],Table2[GameDate], "&lt;=" &amp; $A188, Table2[AwayTeam], M$1)+SUMIFS(Table2[NewPointsHome],Table2[GameDate], "&lt;=" &amp; $A188, Table2[HomeTeam], M$1)</f>
        <v>17</v>
      </c>
      <c r="N188" s="145">
        <f>SUMIFS(Table2[NewPointsAway],Table2[GameDate], "&lt;=" &amp; $A188, Table2[AwayTeam], N$1)+SUMIFS(Table2[NewPointsHome],Table2[GameDate], "&lt;=" &amp; $A188, Table2[HomeTeam], N$1)</f>
        <v>20</v>
      </c>
      <c r="O188" s="145">
        <f>SUMIFS(Table2[NewPointsAway],Table2[GameDate], "&lt;=" &amp; $A188, Table2[AwayTeam], O$1)+SUMIFS(Table2[NewPointsHome],Table2[GameDate], "&lt;=" &amp; $A188, Table2[HomeTeam], O$1)</f>
        <v>18</v>
      </c>
      <c r="P188" s="145">
        <f>SUMIFS(Table2[NewPointsAway],Table2[GameDate], "&lt;=" &amp; $A188, Table2[AwayTeam], P$1)+SUMIFS(Table2[NewPointsHome],Table2[GameDate], "&lt;=" &amp; $A188, Table2[HomeTeam], P$1)</f>
        <v>22</v>
      </c>
      <c r="Q188" s="145">
        <f>SUMIFS(Table2[NewPointsAway],Table2[GameDate], "&lt;=" &amp; $A188, Table2[AwayTeam], Q$1)+SUMIFS(Table2[NewPointsHome],Table2[GameDate], "&lt;=" &amp; $A188, Table2[HomeTeam], Q$1)</f>
        <v>23</v>
      </c>
      <c r="R188" s="145">
        <f>SUMIFS(Table2[NewPointsAway],Table2[GameDate], "&lt;=" &amp; $A188, Table2[AwayTeam], R$1)+SUMIFS(Table2[NewPointsHome],Table2[GameDate], "&lt;=" &amp; $A188, Table2[HomeTeam], R$1)</f>
        <v>14</v>
      </c>
      <c r="S188" s="145">
        <f>SUMIFS(Table2[NewPointsAway],Table2[GameDate], "&lt;=" &amp; $A188, Table2[AwayTeam], S$1)+SUMIFS(Table2[NewPointsHome],Table2[GameDate], "&lt;=" &amp; $A188, Table2[HomeTeam], S$1)</f>
        <v>18</v>
      </c>
      <c r="T188" s="145">
        <f>SUMIFS(Table2[NewPointsAway],Table2[GameDate], "&lt;=" &amp; $A188, Table2[AwayTeam], T$1)+SUMIFS(Table2[NewPointsHome],Table2[GameDate], "&lt;=" &amp; $A188, Table2[HomeTeam], T$1)</f>
        <v>20</v>
      </c>
      <c r="U188" s="145">
        <f>SUMIFS(Table2[NewPointsAway],Table2[GameDate], "&lt;=" &amp; $A188, Table2[AwayTeam], U$1)+SUMIFS(Table2[NewPointsHome],Table2[GameDate], "&lt;=" &amp; $A188, Table2[HomeTeam], U$1)</f>
        <v>20</v>
      </c>
      <c r="V188" s="145">
        <f>SUMIFS(Table2[NewPointsAway],Table2[GameDate], "&lt;=" &amp; $A188, Table2[AwayTeam], V$1)+SUMIFS(Table2[NewPointsHome],Table2[GameDate], "&lt;=" &amp; $A188, Table2[HomeTeam], V$1)</f>
        <v>19</v>
      </c>
      <c r="W188" s="145">
        <f>SUMIFS(Table2[NewPointsAway],Table2[GameDate], "&lt;=" &amp; $A188, Table2[AwayTeam], W$1)+SUMIFS(Table2[NewPointsHome],Table2[GameDate], "&lt;=" &amp; $A188, Table2[HomeTeam], W$1)</f>
        <v>21</v>
      </c>
      <c r="X188" s="145">
        <f>SUMIFS(Table2[NewPointsAway],Table2[GameDate], "&lt;=" &amp; $A188, Table2[AwayTeam], X$1)+SUMIFS(Table2[NewPointsHome],Table2[GameDate], "&lt;=" &amp; $A188, Table2[HomeTeam], X$1)</f>
        <v>19</v>
      </c>
      <c r="Y188" s="145">
        <f>SUMIFS(Table2[NewPointsAway],Table2[GameDate], "&lt;=" &amp; $A188, Table2[AwayTeam], Y$1)+SUMIFS(Table2[NewPointsHome],Table2[GameDate], "&lt;=" &amp; $A188, Table2[HomeTeam], Y$1)</f>
        <v>19</v>
      </c>
      <c r="Z188" s="145">
        <f>SUMIFS(Table2[NewPointsAway],Table2[GameDate], "&lt;=" &amp; $A188, Table2[AwayTeam], Z$1)+SUMIFS(Table2[NewPointsHome],Table2[GameDate], "&lt;=" &amp; $A188, Table2[HomeTeam], Z$1)</f>
        <v>15</v>
      </c>
      <c r="AA188" s="145">
        <f>SUMIFS(Table2[NewPointsAway],Table2[GameDate], "&lt;=" &amp; $A188, Table2[AwayTeam], AA$1)+SUMIFS(Table2[NewPointsHome],Table2[GameDate], "&lt;=" &amp; $A188, Table2[HomeTeam], AA$1)</f>
        <v>18</v>
      </c>
      <c r="AB188" s="145">
        <f>SUMIFS(Table2[NewPointsAway],Table2[GameDate], "&lt;=" &amp; $A188, Table2[AwayTeam], AB$1)+SUMIFS(Table2[NewPointsHome],Table2[GameDate], "&lt;=" &amp; $A188, Table2[HomeTeam], AB$1)</f>
        <v>17</v>
      </c>
      <c r="AC188" s="145">
        <f>SUMIFS(Table2[NewPointsAway],Table2[GameDate], "&lt;=" &amp; $A188, Table2[AwayTeam], AC$1)+SUMIFS(Table2[NewPointsHome],Table2[GameDate], "&lt;=" &amp; $A188, Table2[HomeTeam], AC$1)</f>
        <v>18</v>
      </c>
      <c r="AD188" s="145">
        <f>SUMIFS(Table2[NewPointsAway],Table2[GameDate], "&lt;=" &amp; $A188, Table2[AwayTeam], AD$1)+SUMIFS(Table2[NewPointsHome],Table2[GameDate], "&lt;=" &amp; $A188, Table2[HomeTeam], AD$1)</f>
        <v>17</v>
      </c>
      <c r="AE188" s="145">
        <f>SUMIFS(Table2[NewPointsAway],Table2[GameDate], "&lt;=" &amp; $A188, Table2[AwayTeam], AE$1)+SUMIFS(Table2[NewPointsHome],Table2[GameDate], "&lt;=" &amp; $A188, Table2[HomeTeam], AE$1)</f>
        <v>18</v>
      </c>
      <c r="AF188" s="145">
        <f>SUMIFS(Table2[NewPointsAway],Table2[GameDate], "&lt;=" &amp; $A188, Table2[AwayTeam], AF$1)+SUMIFS(Table2[NewPointsHome],Table2[GameDate], "&lt;=" &amp; $A188, Table2[HomeTeam], AF$1)</f>
        <v>20</v>
      </c>
      <c r="AG188" s="145">
        <f>SUMIFS(Table2[NewPointsAway],Table2[GameDate], "&lt;=" &amp; $A188, Table2[AwayTeam], AG$1)+SUMIFS(Table2[NewPointsHome],Table2[GameDate], "&lt;=" &amp; $A188, Table2[HomeTeam], AG$1)</f>
        <v>17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23</v>
      </c>
      <c r="C189" s="145">
        <f>SUMIFS(Table2[NewPointsAway],Table2[GameDate], "&lt;=" &amp; $A189, Table2[AwayTeam], C$1)+SUMIFS(Table2[NewPointsHome],Table2[GameDate], "&lt;=" &amp; $A189, Table2[HomeTeam], C$1)</f>
        <v>22</v>
      </c>
      <c r="D189" s="145">
        <f>SUMIFS(Table2[NewPointsAway],Table2[GameDate], "&lt;=" &amp; $A189, Table2[AwayTeam], D$1)+SUMIFS(Table2[NewPointsHome],Table2[GameDate], "&lt;=" &amp; $A189, Table2[HomeTeam], D$1)</f>
        <v>14</v>
      </c>
      <c r="E189" s="145">
        <f>SUMIFS(Table2[NewPointsAway],Table2[GameDate], "&lt;=" &amp; $A189, Table2[AwayTeam], E$1)+SUMIFS(Table2[NewPointsHome],Table2[GameDate], "&lt;=" &amp; $A189, Table2[HomeTeam], E$1)</f>
        <v>22</v>
      </c>
      <c r="F189" s="145">
        <f>SUMIFS(Table2[NewPointsAway],Table2[GameDate], "&lt;=" &amp; $A189, Table2[AwayTeam], F$1)+SUMIFS(Table2[NewPointsHome],Table2[GameDate], "&lt;=" &amp; $A189, Table2[HomeTeam], F$1)</f>
        <v>17</v>
      </c>
      <c r="G189" s="145">
        <f>SUMIFS(Table2[NewPointsAway],Table2[GameDate], "&lt;=" &amp; $A189, Table2[AwayTeam], G$1)+SUMIFS(Table2[NewPointsHome],Table2[GameDate], "&lt;=" &amp; $A189, Table2[HomeTeam], G$1)</f>
        <v>10</v>
      </c>
      <c r="H189" s="145">
        <f>SUMIFS(Table2[NewPointsAway],Table2[GameDate], "&lt;=" &amp; $A189, Table2[AwayTeam], H$1)+SUMIFS(Table2[NewPointsHome],Table2[GameDate], "&lt;=" &amp; $A189, Table2[HomeTeam], H$1)</f>
        <v>19</v>
      </c>
      <c r="I189" s="145">
        <f>SUMIFS(Table2[NewPointsAway],Table2[GameDate], "&lt;=" &amp; $A189, Table2[AwayTeam], I$1)+SUMIFS(Table2[NewPointsHome],Table2[GameDate], "&lt;=" &amp; $A189, Table2[HomeTeam], I$1)</f>
        <v>27</v>
      </c>
      <c r="J189" s="145">
        <f>SUMIFS(Table2[NewPointsAway],Table2[GameDate], "&lt;=" &amp; $A189, Table2[AwayTeam], J$1)+SUMIFS(Table2[NewPointsHome],Table2[GameDate], "&lt;=" &amp; $A189, Table2[HomeTeam], J$1)</f>
        <v>23</v>
      </c>
      <c r="K189" s="145">
        <f>SUMIFS(Table2[NewPointsAway],Table2[GameDate], "&lt;=" &amp; $A189, Table2[AwayTeam], K$1)+SUMIFS(Table2[NewPointsHome],Table2[GameDate], "&lt;=" &amp; $A189, Table2[HomeTeam], K$1)</f>
        <v>18</v>
      </c>
      <c r="L189" s="145">
        <f>SUMIFS(Table2[NewPointsAway],Table2[GameDate], "&lt;=" &amp; $A189, Table2[AwayTeam], L$1)+SUMIFS(Table2[NewPointsHome],Table2[GameDate], "&lt;=" &amp; $A189, Table2[HomeTeam], L$1)</f>
        <v>20</v>
      </c>
      <c r="M189" s="145">
        <f>SUMIFS(Table2[NewPointsAway],Table2[GameDate], "&lt;=" &amp; $A189, Table2[AwayTeam], M$1)+SUMIFS(Table2[NewPointsHome],Table2[GameDate], "&lt;=" &amp; $A189, Table2[HomeTeam], M$1)</f>
        <v>17</v>
      </c>
      <c r="N189" s="145">
        <f>SUMIFS(Table2[NewPointsAway],Table2[GameDate], "&lt;=" &amp; $A189, Table2[AwayTeam], N$1)+SUMIFS(Table2[NewPointsHome],Table2[GameDate], "&lt;=" &amp; $A189, Table2[HomeTeam], N$1)</f>
        <v>20</v>
      </c>
      <c r="O189" s="145">
        <f>SUMIFS(Table2[NewPointsAway],Table2[GameDate], "&lt;=" &amp; $A189, Table2[AwayTeam], O$1)+SUMIFS(Table2[NewPointsHome],Table2[GameDate], "&lt;=" &amp; $A189, Table2[HomeTeam], O$1)</f>
        <v>18</v>
      </c>
      <c r="P189" s="145">
        <f>SUMIFS(Table2[NewPointsAway],Table2[GameDate], "&lt;=" &amp; $A189, Table2[AwayTeam], P$1)+SUMIFS(Table2[NewPointsHome],Table2[GameDate], "&lt;=" &amp; $A189, Table2[HomeTeam], P$1)</f>
        <v>22</v>
      </c>
      <c r="Q189" s="145">
        <f>SUMIFS(Table2[NewPointsAway],Table2[GameDate], "&lt;=" &amp; $A189, Table2[AwayTeam], Q$1)+SUMIFS(Table2[NewPointsHome],Table2[GameDate], "&lt;=" &amp; $A189, Table2[HomeTeam], Q$1)</f>
        <v>23</v>
      </c>
      <c r="R189" s="145">
        <f>SUMIFS(Table2[NewPointsAway],Table2[GameDate], "&lt;=" &amp; $A189, Table2[AwayTeam], R$1)+SUMIFS(Table2[NewPointsHome],Table2[GameDate], "&lt;=" &amp; $A189, Table2[HomeTeam], R$1)</f>
        <v>14</v>
      </c>
      <c r="S189" s="145">
        <f>SUMIFS(Table2[NewPointsAway],Table2[GameDate], "&lt;=" &amp; $A189, Table2[AwayTeam], S$1)+SUMIFS(Table2[NewPointsHome],Table2[GameDate], "&lt;=" &amp; $A189, Table2[HomeTeam], S$1)</f>
        <v>18</v>
      </c>
      <c r="T189" s="145">
        <f>SUMIFS(Table2[NewPointsAway],Table2[GameDate], "&lt;=" &amp; $A189, Table2[AwayTeam], T$1)+SUMIFS(Table2[NewPointsHome],Table2[GameDate], "&lt;=" &amp; $A189, Table2[HomeTeam], T$1)</f>
        <v>20</v>
      </c>
      <c r="U189" s="145">
        <f>SUMIFS(Table2[NewPointsAway],Table2[GameDate], "&lt;=" &amp; $A189, Table2[AwayTeam], U$1)+SUMIFS(Table2[NewPointsHome],Table2[GameDate], "&lt;=" &amp; $A189, Table2[HomeTeam], U$1)</f>
        <v>20</v>
      </c>
      <c r="V189" s="145">
        <f>SUMIFS(Table2[NewPointsAway],Table2[GameDate], "&lt;=" &amp; $A189, Table2[AwayTeam], V$1)+SUMIFS(Table2[NewPointsHome],Table2[GameDate], "&lt;=" &amp; $A189, Table2[HomeTeam], V$1)</f>
        <v>19</v>
      </c>
      <c r="W189" s="145">
        <f>SUMIFS(Table2[NewPointsAway],Table2[GameDate], "&lt;=" &amp; $A189, Table2[AwayTeam], W$1)+SUMIFS(Table2[NewPointsHome],Table2[GameDate], "&lt;=" &amp; $A189, Table2[HomeTeam], W$1)</f>
        <v>21</v>
      </c>
      <c r="X189" s="145">
        <f>SUMIFS(Table2[NewPointsAway],Table2[GameDate], "&lt;=" &amp; $A189, Table2[AwayTeam], X$1)+SUMIFS(Table2[NewPointsHome],Table2[GameDate], "&lt;=" &amp; $A189, Table2[HomeTeam], X$1)</f>
        <v>19</v>
      </c>
      <c r="Y189" s="145">
        <f>SUMIFS(Table2[NewPointsAway],Table2[GameDate], "&lt;=" &amp; $A189, Table2[AwayTeam], Y$1)+SUMIFS(Table2[NewPointsHome],Table2[GameDate], "&lt;=" &amp; $A189, Table2[HomeTeam], Y$1)</f>
        <v>19</v>
      </c>
      <c r="Z189" s="145">
        <f>SUMIFS(Table2[NewPointsAway],Table2[GameDate], "&lt;=" &amp; $A189, Table2[AwayTeam], Z$1)+SUMIFS(Table2[NewPointsHome],Table2[GameDate], "&lt;=" &amp; $A189, Table2[HomeTeam], Z$1)</f>
        <v>15</v>
      </c>
      <c r="AA189" s="145">
        <f>SUMIFS(Table2[NewPointsAway],Table2[GameDate], "&lt;=" &amp; $A189, Table2[AwayTeam], AA$1)+SUMIFS(Table2[NewPointsHome],Table2[GameDate], "&lt;=" &amp; $A189, Table2[HomeTeam], AA$1)</f>
        <v>18</v>
      </c>
      <c r="AB189" s="145">
        <f>SUMIFS(Table2[NewPointsAway],Table2[GameDate], "&lt;=" &amp; $A189, Table2[AwayTeam], AB$1)+SUMIFS(Table2[NewPointsHome],Table2[GameDate], "&lt;=" &amp; $A189, Table2[HomeTeam], AB$1)</f>
        <v>17</v>
      </c>
      <c r="AC189" s="145">
        <f>SUMIFS(Table2[NewPointsAway],Table2[GameDate], "&lt;=" &amp; $A189, Table2[AwayTeam], AC$1)+SUMIFS(Table2[NewPointsHome],Table2[GameDate], "&lt;=" &amp; $A189, Table2[HomeTeam], AC$1)</f>
        <v>18</v>
      </c>
      <c r="AD189" s="145">
        <f>SUMIFS(Table2[NewPointsAway],Table2[GameDate], "&lt;=" &amp; $A189, Table2[AwayTeam], AD$1)+SUMIFS(Table2[NewPointsHome],Table2[GameDate], "&lt;=" &amp; $A189, Table2[HomeTeam], AD$1)</f>
        <v>17</v>
      </c>
      <c r="AE189" s="145">
        <f>SUMIFS(Table2[NewPointsAway],Table2[GameDate], "&lt;=" &amp; $A189, Table2[AwayTeam], AE$1)+SUMIFS(Table2[NewPointsHome],Table2[GameDate], "&lt;=" &amp; $A189, Table2[HomeTeam], AE$1)</f>
        <v>18</v>
      </c>
      <c r="AF189" s="145">
        <f>SUMIFS(Table2[NewPointsAway],Table2[GameDate], "&lt;=" &amp; $A189, Table2[AwayTeam], AF$1)+SUMIFS(Table2[NewPointsHome],Table2[GameDate], "&lt;=" &amp; $A189, Table2[HomeTeam], AF$1)</f>
        <v>20</v>
      </c>
      <c r="AG189" s="145">
        <f>SUMIFS(Table2[NewPointsAway],Table2[GameDate], "&lt;=" &amp; $A189, Table2[AwayTeam], AG$1)+SUMIFS(Table2[NewPointsHome],Table2[GameDate], "&lt;=" &amp; $A189, Table2[HomeTeam], AG$1)</f>
        <v>17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23</v>
      </c>
      <c r="C190" s="145">
        <f>SUMIFS(Table2[NewPointsAway],Table2[GameDate], "&lt;=" &amp; $A190, Table2[AwayTeam], C$1)+SUMIFS(Table2[NewPointsHome],Table2[GameDate], "&lt;=" &amp; $A190, Table2[HomeTeam], C$1)</f>
        <v>22</v>
      </c>
      <c r="D190" s="145">
        <f>SUMIFS(Table2[NewPointsAway],Table2[GameDate], "&lt;=" &amp; $A190, Table2[AwayTeam], D$1)+SUMIFS(Table2[NewPointsHome],Table2[GameDate], "&lt;=" &amp; $A190, Table2[HomeTeam], D$1)</f>
        <v>14</v>
      </c>
      <c r="E190" s="145">
        <f>SUMIFS(Table2[NewPointsAway],Table2[GameDate], "&lt;=" &amp; $A190, Table2[AwayTeam], E$1)+SUMIFS(Table2[NewPointsHome],Table2[GameDate], "&lt;=" &amp; $A190, Table2[HomeTeam], E$1)</f>
        <v>22</v>
      </c>
      <c r="F190" s="145">
        <f>SUMIFS(Table2[NewPointsAway],Table2[GameDate], "&lt;=" &amp; $A190, Table2[AwayTeam], F$1)+SUMIFS(Table2[NewPointsHome],Table2[GameDate], "&lt;=" &amp; $A190, Table2[HomeTeam], F$1)</f>
        <v>17</v>
      </c>
      <c r="G190" s="145">
        <f>SUMIFS(Table2[NewPointsAway],Table2[GameDate], "&lt;=" &amp; $A190, Table2[AwayTeam], G$1)+SUMIFS(Table2[NewPointsHome],Table2[GameDate], "&lt;=" &amp; $A190, Table2[HomeTeam], G$1)</f>
        <v>10</v>
      </c>
      <c r="H190" s="145">
        <f>SUMIFS(Table2[NewPointsAway],Table2[GameDate], "&lt;=" &amp; $A190, Table2[AwayTeam], H$1)+SUMIFS(Table2[NewPointsHome],Table2[GameDate], "&lt;=" &amp; $A190, Table2[HomeTeam], H$1)</f>
        <v>19</v>
      </c>
      <c r="I190" s="145">
        <f>SUMIFS(Table2[NewPointsAway],Table2[GameDate], "&lt;=" &amp; $A190, Table2[AwayTeam], I$1)+SUMIFS(Table2[NewPointsHome],Table2[GameDate], "&lt;=" &amp; $A190, Table2[HomeTeam], I$1)</f>
        <v>27</v>
      </c>
      <c r="J190" s="145">
        <f>SUMIFS(Table2[NewPointsAway],Table2[GameDate], "&lt;=" &amp; $A190, Table2[AwayTeam], J$1)+SUMIFS(Table2[NewPointsHome],Table2[GameDate], "&lt;=" &amp; $A190, Table2[HomeTeam], J$1)</f>
        <v>23</v>
      </c>
      <c r="K190" s="145">
        <f>SUMIFS(Table2[NewPointsAway],Table2[GameDate], "&lt;=" &amp; $A190, Table2[AwayTeam], K$1)+SUMIFS(Table2[NewPointsHome],Table2[GameDate], "&lt;=" &amp; $A190, Table2[HomeTeam], K$1)</f>
        <v>18</v>
      </c>
      <c r="L190" s="145">
        <f>SUMIFS(Table2[NewPointsAway],Table2[GameDate], "&lt;=" &amp; $A190, Table2[AwayTeam], L$1)+SUMIFS(Table2[NewPointsHome],Table2[GameDate], "&lt;=" &amp; $A190, Table2[HomeTeam], L$1)</f>
        <v>20</v>
      </c>
      <c r="M190" s="145">
        <f>SUMIFS(Table2[NewPointsAway],Table2[GameDate], "&lt;=" &amp; $A190, Table2[AwayTeam], M$1)+SUMIFS(Table2[NewPointsHome],Table2[GameDate], "&lt;=" &amp; $A190, Table2[HomeTeam], M$1)</f>
        <v>17</v>
      </c>
      <c r="N190" s="145">
        <f>SUMIFS(Table2[NewPointsAway],Table2[GameDate], "&lt;=" &amp; $A190, Table2[AwayTeam], N$1)+SUMIFS(Table2[NewPointsHome],Table2[GameDate], "&lt;=" &amp; $A190, Table2[HomeTeam], N$1)</f>
        <v>20</v>
      </c>
      <c r="O190" s="145">
        <f>SUMIFS(Table2[NewPointsAway],Table2[GameDate], "&lt;=" &amp; $A190, Table2[AwayTeam], O$1)+SUMIFS(Table2[NewPointsHome],Table2[GameDate], "&lt;=" &amp; $A190, Table2[HomeTeam], O$1)</f>
        <v>18</v>
      </c>
      <c r="P190" s="145">
        <f>SUMIFS(Table2[NewPointsAway],Table2[GameDate], "&lt;=" &amp; $A190, Table2[AwayTeam], P$1)+SUMIFS(Table2[NewPointsHome],Table2[GameDate], "&lt;=" &amp; $A190, Table2[HomeTeam], P$1)</f>
        <v>22</v>
      </c>
      <c r="Q190" s="145">
        <f>SUMIFS(Table2[NewPointsAway],Table2[GameDate], "&lt;=" &amp; $A190, Table2[AwayTeam], Q$1)+SUMIFS(Table2[NewPointsHome],Table2[GameDate], "&lt;=" &amp; $A190, Table2[HomeTeam], Q$1)</f>
        <v>23</v>
      </c>
      <c r="R190" s="145">
        <f>SUMIFS(Table2[NewPointsAway],Table2[GameDate], "&lt;=" &amp; $A190, Table2[AwayTeam], R$1)+SUMIFS(Table2[NewPointsHome],Table2[GameDate], "&lt;=" &amp; $A190, Table2[HomeTeam], R$1)</f>
        <v>14</v>
      </c>
      <c r="S190" s="145">
        <f>SUMIFS(Table2[NewPointsAway],Table2[GameDate], "&lt;=" &amp; $A190, Table2[AwayTeam], S$1)+SUMIFS(Table2[NewPointsHome],Table2[GameDate], "&lt;=" &amp; $A190, Table2[HomeTeam], S$1)</f>
        <v>18</v>
      </c>
      <c r="T190" s="145">
        <f>SUMIFS(Table2[NewPointsAway],Table2[GameDate], "&lt;=" &amp; $A190, Table2[AwayTeam], T$1)+SUMIFS(Table2[NewPointsHome],Table2[GameDate], "&lt;=" &amp; $A190, Table2[HomeTeam], T$1)</f>
        <v>20</v>
      </c>
      <c r="U190" s="145">
        <f>SUMIFS(Table2[NewPointsAway],Table2[GameDate], "&lt;=" &amp; $A190, Table2[AwayTeam], U$1)+SUMIFS(Table2[NewPointsHome],Table2[GameDate], "&lt;=" &amp; $A190, Table2[HomeTeam], U$1)</f>
        <v>20</v>
      </c>
      <c r="V190" s="145">
        <f>SUMIFS(Table2[NewPointsAway],Table2[GameDate], "&lt;=" &amp; $A190, Table2[AwayTeam], V$1)+SUMIFS(Table2[NewPointsHome],Table2[GameDate], "&lt;=" &amp; $A190, Table2[HomeTeam], V$1)</f>
        <v>19</v>
      </c>
      <c r="W190" s="145">
        <f>SUMIFS(Table2[NewPointsAway],Table2[GameDate], "&lt;=" &amp; $A190, Table2[AwayTeam], W$1)+SUMIFS(Table2[NewPointsHome],Table2[GameDate], "&lt;=" &amp; $A190, Table2[HomeTeam], W$1)</f>
        <v>21</v>
      </c>
      <c r="X190" s="145">
        <f>SUMIFS(Table2[NewPointsAway],Table2[GameDate], "&lt;=" &amp; $A190, Table2[AwayTeam], X$1)+SUMIFS(Table2[NewPointsHome],Table2[GameDate], "&lt;=" &amp; $A190, Table2[HomeTeam], X$1)</f>
        <v>19</v>
      </c>
      <c r="Y190" s="145">
        <f>SUMIFS(Table2[NewPointsAway],Table2[GameDate], "&lt;=" &amp; $A190, Table2[AwayTeam], Y$1)+SUMIFS(Table2[NewPointsHome],Table2[GameDate], "&lt;=" &amp; $A190, Table2[HomeTeam], Y$1)</f>
        <v>19</v>
      </c>
      <c r="Z190" s="145">
        <f>SUMIFS(Table2[NewPointsAway],Table2[GameDate], "&lt;=" &amp; $A190, Table2[AwayTeam], Z$1)+SUMIFS(Table2[NewPointsHome],Table2[GameDate], "&lt;=" &amp; $A190, Table2[HomeTeam], Z$1)</f>
        <v>15</v>
      </c>
      <c r="AA190" s="145">
        <f>SUMIFS(Table2[NewPointsAway],Table2[GameDate], "&lt;=" &amp; $A190, Table2[AwayTeam], AA$1)+SUMIFS(Table2[NewPointsHome],Table2[GameDate], "&lt;=" &amp; $A190, Table2[HomeTeam], AA$1)</f>
        <v>18</v>
      </c>
      <c r="AB190" s="145">
        <f>SUMIFS(Table2[NewPointsAway],Table2[GameDate], "&lt;=" &amp; $A190, Table2[AwayTeam], AB$1)+SUMIFS(Table2[NewPointsHome],Table2[GameDate], "&lt;=" &amp; $A190, Table2[HomeTeam], AB$1)</f>
        <v>17</v>
      </c>
      <c r="AC190" s="145">
        <f>SUMIFS(Table2[NewPointsAway],Table2[GameDate], "&lt;=" &amp; $A190, Table2[AwayTeam], AC$1)+SUMIFS(Table2[NewPointsHome],Table2[GameDate], "&lt;=" &amp; $A190, Table2[HomeTeam], AC$1)</f>
        <v>18</v>
      </c>
      <c r="AD190" s="145">
        <f>SUMIFS(Table2[NewPointsAway],Table2[GameDate], "&lt;=" &amp; $A190, Table2[AwayTeam], AD$1)+SUMIFS(Table2[NewPointsHome],Table2[GameDate], "&lt;=" &amp; $A190, Table2[HomeTeam], AD$1)</f>
        <v>17</v>
      </c>
      <c r="AE190" s="145">
        <f>SUMIFS(Table2[NewPointsAway],Table2[GameDate], "&lt;=" &amp; $A190, Table2[AwayTeam], AE$1)+SUMIFS(Table2[NewPointsHome],Table2[GameDate], "&lt;=" &amp; $A190, Table2[HomeTeam], AE$1)</f>
        <v>18</v>
      </c>
      <c r="AF190" s="145">
        <f>SUMIFS(Table2[NewPointsAway],Table2[GameDate], "&lt;=" &amp; $A190, Table2[AwayTeam], AF$1)+SUMIFS(Table2[NewPointsHome],Table2[GameDate], "&lt;=" &amp; $A190, Table2[HomeTeam], AF$1)</f>
        <v>20</v>
      </c>
      <c r="AG190" s="145">
        <f>SUMIFS(Table2[NewPointsAway],Table2[GameDate], "&lt;=" &amp; $A190, Table2[AwayTeam], AG$1)+SUMIFS(Table2[NewPointsHome],Table2[GameDate], "&lt;=" &amp; $A190, Table2[HomeTeam], AG$1)</f>
        <v>17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23</v>
      </c>
      <c r="C191" s="145">
        <f>SUMIFS(Table2[NewPointsAway],Table2[GameDate], "&lt;=" &amp; $A191, Table2[AwayTeam], C$1)+SUMIFS(Table2[NewPointsHome],Table2[GameDate], "&lt;=" &amp; $A191, Table2[HomeTeam], C$1)</f>
        <v>22</v>
      </c>
      <c r="D191" s="145">
        <f>SUMIFS(Table2[NewPointsAway],Table2[GameDate], "&lt;=" &amp; $A191, Table2[AwayTeam], D$1)+SUMIFS(Table2[NewPointsHome],Table2[GameDate], "&lt;=" &amp; $A191, Table2[HomeTeam], D$1)</f>
        <v>14</v>
      </c>
      <c r="E191" s="145">
        <f>SUMIFS(Table2[NewPointsAway],Table2[GameDate], "&lt;=" &amp; $A191, Table2[AwayTeam], E$1)+SUMIFS(Table2[NewPointsHome],Table2[GameDate], "&lt;=" &amp; $A191, Table2[HomeTeam], E$1)</f>
        <v>22</v>
      </c>
      <c r="F191" s="145">
        <f>SUMIFS(Table2[NewPointsAway],Table2[GameDate], "&lt;=" &amp; $A191, Table2[AwayTeam], F$1)+SUMIFS(Table2[NewPointsHome],Table2[GameDate], "&lt;=" &amp; $A191, Table2[HomeTeam], F$1)</f>
        <v>17</v>
      </c>
      <c r="G191" s="145">
        <f>SUMIFS(Table2[NewPointsAway],Table2[GameDate], "&lt;=" &amp; $A191, Table2[AwayTeam], G$1)+SUMIFS(Table2[NewPointsHome],Table2[GameDate], "&lt;=" &amp; $A191, Table2[HomeTeam], G$1)</f>
        <v>10</v>
      </c>
      <c r="H191" s="145">
        <f>SUMIFS(Table2[NewPointsAway],Table2[GameDate], "&lt;=" &amp; $A191, Table2[AwayTeam], H$1)+SUMIFS(Table2[NewPointsHome],Table2[GameDate], "&lt;=" &amp; $A191, Table2[HomeTeam], H$1)</f>
        <v>19</v>
      </c>
      <c r="I191" s="145">
        <f>SUMIFS(Table2[NewPointsAway],Table2[GameDate], "&lt;=" &amp; $A191, Table2[AwayTeam], I$1)+SUMIFS(Table2[NewPointsHome],Table2[GameDate], "&lt;=" &amp; $A191, Table2[HomeTeam], I$1)</f>
        <v>27</v>
      </c>
      <c r="J191" s="145">
        <f>SUMIFS(Table2[NewPointsAway],Table2[GameDate], "&lt;=" &amp; $A191, Table2[AwayTeam], J$1)+SUMIFS(Table2[NewPointsHome],Table2[GameDate], "&lt;=" &amp; $A191, Table2[HomeTeam], J$1)</f>
        <v>23</v>
      </c>
      <c r="K191" s="145">
        <f>SUMIFS(Table2[NewPointsAway],Table2[GameDate], "&lt;=" &amp; $A191, Table2[AwayTeam], K$1)+SUMIFS(Table2[NewPointsHome],Table2[GameDate], "&lt;=" &amp; $A191, Table2[HomeTeam], K$1)</f>
        <v>18</v>
      </c>
      <c r="L191" s="145">
        <f>SUMIFS(Table2[NewPointsAway],Table2[GameDate], "&lt;=" &amp; $A191, Table2[AwayTeam], L$1)+SUMIFS(Table2[NewPointsHome],Table2[GameDate], "&lt;=" &amp; $A191, Table2[HomeTeam], L$1)</f>
        <v>20</v>
      </c>
      <c r="M191" s="145">
        <f>SUMIFS(Table2[NewPointsAway],Table2[GameDate], "&lt;=" &amp; $A191, Table2[AwayTeam], M$1)+SUMIFS(Table2[NewPointsHome],Table2[GameDate], "&lt;=" &amp; $A191, Table2[HomeTeam], M$1)</f>
        <v>17</v>
      </c>
      <c r="N191" s="145">
        <f>SUMIFS(Table2[NewPointsAway],Table2[GameDate], "&lt;=" &amp; $A191, Table2[AwayTeam], N$1)+SUMIFS(Table2[NewPointsHome],Table2[GameDate], "&lt;=" &amp; $A191, Table2[HomeTeam], N$1)</f>
        <v>20</v>
      </c>
      <c r="O191" s="145">
        <f>SUMIFS(Table2[NewPointsAway],Table2[GameDate], "&lt;=" &amp; $A191, Table2[AwayTeam], O$1)+SUMIFS(Table2[NewPointsHome],Table2[GameDate], "&lt;=" &amp; $A191, Table2[HomeTeam], O$1)</f>
        <v>18</v>
      </c>
      <c r="P191" s="145">
        <f>SUMIFS(Table2[NewPointsAway],Table2[GameDate], "&lt;=" &amp; $A191, Table2[AwayTeam], P$1)+SUMIFS(Table2[NewPointsHome],Table2[GameDate], "&lt;=" &amp; $A191, Table2[HomeTeam], P$1)</f>
        <v>22</v>
      </c>
      <c r="Q191" s="145">
        <f>SUMIFS(Table2[NewPointsAway],Table2[GameDate], "&lt;=" &amp; $A191, Table2[AwayTeam], Q$1)+SUMIFS(Table2[NewPointsHome],Table2[GameDate], "&lt;=" &amp; $A191, Table2[HomeTeam], Q$1)</f>
        <v>23</v>
      </c>
      <c r="R191" s="145">
        <f>SUMIFS(Table2[NewPointsAway],Table2[GameDate], "&lt;=" &amp; $A191, Table2[AwayTeam], R$1)+SUMIFS(Table2[NewPointsHome],Table2[GameDate], "&lt;=" &amp; $A191, Table2[HomeTeam], R$1)</f>
        <v>14</v>
      </c>
      <c r="S191" s="145">
        <f>SUMIFS(Table2[NewPointsAway],Table2[GameDate], "&lt;=" &amp; $A191, Table2[AwayTeam], S$1)+SUMIFS(Table2[NewPointsHome],Table2[GameDate], "&lt;=" &amp; $A191, Table2[HomeTeam], S$1)</f>
        <v>18</v>
      </c>
      <c r="T191" s="145">
        <f>SUMIFS(Table2[NewPointsAway],Table2[GameDate], "&lt;=" &amp; $A191, Table2[AwayTeam], T$1)+SUMIFS(Table2[NewPointsHome],Table2[GameDate], "&lt;=" &amp; $A191, Table2[HomeTeam], T$1)</f>
        <v>20</v>
      </c>
      <c r="U191" s="145">
        <f>SUMIFS(Table2[NewPointsAway],Table2[GameDate], "&lt;=" &amp; $A191, Table2[AwayTeam], U$1)+SUMIFS(Table2[NewPointsHome],Table2[GameDate], "&lt;=" &amp; $A191, Table2[HomeTeam], U$1)</f>
        <v>20</v>
      </c>
      <c r="V191" s="145">
        <f>SUMIFS(Table2[NewPointsAway],Table2[GameDate], "&lt;=" &amp; $A191, Table2[AwayTeam], V$1)+SUMIFS(Table2[NewPointsHome],Table2[GameDate], "&lt;=" &amp; $A191, Table2[HomeTeam], V$1)</f>
        <v>19</v>
      </c>
      <c r="W191" s="145">
        <f>SUMIFS(Table2[NewPointsAway],Table2[GameDate], "&lt;=" &amp; $A191, Table2[AwayTeam], W$1)+SUMIFS(Table2[NewPointsHome],Table2[GameDate], "&lt;=" &amp; $A191, Table2[HomeTeam], W$1)</f>
        <v>21</v>
      </c>
      <c r="X191" s="145">
        <f>SUMIFS(Table2[NewPointsAway],Table2[GameDate], "&lt;=" &amp; $A191, Table2[AwayTeam], X$1)+SUMIFS(Table2[NewPointsHome],Table2[GameDate], "&lt;=" &amp; $A191, Table2[HomeTeam], X$1)</f>
        <v>19</v>
      </c>
      <c r="Y191" s="145">
        <f>SUMIFS(Table2[NewPointsAway],Table2[GameDate], "&lt;=" &amp; $A191, Table2[AwayTeam], Y$1)+SUMIFS(Table2[NewPointsHome],Table2[GameDate], "&lt;=" &amp; $A191, Table2[HomeTeam], Y$1)</f>
        <v>19</v>
      </c>
      <c r="Z191" s="145">
        <f>SUMIFS(Table2[NewPointsAway],Table2[GameDate], "&lt;=" &amp; $A191, Table2[AwayTeam], Z$1)+SUMIFS(Table2[NewPointsHome],Table2[GameDate], "&lt;=" &amp; $A191, Table2[HomeTeam], Z$1)</f>
        <v>15</v>
      </c>
      <c r="AA191" s="145">
        <f>SUMIFS(Table2[NewPointsAway],Table2[GameDate], "&lt;=" &amp; $A191, Table2[AwayTeam], AA$1)+SUMIFS(Table2[NewPointsHome],Table2[GameDate], "&lt;=" &amp; $A191, Table2[HomeTeam], AA$1)</f>
        <v>18</v>
      </c>
      <c r="AB191" s="145">
        <f>SUMIFS(Table2[NewPointsAway],Table2[GameDate], "&lt;=" &amp; $A191, Table2[AwayTeam], AB$1)+SUMIFS(Table2[NewPointsHome],Table2[GameDate], "&lt;=" &amp; $A191, Table2[HomeTeam], AB$1)</f>
        <v>17</v>
      </c>
      <c r="AC191" s="145">
        <f>SUMIFS(Table2[NewPointsAway],Table2[GameDate], "&lt;=" &amp; $A191, Table2[AwayTeam], AC$1)+SUMIFS(Table2[NewPointsHome],Table2[GameDate], "&lt;=" &amp; $A191, Table2[HomeTeam], AC$1)</f>
        <v>18</v>
      </c>
      <c r="AD191" s="145">
        <f>SUMIFS(Table2[NewPointsAway],Table2[GameDate], "&lt;=" &amp; $A191, Table2[AwayTeam], AD$1)+SUMIFS(Table2[NewPointsHome],Table2[GameDate], "&lt;=" &amp; $A191, Table2[HomeTeam], AD$1)</f>
        <v>17</v>
      </c>
      <c r="AE191" s="145">
        <f>SUMIFS(Table2[NewPointsAway],Table2[GameDate], "&lt;=" &amp; $A191, Table2[AwayTeam], AE$1)+SUMIFS(Table2[NewPointsHome],Table2[GameDate], "&lt;=" &amp; $A191, Table2[HomeTeam], AE$1)</f>
        <v>18</v>
      </c>
      <c r="AF191" s="145">
        <f>SUMIFS(Table2[NewPointsAway],Table2[GameDate], "&lt;=" &amp; $A191, Table2[AwayTeam], AF$1)+SUMIFS(Table2[NewPointsHome],Table2[GameDate], "&lt;=" &amp; $A191, Table2[HomeTeam], AF$1)</f>
        <v>20</v>
      </c>
      <c r="AG191" s="145">
        <f>SUMIFS(Table2[NewPointsAway],Table2[GameDate], "&lt;=" &amp; $A191, Table2[AwayTeam], AG$1)+SUMIFS(Table2[NewPointsHome],Table2[GameDate], "&lt;=" &amp; $A191, Table2[HomeTeam], AG$1)</f>
        <v>17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23</v>
      </c>
      <c r="C192" s="145">
        <f>SUMIFS(Table2[NewPointsAway],Table2[GameDate], "&lt;=" &amp; $A192, Table2[AwayTeam], C$1)+SUMIFS(Table2[NewPointsHome],Table2[GameDate], "&lt;=" &amp; $A192, Table2[HomeTeam], C$1)</f>
        <v>22</v>
      </c>
      <c r="D192" s="145">
        <f>SUMIFS(Table2[NewPointsAway],Table2[GameDate], "&lt;=" &amp; $A192, Table2[AwayTeam], D$1)+SUMIFS(Table2[NewPointsHome],Table2[GameDate], "&lt;=" &amp; $A192, Table2[HomeTeam], D$1)</f>
        <v>14</v>
      </c>
      <c r="E192" s="145">
        <f>SUMIFS(Table2[NewPointsAway],Table2[GameDate], "&lt;=" &amp; $A192, Table2[AwayTeam], E$1)+SUMIFS(Table2[NewPointsHome],Table2[GameDate], "&lt;=" &amp; $A192, Table2[HomeTeam], E$1)</f>
        <v>22</v>
      </c>
      <c r="F192" s="145">
        <f>SUMIFS(Table2[NewPointsAway],Table2[GameDate], "&lt;=" &amp; $A192, Table2[AwayTeam], F$1)+SUMIFS(Table2[NewPointsHome],Table2[GameDate], "&lt;=" &amp; $A192, Table2[HomeTeam], F$1)</f>
        <v>17</v>
      </c>
      <c r="G192" s="145">
        <f>SUMIFS(Table2[NewPointsAway],Table2[GameDate], "&lt;=" &amp; $A192, Table2[AwayTeam], G$1)+SUMIFS(Table2[NewPointsHome],Table2[GameDate], "&lt;=" &amp; $A192, Table2[HomeTeam], G$1)</f>
        <v>10</v>
      </c>
      <c r="H192" s="145">
        <f>SUMIFS(Table2[NewPointsAway],Table2[GameDate], "&lt;=" &amp; $A192, Table2[AwayTeam], H$1)+SUMIFS(Table2[NewPointsHome],Table2[GameDate], "&lt;=" &amp; $A192, Table2[HomeTeam], H$1)</f>
        <v>19</v>
      </c>
      <c r="I192" s="145">
        <f>SUMIFS(Table2[NewPointsAway],Table2[GameDate], "&lt;=" &amp; $A192, Table2[AwayTeam], I$1)+SUMIFS(Table2[NewPointsHome],Table2[GameDate], "&lt;=" &amp; $A192, Table2[HomeTeam], I$1)</f>
        <v>27</v>
      </c>
      <c r="J192" s="145">
        <f>SUMIFS(Table2[NewPointsAway],Table2[GameDate], "&lt;=" &amp; $A192, Table2[AwayTeam], J$1)+SUMIFS(Table2[NewPointsHome],Table2[GameDate], "&lt;=" &amp; $A192, Table2[HomeTeam], J$1)</f>
        <v>23</v>
      </c>
      <c r="K192" s="145">
        <f>SUMIFS(Table2[NewPointsAway],Table2[GameDate], "&lt;=" &amp; $A192, Table2[AwayTeam], K$1)+SUMIFS(Table2[NewPointsHome],Table2[GameDate], "&lt;=" &amp; $A192, Table2[HomeTeam], K$1)</f>
        <v>18</v>
      </c>
      <c r="L192" s="145">
        <f>SUMIFS(Table2[NewPointsAway],Table2[GameDate], "&lt;=" &amp; $A192, Table2[AwayTeam], L$1)+SUMIFS(Table2[NewPointsHome],Table2[GameDate], "&lt;=" &amp; $A192, Table2[HomeTeam], L$1)</f>
        <v>20</v>
      </c>
      <c r="M192" s="145">
        <f>SUMIFS(Table2[NewPointsAway],Table2[GameDate], "&lt;=" &amp; $A192, Table2[AwayTeam], M$1)+SUMIFS(Table2[NewPointsHome],Table2[GameDate], "&lt;=" &amp; $A192, Table2[HomeTeam], M$1)</f>
        <v>17</v>
      </c>
      <c r="N192" s="145">
        <f>SUMIFS(Table2[NewPointsAway],Table2[GameDate], "&lt;=" &amp; $A192, Table2[AwayTeam], N$1)+SUMIFS(Table2[NewPointsHome],Table2[GameDate], "&lt;=" &amp; $A192, Table2[HomeTeam], N$1)</f>
        <v>20</v>
      </c>
      <c r="O192" s="145">
        <f>SUMIFS(Table2[NewPointsAway],Table2[GameDate], "&lt;=" &amp; $A192, Table2[AwayTeam], O$1)+SUMIFS(Table2[NewPointsHome],Table2[GameDate], "&lt;=" &amp; $A192, Table2[HomeTeam], O$1)</f>
        <v>18</v>
      </c>
      <c r="P192" s="145">
        <f>SUMIFS(Table2[NewPointsAway],Table2[GameDate], "&lt;=" &amp; $A192, Table2[AwayTeam], P$1)+SUMIFS(Table2[NewPointsHome],Table2[GameDate], "&lt;=" &amp; $A192, Table2[HomeTeam], P$1)</f>
        <v>22</v>
      </c>
      <c r="Q192" s="145">
        <f>SUMIFS(Table2[NewPointsAway],Table2[GameDate], "&lt;=" &amp; $A192, Table2[AwayTeam], Q$1)+SUMIFS(Table2[NewPointsHome],Table2[GameDate], "&lt;=" &amp; $A192, Table2[HomeTeam], Q$1)</f>
        <v>23</v>
      </c>
      <c r="R192" s="145">
        <f>SUMIFS(Table2[NewPointsAway],Table2[GameDate], "&lt;=" &amp; $A192, Table2[AwayTeam], R$1)+SUMIFS(Table2[NewPointsHome],Table2[GameDate], "&lt;=" &amp; $A192, Table2[HomeTeam], R$1)</f>
        <v>14</v>
      </c>
      <c r="S192" s="145">
        <f>SUMIFS(Table2[NewPointsAway],Table2[GameDate], "&lt;=" &amp; $A192, Table2[AwayTeam], S$1)+SUMIFS(Table2[NewPointsHome],Table2[GameDate], "&lt;=" &amp; $A192, Table2[HomeTeam], S$1)</f>
        <v>18</v>
      </c>
      <c r="T192" s="145">
        <f>SUMIFS(Table2[NewPointsAway],Table2[GameDate], "&lt;=" &amp; $A192, Table2[AwayTeam], T$1)+SUMIFS(Table2[NewPointsHome],Table2[GameDate], "&lt;=" &amp; $A192, Table2[HomeTeam], T$1)</f>
        <v>20</v>
      </c>
      <c r="U192" s="145">
        <f>SUMIFS(Table2[NewPointsAway],Table2[GameDate], "&lt;=" &amp; $A192, Table2[AwayTeam], U$1)+SUMIFS(Table2[NewPointsHome],Table2[GameDate], "&lt;=" &amp; $A192, Table2[HomeTeam], U$1)</f>
        <v>20</v>
      </c>
      <c r="V192" s="145">
        <f>SUMIFS(Table2[NewPointsAway],Table2[GameDate], "&lt;=" &amp; $A192, Table2[AwayTeam], V$1)+SUMIFS(Table2[NewPointsHome],Table2[GameDate], "&lt;=" &amp; $A192, Table2[HomeTeam], V$1)</f>
        <v>19</v>
      </c>
      <c r="W192" s="145">
        <f>SUMIFS(Table2[NewPointsAway],Table2[GameDate], "&lt;=" &amp; $A192, Table2[AwayTeam], W$1)+SUMIFS(Table2[NewPointsHome],Table2[GameDate], "&lt;=" &amp; $A192, Table2[HomeTeam], W$1)</f>
        <v>21</v>
      </c>
      <c r="X192" s="145">
        <f>SUMIFS(Table2[NewPointsAway],Table2[GameDate], "&lt;=" &amp; $A192, Table2[AwayTeam], X$1)+SUMIFS(Table2[NewPointsHome],Table2[GameDate], "&lt;=" &amp; $A192, Table2[HomeTeam], X$1)</f>
        <v>19</v>
      </c>
      <c r="Y192" s="145">
        <f>SUMIFS(Table2[NewPointsAway],Table2[GameDate], "&lt;=" &amp; $A192, Table2[AwayTeam], Y$1)+SUMIFS(Table2[NewPointsHome],Table2[GameDate], "&lt;=" &amp; $A192, Table2[HomeTeam], Y$1)</f>
        <v>19</v>
      </c>
      <c r="Z192" s="145">
        <f>SUMIFS(Table2[NewPointsAway],Table2[GameDate], "&lt;=" &amp; $A192, Table2[AwayTeam], Z$1)+SUMIFS(Table2[NewPointsHome],Table2[GameDate], "&lt;=" &amp; $A192, Table2[HomeTeam], Z$1)</f>
        <v>15</v>
      </c>
      <c r="AA192" s="145">
        <f>SUMIFS(Table2[NewPointsAway],Table2[GameDate], "&lt;=" &amp; $A192, Table2[AwayTeam], AA$1)+SUMIFS(Table2[NewPointsHome],Table2[GameDate], "&lt;=" &amp; $A192, Table2[HomeTeam], AA$1)</f>
        <v>18</v>
      </c>
      <c r="AB192" s="145">
        <f>SUMIFS(Table2[NewPointsAway],Table2[GameDate], "&lt;=" &amp; $A192, Table2[AwayTeam], AB$1)+SUMIFS(Table2[NewPointsHome],Table2[GameDate], "&lt;=" &amp; $A192, Table2[HomeTeam], AB$1)</f>
        <v>17</v>
      </c>
      <c r="AC192" s="145">
        <f>SUMIFS(Table2[NewPointsAway],Table2[GameDate], "&lt;=" &amp; $A192, Table2[AwayTeam], AC$1)+SUMIFS(Table2[NewPointsHome],Table2[GameDate], "&lt;=" &amp; $A192, Table2[HomeTeam], AC$1)</f>
        <v>18</v>
      </c>
      <c r="AD192" s="145">
        <f>SUMIFS(Table2[NewPointsAway],Table2[GameDate], "&lt;=" &amp; $A192, Table2[AwayTeam], AD$1)+SUMIFS(Table2[NewPointsHome],Table2[GameDate], "&lt;=" &amp; $A192, Table2[HomeTeam], AD$1)</f>
        <v>17</v>
      </c>
      <c r="AE192" s="145">
        <f>SUMIFS(Table2[NewPointsAway],Table2[GameDate], "&lt;=" &amp; $A192, Table2[AwayTeam], AE$1)+SUMIFS(Table2[NewPointsHome],Table2[GameDate], "&lt;=" &amp; $A192, Table2[HomeTeam], AE$1)</f>
        <v>18</v>
      </c>
      <c r="AF192" s="145">
        <f>SUMIFS(Table2[NewPointsAway],Table2[GameDate], "&lt;=" &amp; $A192, Table2[AwayTeam], AF$1)+SUMIFS(Table2[NewPointsHome],Table2[GameDate], "&lt;=" &amp; $A192, Table2[HomeTeam], AF$1)</f>
        <v>20</v>
      </c>
      <c r="AG192" s="145">
        <f>SUMIFS(Table2[NewPointsAway],Table2[GameDate], "&lt;=" &amp; $A192, Table2[AwayTeam], AG$1)+SUMIFS(Table2[NewPointsHome],Table2[GameDate], "&lt;=" &amp; $A192, Table2[HomeTeam], AG$1)</f>
        <v>17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23</v>
      </c>
      <c r="C193" s="145">
        <f>SUMIFS(Table2[NewPointsAway],Table2[GameDate], "&lt;=" &amp; $A193, Table2[AwayTeam], C$1)+SUMIFS(Table2[NewPointsHome],Table2[GameDate], "&lt;=" &amp; $A193, Table2[HomeTeam], C$1)</f>
        <v>22</v>
      </c>
      <c r="D193" s="145">
        <f>SUMIFS(Table2[NewPointsAway],Table2[GameDate], "&lt;=" &amp; $A193, Table2[AwayTeam], D$1)+SUMIFS(Table2[NewPointsHome],Table2[GameDate], "&lt;=" &amp; $A193, Table2[HomeTeam], D$1)</f>
        <v>14</v>
      </c>
      <c r="E193" s="145">
        <f>SUMIFS(Table2[NewPointsAway],Table2[GameDate], "&lt;=" &amp; $A193, Table2[AwayTeam], E$1)+SUMIFS(Table2[NewPointsHome],Table2[GameDate], "&lt;=" &amp; $A193, Table2[HomeTeam], E$1)</f>
        <v>22</v>
      </c>
      <c r="F193" s="145">
        <f>SUMIFS(Table2[NewPointsAway],Table2[GameDate], "&lt;=" &amp; $A193, Table2[AwayTeam], F$1)+SUMIFS(Table2[NewPointsHome],Table2[GameDate], "&lt;=" &amp; $A193, Table2[HomeTeam], F$1)</f>
        <v>17</v>
      </c>
      <c r="G193" s="145">
        <f>SUMIFS(Table2[NewPointsAway],Table2[GameDate], "&lt;=" &amp; $A193, Table2[AwayTeam], G$1)+SUMIFS(Table2[NewPointsHome],Table2[GameDate], "&lt;=" &amp; $A193, Table2[HomeTeam], G$1)</f>
        <v>10</v>
      </c>
      <c r="H193" s="145">
        <f>SUMIFS(Table2[NewPointsAway],Table2[GameDate], "&lt;=" &amp; $A193, Table2[AwayTeam], H$1)+SUMIFS(Table2[NewPointsHome],Table2[GameDate], "&lt;=" &amp; $A193, Table2[HomeTeam], H$1)</f>
        <v>19</v>
      </c>
      <c r="I193" s="145">
        <f>SUMIFS(Table2[NewPointsAway],Table2[GameDate], "&lt;=" &amp; $A193, Table2[AwayTeam], I$1)+SUMIFS(Table2[NewPointsHome],Table2[GameDate], "&lt;=" &amp; $A193, Table2[HomeTeam], I$1)</f>
        <v>27</v>
      </c>
      <c r="J193" s="145">
        <f>SUMIFS(Table2[NewPointsAway],Table2[GameDate], "&lt;=" &amp; $A193, Table2[AwayTeam], J$1)+SUMIFS(Table2[NewPointsHome],Table2[GameDate], "&lt;=" &amp; $A193, Table2[HomeTeam], J$1)</f>
        <v>23</v>
      </c>
      <c r="K193" s="145">
        <f>SUMIFS(Table2[NewPointsAway],Table2[GameDate], "&lt;=" &amp; $A193, Table2[AwayTeam], K$1)+SUMIFS(Table2[NewPointsHome],Table2[GameDate], "&lt;=" &amp; $A193, Table2[HomeTeam], K$1)</f>
        <v>18</v>
      </c>
      <c r="L193" s="145">
        <f>SUMIFS(Table2[NewPointsAway],Table2[GameDate], "&lt;=" &amp; $A193, Table2[AwayTeam], L$1)+SUMIFS(Table2[NewPointsHome],Table2[GameDate], "&lt;=" &amp; $A193, Table2[HomeTeam], L$1)</f>
        <v>20</v>
      </c>
      <c r="M193" s="145">
        <f>SUMIFS(Table2[NewPointsAway],Table2[GameDate], "&lt;=" &amp; $A193, Table2[AwayTeam], M$1)+SUMIFS(Table2[NewPointsHome],Table2[GameDate], "&lt;=" &amp; $A193, Table2[HomeTeam], M$1)</f>
        <v>17</v>
      </c>
      <c r="N193" s="145">
        <f>SUMIFS(Table2[NewPointsAway],Table2[GameDate], "&lt;=" &amp; $A193, Table2[AwayTeam], N$1)+SUMIFS(Table2[NewPointsHome],Table2[GameDate], "&lt;=" &amp; $A193, Table2[HomeTeam], N$1)</f>
        <v>20</v>
      </c>
      <c r="O193" s="145">
        <f>SUMIFS(Table2[NewPointsAway],Table2[GameDate], "&lt;=" &amp; $A193, Table2[AwayTeam], O$1)+SUMIFS(Table2[NewPointsHome],Table2[GameDate], "&lt;=" &amp; $A193, Table2[HomeTeam], O$1)</f>
        <v>18</v>
      </c>
      <c r="P193" s="145">
        <f>SUMIFS(Table2[NewPointsAway],Table2[GameDate], "&lt;=" &amp; $A193, Table2[AwayTeam], P$1)+SUMIFS(Table2[NewPointsHome],Table2[GameDate], "&lt;=" &amp; $A193, Table2[HomeTeam], P$1)</f>
        <v>22</v>
      </c>
      <c r="Q193" s="145">
        <f>SUMIFS(Table2[NewPointsAway],Table2[GameDate], "&lt;=" &amp; $A193, Table2[AwayTeam], Q$1)+SUMIFS(Table2[NewPointsHome],Table2[GameDate], "&lt;=" &amp; $A193, Table2[HomeTeam], Q$1)</f>
        <v>23</v>
      </c>
      <c r="R193" s="145">
        <f>SUMIFS(Table2[NewPointsAway],Table2[GameDate], "&lt;=" &amp; $A193, Table2[AwayTeam], R$1)+SUMIFS(Table2[NewPointsHome],Table2[GameDate], "&lt;=" &amp; $A193, Table2[HomeTeam], R$1)</f>
        <v>14</v>
      </c>
      <c r="S193" s="145">
        <f>SUMIFS(Table2[NewPointsAway],Table2[GameDate], "&lt;=" &amp; $A193, Table2[AwayTeam], S$1)+SUMIFS(Table2[NewPointsHome],Table2[GameDate], "&lt;=" &amp; $A193, Table2[HomeTeam], S$1)</f>
        <v>18</v>
      </c>
      <c r="T193" s="145">
        <f>SUMIFS(Table2[NewPointsAway],Table2[GameDate], "&lt;=" &amp; $A193, Table2[AwayTeam], T$1)+SUMIFS(Table2[NewPointsHome],Table2[GameDate], "&lt;=" &amp; $A193, Table2[HomeTeam], T$1)</f>
        <v>20</v>
      </c>
      <c r="U193" s="145">
        <f>SUMIFS(Table2[NewPointsAway],Table2[GameDate], "&lt;=" &amp; $A193, Table2[AwayTeam], U$1)+SUMIFS(Table2[NewPointsHome],Table2[GameDate], "&lt;=" &amp; $A193, Table2[HomeTeam], U$1)</f>
        <v>20</v>
      </c>
      <c r="V193" s="145">
        <f>SUMIFS(Table2[NewPointsAway],Table2[GameDate], "&lt;=" &amp; $A193, Table2[AwayTeam], V$1)+SUMIFS(Table2[NewPointsHome],Table2[GameDate], "&lt;=" &amp; $A193, Table2[HomeTeam], V$1)</f>
        <v>19</v>
      </c>
      <c r="W193" s="145">
        <f>SUMIFS(Table2[NewPointsAway],Table2[GameDate], "&lt;=" &amp; $A193, Table2[AwayTeam], W$1)+SUMIFS(Table2[NewPointsHome],Table2[GameDate], "&lt;=" &amp; $A193, Table2[HomeTeam], W$1)</f>
        <v>21</v>
      </c>
      <c r="X193" s="145">
        <f>SUMIFS(Table2[NewPointsAway],Table2[GameDate], "&lt;=" &amp; $A193, Table2[AwayTeam], X$1)+SUMIFS(Table2[NewPointsHome],Table2[GameDate], "&lt;=" &amp; $A193, Table2[HomeTeam], X$1)</f>
        <v>19</v>
      </c>
      <c r="Y193" s="145">
        <f>SUMIFS(Table2[NewPointsAway],Table2[GameDate], "&lt;=" &amp; $A193, Table2[AwayTeam], Y$1)+SUMIFS(Table2[NewPointsHome],Table2[GameDate], "&lt;=" &amp; $A193, Table2[HomeTeam], Y$1)</f>
        <v>19</v>
      </c>
      <c r="Z193" s="145">
        <f>SUMIFS(Table2[NewPointsAway],Table2[GameDate], "&lt;=" &amp; $A193, Table2[AwayTeam], Z$1)+SUMIFS(Table2[NewPointsHome],Table2[GameDate], "&lt;=" &amp; $A193, Table2[HomeTeam], Z$1)</f>
        <v>15</v>
      </c>
      <c r="AA193" s="145">
        <f>SUMIFS(Table2[NewPointsAway],Table2[GameDate], "&lt;=" &amp; $A193, Table2[AwayTeam], AA$1)+SUMIFS(Table2[NewPointsHome],Table2[GameDate], "&lt;=" &amp; $A193, Table2[HomeTeam], AA$1)</f>
        <v>18</v>
      </c>
      <c r="AB193" s="145">
        <f>SUMIFS(Table2[NewPointsAway],Table2[GameDate], "&lt;=" &amp; $A193, Table2[AwayTeam], AB$1)+SUMIFS(Table2[NewPointsHome],Table2[GameDate], "&lt;=" &amp; $A193, Table2[HomeTeam], AB$1)</f>
        <v>17</v>
      </c>
      <c r="AC193" s="145">
        <f>SUMIFS(Table2[NewPointsAway],Table2[GameDate], "&lt;=" &amp; $A193, Table2[AwayTeam], AC$1)+SUMIFS(Table2[NewPointsHome],Table2[GameDate], "&lt;=" &amp; $A193, Table2[HomeTeam], AC$1)</f>
        <v>18</v>
      </c>
      <c r="AD193" s="145">
        <f>SUMIFS(Table2[NewPointsAway],Table2[GameDate], "&lt;=" &amp; $A193, Table2[AwayTeam], AD$1)+SUMIFS(Table2[NewPointsHome],Table2[GameDate], "&lt;=" &amp; $A193, Table2[HomeTeam], AD$1)</f>
        <v>17</v>
      </c>
      <c r="AE193" s="145">
        <f>SUMIFS(Table2[NewPointsAway],Table2[GameDate], "&lt;=" &amp; $A193, Table2[AwayTeam], AE$1)+SUMIFS(Table2[NewPointsHome],Table2[GameDate], "&lt;=" &amp; $A193, Table2[HomeTeam], AE$1)</f>
        <v>18</v>
      </c>
      <c r="AF193" s="145">
        <f>SUMIFS(Table2[NewPointsAway],Table2[GameDate], "&lt;=" &amp; $A193, Table2[AwayTeam], AF$1)+SUMIFS(Table2[NewPointsHome],Table2[GameDate], "&lt;=" &amp; $A193, Table2[HomeTeam], AF$1)</f>
        <v>20</v>
      </c>
      <c r="AG193" s="145">
        <f>SUMIFS(Table2[NewPointsAway],Table2[GameDate], "&lt;=" &amp; $A193, Table2[AwayTeam], AG$1)+SUMIFS(Table2[NewPointsHome],Table2[GameDate], "&lt;=" &amp; $A193, Table2[HomeTeam], AG$1)</f>
        <v>17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23</v>
      </c>
      <c r="C194" s="145">
        <f>SUMIFS(Table2[NewPointsAway],Table2[GameDate], "&lt;=" &amp; $A194, Table2[AwayTeam], C$1)+SUMIFS(Table2[NewPointsHome],Table2[GameDate], "&lt;=" &amp; $A194, Table2[HomeTeam], C$1)</f>
        <v>22</v>
      </c>
      <c r="D194" s="145">
        <f>SUMIFS(Table2[NewPointsAway],Table2[GameDate], "&lt;=" &amp; $A194, Table2[AwayTeam], D$1)+SUMIFS(Table2[NewPointsHome],Table2[GameDate], "&lt;=" &amp; $A194, Table2[HomeTeam], D$1)</f>
        <v>14</v>
      </c>
      <c r="E194" s="145">
        <f>SUMIFS(Table2[NewPointsAway],Table2[GameDate], "&lt;=" &amp; $A194, Table2[AwayTeam], E$1)+SUMIFS(Table2[NewPointsHome],Table2[GameDate], "&lt;=" &amp; $A194, Table2[HomeTeam], E$1)</f>
        <v>22</v>
      </c>
      <c r="F194" s="145">
        <f>SUMIFS(Table2[NewPointsAway],Table2[GameDate], "&lt;=" &amp; $A194, Table2[AwayTeam], F$1)+SUMIFS(Table2[NewPointsHome],Table2[GameDate], "&lt;=" &amp; $A194, Table2[HomeTeam], F$1)</f>
        <v>17</v>
      </c>
      <c r="G194" s="145">
        <f>SUMIFS(Table2[NewPointsAway],Table2[GameDate], "&lt;=" &amp; $A194, Table2[AwayTeam], G$1)+SUMIFS(Table2[NewPointsHome],Table2[GameDate], "&lt;=" &amp; $A194, Table2[HomeTeam], G$1)</f>
        <v>10</v>
      </c>
      <c r="H194" s="145">
        <f>SUMIFS(Table2[NewPointsAway],Table2[GameDate], "&lt;=" &amp; $A194, Table2[AwayTeam], H$1)+SUMIFS(Table2[NewPointsHome],Table2[GameDate], "&lt;=" &amp; $A194, Table2[HomeTeam], H$1)</f>
        <v>19</v>
      </c>
      <c r="I194" s="145">
        <f>SUMIFS(Table2[NewPointsAway],Table2[GameDate], "&lt;=" &amp; $A194, Table2[AwayTeam], I$1)+SUMIFS(Table2[NewPointsHome],Table2[GameDate], "&lt;=" &amp; $A194, Table2[HomeTeam], I$1)</f>
        <v>27</v>
      </c>
      <c r="J194" s="145">
        <f>SUMIFS(Table2[NewPointsAway],Table2[GameDate], "&lt;=" &amp; $A194, Table2[AwayTeam], J$1)+SUMIFS(Table2[NewPointsHome],Table2[GameDate], "&lt;=" &amp; $A194, Table2[HomeTeam], J$1)</f>
        <v>23</v>
      </c>
      <c r="K194" s="145">
        <f>SUMIFS(Table2[NewPointsAway],Table2[GameDate], "&lt;=" &amp; $A194, Table2[AwayTeam], K$1)+SUMIFS(Table2[NewPointsHome],Table2[GameDate], "&lt;=" &amp; $A194, Table2[HomeTeam], K$1)</f>
        <v>18</v>
      </c>
      <c r="L194" s="145">
        <f>SUMIFS(Table2[NewPointsAway],Table2[GameDate], "&lt;=" &amp; $A194, Table2[AwayTeam], L$1)+SUMIFS(Table2[NewPointsHome],Table2[GameDate], "&lt;=" &amp; $A194, Table2[HomeTeam], L$1)</f>
        <v>20</v>
      </c>
      <c r="M194" s="145">
        <f>SUMIFS(Table2[NewPointsAway],Table2[GameDate], "&lt;=" &amp; $A194, Table2[AwayTeam], M$1)+SUMIFS(Table2[NewPointsHome],Table2[GameDate], "&lt;=" &amp; $A194, Table2[HomeTeam], M$1)</f>
        <v>17</v>
      </c>
      <c r="N194" s="145">
        <f>SUMIFS(Table2[NewPointsAway],Table2[GameDate], "&lt;=" &amp; $A194, Table2[AwayTeam], N$1)+SUMIFS(Table2[NewPointsHome],Table2[GameDate], "&lt;=" &amp; $A194, Table2[HomeTeam], N$1)</f>
        <v>20</v>
      </c>
      <c r="O194" s="145">
        <f>SUMIFS(Table2[NewPointsAway],Table2[GameDate], "&lt;=" &amp; $A194, Table2[AwayTeam], O$1)+SUMIFS(Table2[NewPointsHome],Table2[GameDate], "&lt;=" &amp; $A194, Table2[HomeTeam], O$1)</f>
        <v>18</v>
      </c>
      <c r="P194" s="145">
        <f>SUMIFS(Table2[NewPointsAway],Table2[GameDate], "&lt;=" &amp; $A194, Table2[AwayTeam], P$1)+SUMIFS(Table2[NewPointsHome],Table2[GameDate], "&lt;=" &amp; $A194, Table2[HomeTeam], P$1)</f>
        <v>22</v>
      </c>
      <c r="Q194" s="145">
        <f>SUMIFS(Table2[NewPointsAway],Table2[GameDate], "&lt;=" &amp; $A194, Table2[AwayTeam], Q$1)+SUMIFS(Table2[NewPointsHome],Table2[GameDate], "&lt;=" &amp; $A194, Table2[HomeTeam], Q$1)</f>
        <v>23</v>
      </c>
      <c r="R194" s="145">
        <f>SUMIFS(Table2[NewPointsAway],Table2[GameDate], "&lt;=" &amp; $A194, Table2[AwayTeam], R$1)+SUMIFS(Table2[NewPointsHome],Table2[GameDate], "&lt;=" &amp; $A194, Table2[HomeTeam], R$1)</f>
        <v>14</v>
      </c>
      <c r="S194" s="145">
        <f>SUMIFS(Table2[NewPointsAway],Table2[GameDate], "&lt;=" &amp; $A194, Table2[AwayTeam], S$1)+SUMIFS(Table2[NewPointsHome],Table2[GameDate], "&lt;=" &amp; $A194, Table2[HomeTeam], S$1)</f>
        <v>18</v>
      </c>
      <c r="T194" s="145">
        <f>SUMIFS(Table2[NewPointsAway],Table2[GameDate], "&lt;=" &amp; $A194, Table2[AwayTeam], T$1)+SUMIFS(Table2[NewPointsHome],Table2[GameDate], "&lt;=" &amp; $A194, Table2[HomeTeam], T$1)</f>
        <v>20</v>
      </c>
      <c r="U194" s="145">
        <f>SUMIFS(Table2[NewPointsAway],Table2[GameDate], "&lt;=" &amp; $A194, Table2[AwayTeam], U$1)+SUMIFS(Table2[NewPointsHome],Table2[GameDate], "&lt;=" &amp; $A194, Table2[HomeTeam], U$1)</f>
        <v>20</v>
      </c>
      <c r="V194" s="145">
        <f>SUMIFS(Table2[NewPointsAway],Table2[GameDate], "&lt;=" &amp; $A194, Table2[AwayTeam], V$1)+SUMIFS(Table2[NewPointsHome],Table2[GameDate], "&lt;=" &amp; $A194, Table2[HomeTeam], V$1)</f>
        <v>19</v>
      </c>
      <c r="W194" s="145">
        <f>SUMIFS(Table2[NewPointsAway],Table2[GameDate], "&lt;=" &amp; $A194, Table2[AwayTeam], W$1)+SUMIFS(Table2[NewPointsHome],Table2[GameDate], "&lt;=" &amp; $A194, Table2[HomeTeam], W$1)</f>
        <v>21</v>
      </c>
      <c r="X194" s="145">
        <f>SUMIFS(Table2[NewPointsAway],Table2[GameDate], "&lt;=" &amp; $A194, Table2[AwayTeam], X$1)+SUMIFS(Table2[NewPointsHome],Table2[GameDate], "&lt;=" &amp; $A194, Table2[HomeTeam], X$1)</f>
        <v>19</v>
      </c>
      <c r="Y194" s="145">
        <f>SUMIFS(Table2[NewPointsAway],Table2[GameDate], "&lt;=" &amp; $A194, Table2[AwayTeam], Y$1)+SUMIFS(Table2[NewPointsHome],Table2[GameDate], "&lt;=" &amp; $A194, Table2[HomeTeam], Y$1)</f>
        <v>19</v>
      </c>
      <c r="Z194" s="145">
        <f>SUMIFS(Table2[NewPointsAway],Table2[GameDate], "&lt;=" &amp; $A194, Table2[AwayTeam], Z$1)+SUMIFS(Table2[NewPointsHome],Table2[GameDate], "&lt;=" &amp; $A194, Table2[HomeTeam], Z$1)</f>
        <v>15</v>
      </c>
      <c r="AA194" s="145">
        <f>SUMIFS(Table2[NewPointsAway],Table2[GameDate], "&lt;=" &amp; $A194, Table2[AwayTeam], AA$1)+SUMIFS(Table2[NewPointsHome],Table2[GameDate], "&lt;=" &amp; $A194, Table2[HomeTeam], AA$1)</f>
        <v>18</v>
      </c>
      <c r="AB194" s="145">
        <f>SUMIFS(Table2[NewPointsAway],Table2[GameDate], "&lt;=" &amp; $A194, Table2[AwayTeam], AB$1)+SUMIFS(Table2[NewPointsHome],Table2[GameDate], "&lt;=" &amp; $A194, Table2[HomeTeam], AB$1)</f>
        <v>17</v>
      </c>
      <c r="AC194" s="145">
        <f>SUMIFS(Table2[NewPointsAway],Table2[GameDate], "&lt;=" &amp; $A194, Table2[AwayTeam], AC$1)+SUMIFS(Table2[NewPointsHome],Table2[GameDate], "&lt;=" &amp; $A194, Table2[HomeTeam], AC$1)</f>
        <v>18</v>
      </c>
      <c r="AD194" s="145">
        <f>SUMIFS(Table2[NewPointsAway],Table2[GameDate], "&lt;=" &amp; $A194, Table2[AwayTeam], AD$1)+SUMIFS(Table2[NewPointsHome],Table2[GameDate], "&lt;=" &amp; $A194, Table2[HomeTeam], AD$1)</f>
        <v>17</v>
      </c>
      <c r="AE194" s="145">
        <f>SUMIFS(Table2[NewPointsAway],Table2[GameDate], "&lt;=" &amp; $A194, Table2[AwayTeam], AE$1)+SUMIFS(Table2[NewPointsHome],Table2[GameDate], "&lt;=" &amp; $A194, Table2[HomeTeam], AE$1)</f>
        <v>18</v>
      </c>
      <c r="AF194" s="145">
        <f>SUMIFS(Table2[NewPointsAway],Table2[GameDate], "&lt;=" &amp; $A194, Table2[AwayTeam], AF$1)+SUMIFS(Table2[NewPointsHome],Table2[GameDate], "&lt;=" &amp; $A194, Table2[HomeTeam], AF$1)</f>
        <v>20</v>
      </c>
      <c r="AG194" s="145">
        <f>SUMIFS(Table2[NewPointsAway],Table2[GameDate], "&lt;=" &amp; $A194, Table2[AwayTeam], AG$1)+SUMIFS(Table2[NewPointsHome],Table2[GameDate], "&lt;=" &amp; $A194, Table2[HomeTeam], AG$1)</f>
        <v>17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23</v>
      </c>
      <c r="C195" s="145">
        <f>SUMIFS(Table2[NewPointsAway],Table2[GameDate], "&lt;=" &amp; $A195, Table2[AwayTeam], C$1)+SUMIFS(Table2[NewPointsHome],Table2[GameDate], "&lt;=" &amp; $A195, Table2[HomeTeam], C$1)</f>
        <v>22</v>
      </c>
      <c r="D195" s="145">
        <f>SUMIFS(Table2[NewPointsAway],Table2[GameDate], "&lt;=" &amp; $A195, Table2[AwayTeam], D$1)+SUMIFS(Table2[NewPointsHome],Table2[GameDate], "&lt;=" &amp; $A195, Table2[HomeTeam], D$1)</f>
        <v>14</v>
      </c>
      <c r="E195" s="145">
        <f>SUMIFS(Table2[NewPointsAway],Table2[GameDate], "&lt;=" &amp; $A195, Table2[AwayTeam], E$1)+SUMIFS(Table2[NewPointsHome],Table2[GameDate], "&lt;=" &amp; $A195, Table2[HomeTeam], E$1)</f>
        <v>22</v>
      </c>
      <c r="F195" s="145">
        <f>SUMIFS(Table2[NewPointsAway],Table2[GameDate], "&lt;=" &amp; $A195, Table2[AwayTeam], F$1)+SUMIFS(Table2[NewPointsHome],Table2[GameDate], "&lt;=" &amp; $A195, Table2[HomeTeam], F$1)</f>
        <v>17</v>
      </c>
      <c r="G195" s="145">
        <f>SUMIFS(Table2[NewPointsAway],Table2[GameDate], "&lt;=" &amp; $A195, Table2[AwayTeam], G$1)+SUMIFS(Table2[NewPointsHome],Table2[GameDate], "&lt;=" &amp; $A195, Table2[HomeTeam], G$1)</f>
        <v>10</v>
      </c>
      <c r="H195" s="145">
        <f>SUMIFS(Table2[NewPointsAway],Table2[GameDate], "&lt;=" &amp; $A195, Table2[AwayTeam], H$1)+SUMIFS(Table2[NewPointsHome],Table2[GameDate], "&lt;=" &amp; $A195, Table2[HomeTeam], H$1)</f>
        <v>19</v>
      </c>
      <c r="I195" s="145">
        <f>SUMIFS(Table2[NewPointsAway],Table2[GameDate], "&lt;=" &amp; $A195, Table2[AwayTeam], I$1)+SUMIFS(Table2[NewPointsHome],Table2[GameDate], "&lt;=" &amp; $A195, Table2[HomeTeam], I$1)</f>
        <v>27</v>
      </c>
      <c r="J195" s="145">
        <f>SUMIFS(Table2[NewPointsAway],Table2[GameDate], "&lt;=" &amp; $A195, Table2[AwayTeam], J$1)+SUMIFS(Table2[NewPointsHome],Table2[GameDate], "&lt;=" &amp; $A195, Table2[HomeTeam], J$1)</f>
        <v>23</v>
      </c>
      <c r="K195" s="145">
        <f>SUMIFS(Table2[NewPointsAway],Table2[GameDate], "&lt;=" &amp; $A195, Table2[AwayTeam], K$1)+SUMIFS(Table2[NewPointsHome],Table2[GameDate], "&lt;=" &amp; $A195, Table2[HomeTeam], K$1)</f>
        <v>18</v>
      </c>
      <c r="L195" s="145">
        <f>SUMIFS(Table2[NewPointsAway],Table2[GameDate], "&lt;=" &amp; $A195, Table2[AwayTeam], L$1)+SUMIFS(Table2[NewPointsHome],Table2[GameDate], "&lt;=" &amp; $A195, Table2[HomeTeam], L$1)</f>
        <v>20</v>
      </c>
      <c r="M195" s="145">
        <f>SUMIFS(Table2[NewPointsAway],Table2[GameDate], "&lt;=" &amp; $A195, Table2[AwayTeam], M$1)+SUMIFS(Table2[NewPointsHome],Table2[GameDate], "&lt;=" &amp; $A195, Table2[HomeTeam], M$1)</f>
        <v>17</v>
      </c>
      <c r="N195" s="145">
        <f>SUMIFS(Table2[NewPointsAway],Table2[GameDate], "&lt;=" &amp; $A195, Table2[AwayTeam], N$1)+SUMIFS(Table2[NewPointsHome],Table2[GameDate], "&lt;=" &amp; $A195, Table2[HomeTeam], N$1)</f>
        <v>20</v>
      </c>
      <c r="O195" s="145">
        <f>SUMIFS(Table2[NewPointsAway],Table2[GameDate], "&lt;=" &amp; $A195, Table2[AwayTeam], O$1)+SUMIFS(Table2[NewPointsHome],Table2[GameDate], "&lt;=" &amp; $A195, Table2[HomeTeam], O$1)</f>
        <v>18</v>
      </c>
      <c r="P195" s="145">
        <f>SUMIFS(Table2[NewPointsAway],Table2[GameDate], "&lt;=" &amp; $A195, Table2[AwayTeam], P$1)+SUMIFS(Table2[NewPointsHome],Table2[GameDate], "&lt;=" &amp; $A195, Table2[HomeTeam], P$1)</f>
        <v>22</v>
      </c>
      <c r="Q195" s="145">
        <f>SUMIFS(Table2[NewPointsAway],Table2[GameDate], "&lt;=" &amp; $A195, Table2[AwayTeam], Q$1)+SUMIFS(Table2[NewPointsHome],Table2[GameDate], "&lt;=" &amp; $A195, Table2[HomeTeam], Q$1)</f>
        <v>23</v>
      </c>
      <c r="R195" s="145">
        <f>SUMIFS(Table2[NewPointsAway],Table2[GameDate], "&lt;=" &amp; $A195, Table2[AwayTeam], R$1)+SUMIFS(Table2[NewPointsHome],Table2[GameDate], "&lt;=" &amp; $A195, Table2[HomeTeam], R$1)</f>
        <v>14</v>
      </c>
      <c r="S195" s="145">
        <f>SUMIFS(Table2[NewPointsAway],Table2[GameDate], "&lt;=" &amp; $A195, Table2[AwayTeam], S$1)+SUMIFS(Table2[NewPointsHome],Table2[GameDate], "&lt;=" &amp; $A195, Table2[HomeTeam], S$1)</f>
        <v>18</v>
      </c>
      <c r="T195" s="145">
        <f>SUMIFS(Table2[NewPointsAway],Table2[GameDate], "&lt;=" &amp; $A195, Table2[AwayTeam], T$1)+SUMIFS(Table2[NewPointsHome],Table2[GameDate], "&lt;=" &amp; $A195, Table2[HomeTeam], T$1)</f>
        <v>20</v>
      </c>
      <c r="U195" s="145">
        <f>SUMIFS(Table2[NewPointsAway],Table2[GameDate], "&lt;=" &amp; $A195, Table2[AwayTeam], U$1)+SUMIFS(Table2[NewPointsHome],Table2[GameDate], "&lt;=" &amp; $A195, Table2[HomeTeam], U$1)</f>
        <v>20</v>
      </c>
      <c r="V195" s="145">
        <f>SUMIFS(Table2[NewPointsAway],Table2[GameDate], "&lt;=" &amp; $A195, Table2[AwayTeam], V$1)+SUMIFS(Table2[NewPointsHome],Table2[GameDate], "&lt;=" &amp; $A195, Table2[HomeTeam], V$1)</f>
        <v>19</v>
      </c>
      <c r="W195" s="145">
        <f>SUMIFS(Table2[NewPointsAway],Table2[GameDate], "&lt;=" &amp; $A195, Table2[AwayTeam], W$1)+SUMIFS(Table2[NewPointsHome],Table2[GameDate], "&lt;=" &amp; $A195, Table2[HomeTeam], W$1)</f>
        <v>21</v>
      </c>
      <c r="X195" s="145">
        <f>SUMIFS(Table2[NewPointsAway],Table2[GameDate], "&lt;=" &amp; $A195, Table2[AwayTeam], X$1)+SUMIFS(Table2[NewPointsHome],Table2[GameDate], "&lt;=" &amp; $A195, Table2[HomeTeam], X$1)</f>
        <v>19</v>
      </c>
      <c r="Y195" s="145">
        <f>SUMIFS(Table2[NewPointsAway],Table2[GameDate], "&lt;=" &amp; $A195, Table2[AwayTeam], Y$1)+SUMIFS(Table2[NewPointsHome],Table2[GameDate], "&lt;=" &amp; $A195, Table2[HomeTeam], Y$1)</f>
        <v>19</v>
      </c>
      <c r="Z195" s="145">
        <f>SUMIFS(Table2[NewPointsAway],Table2[GameDate], "&lt;=" &amp; $A195, Table2[AwayTeam], Z$1)+SUMIFS(Table2[NewPointsHome],Table2[GameDate], "&lt;=" &amp; $A195, Table2[HomeTeam], Z$1)</f>
        <v>15</v>
      </c>
      <c r="AA195" s="145">
        <f>SUMIFS(Table2[NewPointsAway],Table2[GameDate], "&lt;=" &amp; $A195, Table2[AwayTeam], AA$1)+SUMIFS(Table2[NewPointsHome],Table2[GameDate], "&lt;=" &amp; $A195, Table2[HomeTeam], AA$1)</f>
        <v>18</v>
      </c>
      <c r="AB195" s="145">
        <f>SUMIFS(Table2[NewPointsAway],Table2[GameDate], "&lt;=" &amp; $A195, Table2[AwayTeam], AB$1)+SUMIFS(Table2[NewPointsHome],Table2[GameDate], "&lt;=" &amp; $A195, Table2[HomeTeam], AB$1)</f>
        <v>17</v>
      </c>
      <c r="AC195" s="145">
        <f>SUMIFS(Table2[NewPointsAway],Table2[GameDate], "&lt;=" &amp; $A195, Table2[AwayTeam], AC$1)+SUMIFS(Table2[NewPointsHome],Table2[GameDate], "&lt;=" &amp; $A195, Table2[HomeTeam], AC$1)</f>
        <v>18</v>
      </c>
      <c r="AD195" s="145">
        <f>SUMIFS(Table2[NewPointsAway],Table2[GameDate], "&lt;=" &amp; $A195, Table2[AwayTeam], AD$1)+SUMIFS(Table2[NewPointsHome],Table2[GameDate], "&lt;=" &amp; $A195, Table2[HomeTeam], AD$1)</f>
        <v>17</v>
      </c>
      <c r="AE195" s="145">
        <f>SUMIFS(Table2[NewPointsAway],Table2[GameDate], "&lt;=" &amp; $A195, Table2[AwayTeam], AE$1)+SUMIFS(Table2[NewPointsHome],Table2[GameDate], "&lt;=" &amp; $A195, Table2[HomeTeam], AE$1)</f>
        <v>18</v>
      </c>
      <c r="AF195" s="145">
        <f>SUMIFS(Table2[NewPointsAway],Table2[GameDate], "&lt;=" &amp; $A195, Table2[AwayTeam], AF$1)+SUMIFS(Table2[NewPointsHome],Table2[GameDate], "&lt;=" &amp; $A195, Table2[HomeTeam], AF$1)</f>
        <v>20</v>
      </c>
      <c r="AG195" s="145">
        <f>SUMIFS(Table2[NewPointsAway],Table2[GameDate], "&lt;=" &amp; $A195, Table2[AwayTeam], AG$1)+SUMIFS(Table2[NewPointsHome],Table2[GameDate], "&lt;=" &amp; $A195, Table2[HomeTeam], AG$1)</f>
        <v>17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23</v>
      </c>
      <c r="C196" s="145">
        <f>SUMIFS(Table2[NewPointsAway],Table2[GameDate], "&lt;=" &amp; $A196, Table2[AwayTeam], C$1)+SUMIFS(Table2[NewPointsHome],Table2[GameDate], "&lt;=" &amp; $A196, Table2[HomeTeam], C$1)</f>
        <v>22</v>
      </c>
      <c r="D196" s="145">
        <f>SUMIFS(Table2[NewPointsAway],Table2[GameDate], "&lt;=" &amp; $A196, Table2[AwayTeam], D$1)+SUMIFS(Table2[NewPointsHome],Table2[GameDate], "&lt;=" &amp; $A196, Table2[HomeTeam], D$1)</f>
        <v>14</v>
      </c>
      <c r="E196" s="145">
        <f>SUMIFS(Table2[NewPointsAway],Table2[GameDate], "&lt;=" &amp; $A196, Table2[AwayTeam], E$1)+SUMIFS(Table2[NewPointsHome],Table2[GameDate], "&lt;=" &amp; $A196, Table2[HomeTeam], E$1)</f>
        <v>22</v>
      </c>
      <c r="F196" s="145">
        <f>SUMIFS(Table2[NewPointsAway],Table2[GameDate], "&lt;=" &amp; $A196, Table2[AwayTeam], F$1)+SUMIFS(Table2[NewPointsHome],Table2[GameDate], "&lt;=" &amp; $A196, Table2[HomeTeam], F$1)</f>
        <v>17</v>
      </c>
      <c r="G196" s="145">
        <f>SUMIFS(Table2[NewPointsAway],Table2[GameDate], "&lt;=" &amp; $A196, Table2[AwayTeam], G$1)+SUMIFS(Table2[NewPointsHome],Table2[GameDate], "&lt;=" &amp; $A196, Table2[HomeTeam], G$1)</f>
        <v>10</v>
      </c>
      <c r="H196" s="145">
        <f>SUMIFS(Table2[NewPointsAway],Table2[GameDate], "&lt;=" &amp; $A196, Table2[AwayTeam], H$1)+SUMIFS(Table2[NewPointsHome],Table2[GameDate], "&lt;=" &amp; $A196, Table2[HomeTeam], H$1)</f>
        <v>19</v>
      </c>
      <c r="I196" s="145">
        <f>SUMIFS(Table2[NewPointsAway],Table2[GameDate], "&lt;=" &amp; $A196, Table2[AwayTeam], I$1)+SUMIFS(Table2[NewPointsHome],Table2[GameDate], "&lt;=" &amp; $A196, Table2[HomeTeam], I$1)</f>
        <v>27</v>
      </c>
      <c r="J196" s="145">
        <f>SUMIFS(Table2[NewPointsAway],Table2[GameDate], "&lt;=" &amp; $A196, Table2[AwayTeam], J$1)+SUMIFS(Table2[NewPointsHome],Table2[GameDate], "&lt;=" &amp; $A196, Table2[HomeTeam], J$1)</f>
        <v>23</v>
      </c>
      <c r="K196" s="145">
        <f>SUMIFS(Table2[NewPointsAway],Table2[GameDate], "&lt;=" &amp; $A196, Table2[AwayTeam], K$1)+SUMIFS(Table2[NewPointsHome],Table2[GameDate], "&lt;=" &amp; $A196, Table2[HomeTeam], K$1)</f>
        <v>18</v>
      </c>
      <c r="L196" s="145">
        <f>SUMIFS(Table2[NewPointsAway],Table2[GameDate], "&lt;=" &amp; $A196, Table2[AwayTeam], L$1)+SUMIFS(Table2[NewPointsHome],Table2[GameDate], "&lt;=" &amp; $A196, Table2[HomeTeam], L$1)</f>
        <v>20</v>
      </c>
      <c r="M196" s="145">
        <f>SUMIFS(Table2[NewPointsAway],Table2[GameDate], "&lt;=" &amp; $A196, Table2[AwayTeam], M$1)+SUMIFS(Table2[NewPointsHome],Table2[GameDate], "&lt;=" &amp; $A196, Table2[HomeTeam], M$1)</f>
        <v>17</v>
      </c>
      <c r="N196" s="145">
        <f>SUMIFS(Table2[NewPointsAway],Table2[GameDate], "&lt;=" &amp; $A196, Table2[AwayTeam], N$1)+SUMIFS(Table2[NewPointsHome],Table2[GameDate], "&lt;=" &amp; $A196, Table2[HomeTeam], N$1)</f>
        <v>20</v>
      </c>
      <c r="O196" s="145">
        <f>SUMIFS(Table2[NewPointsAway],Table2[GameDate], "&lt;=" &amp; $A196, Table2[AwayTeam], O$1)+SUMIFS(Table2[NewPointsHome],Table2[GameDate], "&lt;=" &amp; $A196, Table2[HomeTeam], O$1)</f>
        <v>18</v>
      </c>
      <c r="P196" s="145">
        <f>SUMIFS(Table2[NewPointsAway],Table2[GameDate], "&lt;=" &amp; $A196, Table2[AwayTeam], P$1)+SUMIFS(Table2[NewPointsHome],Table2[GameDate], "&lt;=" &amp; $A196, Table2[HomeTeam], P$1)</f>
        <v>22</v>
      </c>
      <c r="Q196" s="145">
        <f>SUMIFS(Table2[NewPointsAway],Table2[GameDate], "&lt;=" &amp; $A196, Table2[AwayTeam], Q$1)+SUMIFS(Table2[NewPointsHome],Table2[GameDate], "&lt;=" &amp; $A196, Table2[HomeTeam], Q$1)</f>
        <v>23</v>
      </c>
      <c r="R196" s="145">
        <f>SUMIFS(Table2[NewPointsAway],Table2[GameDate], "&lt;=" &amp; $A196, Table2[AwayTeam], R$1)+SUMIFS(Table2[NewPointsHome],Table2[GameDate], "&lt;=" &amp; $A196, Table2[HomeTeam], R$1)</f>
        <v>14</v>
      </c>
      <c r="S196" s="145">
        <f>SUMIFS(Table2[NewPointsAway],Table2[GameDate], "&lt;=" &amp; $A196, Table2[AwayTeam], S$1)+SUMIFS(Table2[NewPointsHome],Table2[GameDate], "&lt;=" &amp; $A196, Table2[HomeTeam], S$1)</f>
        <v>18</v>
      </c>
      <c r="T196" s="145">
        <f>SUMIFS(Table2[NewPointsAway],Table2[GameDate], "&lt;=" &amp; $A196, Table2[AwayTeam], T$1)+SUMIFS(Table2[NewPointsHome],Table2[GameDate], "&lt;=" &amp; $A196, Table2[HomeTeam], T$1)</f>
        <v>20</v>
      </c>
      <c r="U196" s="145">
        <f>SUMIFS(Table2[NewPointsAway],Table2[GameDate], "&lt;=" &amp; $A196, Table2[AwayTeam], U$1)+SUMIFS(Table2[NewPointsHome],Table2[GameDate], "&lt;=" &amp; $A196, Table2[HomeTeam], U$1)</f>
        <v>20</v>
      </c>
      <c r="V196" s="145">
        <f>SUMIFS(Table2[NewPointsAway],Table2[GameDate], "&lt;=" &amp; $A196, Table2[AwayTeam], V$1)+SUMIFS(Table2[NewPointsHome],Table2[GameDate], "&lt;=" &amp; $A196, Table2[HomeTeam], V$1)</f>
        <v>19</v>
      </c>
      <c r="W196" s="145">
        <f>SUMIFS(Table2[NewPointsAway],Table2[GameDate], "&lt;=" &amp; $A196, Table2[AwayTeam], W$1)+SUMIFS(Table2[NewPointsHome],Table2[GameDate], "&lt;=" &amp; $A196, Table2[HomeTeam], W$1)</f>
        <v>21</v>
      </c>
      <c r="X196" s="145">
        <f>SUMIFS(Table2[NewPointsAway],Table2[GameDate], "&lt;=" &amp; $A196, Table2[AwayTeam], X$1)+SUMIFS(Table2[NewPointsHome],Table2[GameDate], "&lt;=" &amp; $A196, Table2[HomeTeam], X$1)</f>
        <v>19</v>
      </c>
      <c r="Y196" s="145">
        <f>SUMIFS(Table2[NewPointsAway],Table2[GameDate], "&lt;=" &amp; $A196, Table2[AwayTeam], Y$1)+SUMIFS(Table2[NewPointsHome],Table2[GameDate], "&lt;=" &amp; $A196, Table2[HomeTeam], Y$1)</f>
        <v>19</v>
      </c>
      <c r="Z196" s="145">
        <f>SUMIFS(Table2[NewPointsAway],Table2[GameDate], "&lt;=" &amp; $A196, Table2[AwayTeam], Z$1)+SUMIFS(Table2[NewPointsHome],Table2[GameDate], "&lt;=" &amp; $A196, Table2[HomeTeam], Z$1)</f>
        <v>15</v>
      </c>
      <c r="AA196" s="145">
        <f>SUMIFS(Table2[NewPointsAway],Table2[GameDate], "&lt;=" &amp; $A196, Table2[AwayTeam], AA$1)+SUMIFS(Table2[NewPointsHome],Table2[GameDate], "&lt;=" &amp; $A196, Table2[HomeTeam], AA$1)</f>
        <v>18</v>
      </c>
      <c r="AB196" s="145">
        <f>SUMIFS(Table2[NewPointsAway],Table2[GameDate], "&lt;=" &amp; $A196, Table2[AwayTeam], AB$1)+SUMIFS(Table2[NewPointsHome],Table2[GameDate], "&lt;=" &amp; $A196, Table2[HomeTeam], AB$1)</f>
        <v>17</v>
      </c>
      <c r="AC196" s="145">
        <f>SUMIFS(Table2[NewPointsAway],Table2[GameDate], "&lt;=" &amp; $A196, Table2[AwayTeam], AC$1)+SUMIFS(Table2[NewPointsHome],Table2[GameDate], "&lt;=" &amp; $A196, Table2[HomeTeam], AC$1)</f>
        <v>18</v>
      </c>
      <c r="AD196" s="145">
        <f>SUMIFS(Table2[NewPointsAway],Table2[GameDate], "&lt;=" &amp; $A196, Table2[AwayTeam], AD$1)+SUMIFS(Table2[NewPointsHome],Table2[GameDate], "&lt;=" &amp; $A196, Table2[HomeTeam], AD$1)</f>
        <v>17</v>
      </c>
      <c r="AE196" s="145">
        <f>SUMIFS(Table2[NewPointsAway],Table2[GameDate], "&lt;=" &amp; $A196, Table2[AwayTeam], AE$1)+SUMIFS(Table2[NewPointsHome],Table2[GameDate], "&lt;=" &amp; $A196, Table2[HomeTeam], AE$1)</f>
        <v>18</v>
      </c>
      <c r="AF196" s="145">
        <f>SUMIFS(Table2[NewPointsAway],Table2[GameDate], "&lt;=" &amp; $A196, Table2[AwayTeam], AF$1)+SUMIFS(Table2[NewPointsHome],Table2[GameDate], "&lt;=" &amp; $A196, Table2[HomeTeam], AF$1)</f>
        <v>20</v>
      </c>
      <c r="AG196" s="145">
        <f>SUMIFS(Table2[NewPointsAway],Table2[GameDate], "&lt;=" &amp; $A196, Table2[AwayTeam], AG$1)+SUMIFS(Table2[NewPointsHome],Table2[GameDate], "&lt;=" &amp; $A196, Table2[HomeTeam], AG$1)</f>
        <v>17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23</v>
      </c>
      <c r="C197" s="145">
        <f>SUMIFS(Table2[NewPointsAway],Table2[GameDate], "&lt;=" &amp; $A197, Table2[AwayTeam], C$1)+SUMIFS(Table2[NewPointsHome],Table2[GameDate], "&lt;=" &amp; $A197, Table2[HomeTeam], C$1)</f>
        <v>22</v>
      </c>
      <c r="D197" s="145">
        <f>SUMIFS(Table2[NewPointsAway],Table2[GameDate], "&lt;=" &amp; $A197, Table2[AwayTeam], D$1)+SUMIFS(Table2[NewPointsHome],Table2[GameDate], "&lt;=" &amp; $A197, Table2[HomeTeam], D$1)</f>
        <v>14</v>
      </c>
      <c r="E197" s="145">
        <f>SUMIFS(Table2[NewPointsAway],Table2[GameDate], "&lt;=" &amp; $A197, Table2[AwayTeam], E$1)+SUMIFS(Table2[NewPointsHome],Table2[GameDate], "&lt;=" &amp; $A197, Table2[HomeTeam], E$1)</f>
        <v>22</v>
      </c>
      <c r="F197" s="145">
        <f>SUMIFS(Table2[NewPointsAway],Table2[GameDate], "&lt;=" &amp; $A197, Table2[AwayTeam], F$1)+SUMIFS(Table2[NewPointsHome],Table2[GameDate], "&lt;=" &amp; $A197, Table2[HomeTeam], F$1)</f>
        <v>17</v>
      </c>
      <c r="G197" s="145">
        <f>SUMIFS(Table2[NewPointsAway],Table2[GameDate], "&lt;=" &amp; $A197, Table2[AwayTeam], G$1)+SUMIFS(Table2[NewPointsHome],Table2[GameDate], "&lt;=" &amp; $A197, Table2[HomeTeam], G$1)</f>
        <v>10</v>
      </c>
      <c r="H197" s="145">
        <f>SUMIFS(Table2[NewPointsAway],Table2[GameDate], "&lt;=" &amp; $A197, Table2[AwayTeam], H$1)+SUMIFS(Table2[NewPointsHome],Table2[GameDate], "&lt;=" &amp; $A197, Table2[HomeTeam], H$1)</f>
        <v>19</v>
      </c>
      <c r="I197" s="145">
        <f>SUMIFS(Table2[NewPointsAway],Table2[GameDate], "&lt;=" &amp; $A197, Table2[AwayTeam], I$1)+SUMIFS(Table2[NewPointsHome],Table2[GameDate], "&lt;=" &amp; $A197, Table2[HomeTeam], I$1)</f>
        <v>27</v>
      </c>
      <c r="J197" s="145">
        <f>SUMIFS(Table2[NewPointsAway],Table2[GameDate], "&lt;=" &amp; $A197, Table2[AwayTeam], J$1)+SUMIFS(Table2[NewPointsHome],Table2[GameDate], "&lt;=" &amp; $A197, Table2[HomeTeam], J$1)</f>
        <v>23</v>
      </c>
      <c r="K197" s="145">
        <f>SUMIFS(Table2[NewPointsAway],Table2[GameDate], "&lt;=" &amp; $A197, Table2[AwayTeam], K$1)+SUMIFS(Table2[NewPointsHome],Table2[GameDate], "&lt;=" &amp; $A197, Table2[HomeTeam], K$1)</f>
        <v>18</v>
      </c>
      <c r="L197" s="145">
        <f>SUMIFS(Table2[NewPointsAway],Table2[GameDate], "&lt;=" &amp; $A197, Table2[AwayTeam], L$1)+SUMIFS(Table2[NewPointsHome],Table2[GameDate], "&lt;=" &amp; $A197, Table2[HomeTeam], L$1)</f>
        <v>20</v>
      </c>
      <c r="M197" s="145">
        <f>SUMIFS(Table2[NewPointsAway],Table2[GameDate], "&lt;=" &amp; $A197, Table2[AwayTeam], M$1)+SUMIFS(Table2[NewPointsHome],Table2[GameDate], "&lt;=" &amp; $A197, Table2[HomeTeam], M$1)</f>
        <v>17</v>
      </c>
      <c r="N197" s="145">
        <f>SUMIFS(Table2[NewPointsAway],Table2[GameDate], "&lt;=" &amp; $A197, Table2[AwayTeam], N$1)+SUMIFS(Table2[NewPointsHome],Table2[GameDate], "&lt;=" &amp; $A197, Table2[HomeTeam], N$1)</f>
        <v>20</v>
      </c>
      <c r="O197" s="145">
        <f>SUMIFS(Table2[NewPointsAway],Table2[GameDate], "&lt;=" &amp; $A197, Table2[AwayTeam], O$1)+SUMIFS(Table2[NewPointsHome],Table2[GameDate], "&lt;=" &amp; $A197, Table2[HomeTeam], O$1)</f>
        <v>18</v>
      </c>
      <c r="P197" s="145">
        <f>SUMIFS(Table2[NewPointsAway],Table2[GameDate], "&lt;=" &amp; $A197, Table2[AwayTeam], P$1)+SUMIFS(Table2[NewPointsHome],Table2[GameDate], "&lt;=" &amp; $A197, Table2[HomeTeam], P$1)</f>
        <v>22</v>
      </c>
      <c r="Q197" s="145">
        <f>SUMIFS(Table2[NewPointsAway],Table2[GameDate], "&lt;=" &amp; $A197, Table2[AwayTeam], Q$1)+SUMIFS(Table2[NewPointsHome],Table2[GameDate], "&lt;=" &amp; $A197, Table2[HomeTeam], Q$1)</f>
        <v>23</v>
      </c>
      <c r="R197" s="145">
        <f>SUMIFS(Table2[NewPointsAway],Table2[GameDate], "&lt;=" &amp; $A197, Table2[AwayTeam], R$1)+SUMIFS(Table2[NewPointsHome],Table2[GameDate], "&lt;=" &amp; $A197, Table2[HomeTeam], R$1)</f>
        <v>14</v>
      </c>
      <c r="S197" s="145">
        <f>SUMIFS(Table2[NewPointsAway],Table2[GameDate], "&lt;=" &amp; $A197, Table2[AwayTeam], S$1)+SUMIFS(Table2[NewPointsHome],Table2[GameDate], "&lt;=" &amp; $A197, Table2[HomeTeam], S$1)</f>
        <v>18</v>
      </c>
      <c r="T197" s="145">
        <f>SUMIFS(Table2[NewPointsAway],Table2[GameDate], "&lt;=" &amp; $A197, Table2[AwayTeam], T$1)+SUMIFS(Table2[NewPointsHome],Table2[GameDate], "&lt;=" &amp; $A197, Table2[HomeTeam], T$1)</f>
        <v>20</v>
      </c>
      <c r="U197" s="145">
        <f>SUMIFS(Table2[NewPointsAway],Table2[GameDate], "&lt;=" &amp; $A197, Table2[AwayTeam], U$1)+SUMIFS(Table2[NewPointsHome],Table2[GameDate], "&lt;=" &amp; $A197, Table2[HomeTeam], U$1)</f>
        <v>20</v>
      </c>
      <c r="V197" s="145">
        <f>SUMIFS(Table2[NewPointsAway],Table2[GameDate], "&lt;=" &amp; $A197, Table2[AwayTeam], V$1)+SUMIFS(Table2[NewPointsHome],Table2[GameDate], "&lt;=" &amp; $A197, Table2[HomeTeam], V$1)</f>
        <v>19</v>
      </c>
      <c r="W197" s="145">
        <f>SUMIFS(Table2[NewPointsAway],Table2[GameDate], "&lt;=" &amp; $A197, Table2[AwayTeam], W$1)+SUMIFS(Table2[NewPointsHome],Table2[GameDate], "&lt;=" &amp; $A197, Table2[HomeTeam], W$1)</f>
        <v>21</v>
      </c>
      <c r="X197" s="145">
        <f>SUMIFS(Table2[NewPointsAway],Table2[GameDate], "&lt;=" &amp; $A197, Table2[AwayTeam], X$1)+SUMIFS(Table2[NewPointsHome],Table2[GameDate], "&lt;=" &amp; $A197, Table2[HomeTeam], X$1)</f>
        <v>19</v>
      </c>
      <c r="Y197" s="145">
        <f>SUMIFS(Table2[NewPointsAway],Table2[GameDate], "&lt;=" &amp; $A197, Table2[AwayTeam], Y$1)+SUMIFS(Table2[NewPointsHome],Table2[GameDate], "&lt;=" &amp; $A197, Table2[HomeTeam], Y$1)</f>
        <v>19</v>
      </c>
      <c r="Z197" s="145">
        <f>SUMIFS(Table2[NewPointsAway],Table2[GameDate], "&lt;=" &amp; $A197, Table2[AwayTeam], Z$1)+SUMIFS(Table2[NewPointsHome],Table2[GameDate], "&lt;=" &amp; $A197, Table2[HomeTeam], Z$1)</f>
        <v>15</v>
      </c>
      <c r="AA197" s="145">
        <f>SUMIFS(Table2[NewPointsAway],Table2[GameDate], "&lt;=" &amp; $A197, Table2[AwayTeam], AA$1)+SUMIFS(Table2[NewPointsHome],Table2[GameDate], "&lt;=" &amp; $A197, Table2[HomeTeam], AA$1)</f>
        <v>18</v>
      </c>
      <c r="AB197" s="145">
        <f>SUMIFS(Table2[NewPointsAway],Table2[GameDate], "&lt;=" &amp; $A197, Table2[AwayTeam], AB$1)+SUMIFS(Table2[NewPointsHome],Table2[GameDate], "&lt;=" &amp; $A197, Table2[HomeTeam], AB$1)</f>
        <v>17</v>
      </c>
      <c r="AC197" s="145">
        <f>SUMIFS(Table2[NewPointsAway],Table2[GameDate], "&lt;=" &amp; $A197, Table2[AwayTeam], AC$1)+SUMIFS(Table2[NewPointsHome],Table2[GameDate], "&lt;=" &amp; $A197, Table2[HomeTeam], AC$1)</f>
        <v>18</v>
      </c>
      <c r="AD197" s="145">
        <f>SUMIFS(Table2[NewPointsAway],Table2[GameDate], "&lt;=" &amp; $A197, Table2[AwayTeam], AD$1)+SUMIFS(Table2[NewPointsHome],Table2[GameDate], "&lt;=" &amp; $A197, Table2[HomeTeam], AD$1)</f>
        <v>17</v>
      </c>
      <c r="AE197" s="145">
        <f>SUMIFS(Table2[NewPointsAway],Table2[GameDate], "&lt;=" &amp; $A197, Table2[AwayTeam], AE$1)+SUMIFS(Table2[NewPointsHome],Table2[GameDate], "&lt;=" &amp; $A197, Table2[HomeTeam], AE$1)</f>
        <v>18</v>
      </c>
      <c r="AF197" s="145">
        <f>SUMIFS(Table2[NewPointsAway],Table2[GameDate], "&lt;=" &amp; $A197, Table2[AwayTeam], AF$1)+SUMIFS(Table2[NewPointsHome],Table2[GameDate], "&lt;=" &amp; $A197, Table2[HomeTeam], AF$1)</f>
        <v>20</v>
      </c>
      <c r="AG197" s="145">
        <f>SUMIFS(Table2[NewPointsAway],Table2[GameDate], "&lt;=" &amp; $A197, Table2[AwayTeam], AG$1)+SUMIFS(Table2[NewPointsHome],Table2[GameDate], "&lt;=" &amp; $A197, Table2[HomeTeam], AG$1)</f>
        <v>17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23</v>
      </c>
      <c r="C198" s="145">
        <f>SUMIFS(Table2[NewPointsAway],Table2[GameDate], "&lt;=" &amp; $A198, Table2[AwayTeam], C$1)+SUMIFS(Table2[NewPointsHome],Table2[GameDate], "&lt;=" &amp; $A198, Table2[HomeTeam], C$1)</f>
        <v>22</v>
      </c>
      <c r="D198" s="145">
        <f>SUMIFS(Table2[NewPointsAway],Table2[GameDate], "&lt;=" &amp; $A198, Table2[AwayTeam], D$1)+SUMIFS(Table2[NewPointsHome],Table2[GameDate], "&lt;=" &amp; $A198, Table2[HomeTeam], D$1)</f>
        <v>14</v>
      </c>
      <c r="E198" s="145">
        <f>SUMIFS(Table2[NewPointsAway],Table2[GameDate], "&lt;=" &amp; $A198, Table2[AwayTeam], E$1)+SUMIFS(Table2[NewPointsHome],Table2[GameDate], "&lt;=" &amp; $A198, Table2[HomeTeam], E$1)</f>
        <v>22</v>
      </c>
      <c r="F198" s="145">
        <f>SUMIFS(Table2[NewPointsAway],Table2[GameDate], "&lt;=" &amp; $A198, Table2[AwayTeam], F$1)+SUMIFS(Table2[NewPointsHome],Table2[GameDate], "&lt;=" &amp; $A198, Table2[HomeTeam], F$1)</f>
        <v>17</v>
      </c>
      <c r="G198" s="145">
        <f>SUMIFS(Table2[NewPointsAway],Table2[GameDate], "&lt;=" &amp; $A198, Table2[AwayTeam], G$1)+SUMIFS(Table2[NewPointsHome],Table2[GameDate], "&lt;=" &amp; $A198, Table2[HomeTeam], G$1)</f>
        <v>10</v>
      </c>
      <c r="H198" s="145">
        <f>SUMIFS(Table2[NewPointsAway],Table2[GameDate], "&lt;=" &amp; $A198, Table2[AwayTeam], H$1)+SUMIFS(Table2[NewPointsHome],Table2[GameDate], "&lt;=" &amp; $A198, Table2[HomeTeam], H$1)</f>
        <v>19</v>
      </c>
      <c r="I198" s="145">
        <f>SUMIFS(Table2[NewPointsAway],Table2[GameDate], "&lt;=" &amp; $A198, Table2[AwayTeam], I$1)+SUMIFS(Table2[NewPointsHome],Table2[GameDate], "&lt;=" &amp; $A198, Table2[HomeTeam], I$1)</f>
        <v>27</v>
      </c>
      <c r="J198" s="145">
        <f>SUMIFS(Table2[NewPointsAway],Table2[GameDate], "&lt;=" &amp; $A198, Table2[AwayTeam], J$1)+SUMIFS(Table2[NewPointsHome],Table2[GameDate], "&lt;=" &amp; $A198, Table2[HomeTeam], J$1)</f>
        <v>23</v>
      </c>
      <c r="K198" s="145">
        <f>SUMIFS(Table2[NewPointsAway],Table2[GameDate], "&lt;=" &amp; $A198, Table2[AwayTeam], K$1)+SUMIFS(Table2[NewPointsHome],Table2[GameDate], "&lt;=" &amp; $A198, Table2[HomeTeam], K$1)</f>
        <v>18</v>
      </c>
      <c r="L198" s="145">
        <f>SUMIFS(Table2[NewPointsAway],Table2[GameDate], "&lt;=" &amp; $A198, Table2[AwayTeam], L$1)+SUMIFS(Table2[NewPointsHome],Table2[GameDate], "&lt;=" &amp; $A198, Table2[HomeTeam], L$1)</f>
        <v>20</v>
      </c>
      <c r="M198" s="145">
        <f>SUMIFS(Table2[NewPointsAway],Table2[GameDate], "&lt;=" &amp; $A198, Table2[AwayTeam], M$1)+SUMIFS(Table2[NewPointsHome],Table2[GameDate], "&lt;=" &amp; $A198, Table2[HomeTeam], M$1)</f>
        <v>17</v>
      </c>
      <c r="N198" s="145">
        <f>SUMIFS(Table2[NewPointsAway],Table2[GameDate], "&lt;=" &amp; $A198, Table2[AwayTeam], N$1)+SUMIFS(Table2[NewPointsHome],Table2[GameDate], "&lt;=" &amp; $A198, Table2[HomeTeam], N$1)</f>
        <v>20</v>
      </c>
      <c r="O198" s="145">
        <f>SUMIFS(Table2[NewPointsAway],Table2[GameDate], "&lt;=" &amp; $A198, Table2[AwayTeam], O$1)+SUMIFS(Table2[NewPointsHome],Table2[GameDate], "&lt;=" &amp; $A198, Table2[HomeTeam], O$1)</f>
        <v>18</v>
      </c>
      <c r="P198" s="145">
        <f>SUMIFS(Table2[NewPointsAway],Table2[GameDate], "&lt;=" &amp; $A198, Table2[AwayTeam], P$1)+SUMIFS(Table2[NewPointsHome],Table2[GameDate], "&lt;=" &amp; $A198, Table2[HomeTeam], P$1)</f>
        <v>22</v>
      </c>
      <c r="Q198" s="145">
        <f>SUMIFS(Table2[NewPointsAway],Table2[GameDate], "&lt;=" &amp; $A198, Table2[AwayTeam], Q$1)+SUMIFS(Table2[NewPointsHome],Table2[GameDate], "&lt;=" &amp; $A198, Table2[HomeTeam], Q$1)</f>
        <v>23</v>
      </c>
      <c r="R198" s="145">
        <f>SUMIFS(Table2[NewPointsAway],Table2[GameDate], "&lt;=" &amp; $A198, Table2[AwayTeam], R$1)+SUMIFS(Table2[NewPointsHome],Table2[GameDate], "&lt;=" &amp; $A198, Table2[HomeTeam], R$1)</f>
        <v>14</v>
      </c>
      <c r="S198" s="145">
        <f>SUMIFS(Table2[NewPointsAway],Table2[GameDate], "&lt;=" &amp; $A198, Table2[AwayTeam], S$1)+SUMIFS(Table2[NewPointsHome],Table2[GameDate], "&lt;=" &amp; $A198, Table2[HomeTeam], S$1)</f>
        <v>18</v>
      </c>
      <c r="T198" s="145">
        <f>SUMIFS(Table2[NewPointsAway],Table2[GameDate], "&lt;=" &amp; $A198, Table2[AwayTeam], T$1)+SUMIFS(Table2[NewPointsHome],Table2[GameDate], "&lt;=" &amp; $A198, Table2[HomeTeam], T$1)</f>
        <v>20</v>
      </c>
      <c r="U198" s="145">
        <f>SUMIFS(Table2[NewPointsAway],Table2[GameDate], "&lt;=" &amp; $A198, Table2[AwayTeam], U$1)+SUMIFS(Table2[NewPointsHome],Table2[GameDate], "&lt;=" &amp; $A198, Table2[HomeTeam], U$1)</f>
        <v>20</v>
      </c>
      <c r="V198" s="145">
        <f>SUMIFS(Table2[NewPointsAway],Table2[GameDate], "&lt;=" &amp; $A198, Table2[AwayTeam], V$1)+SUMIFS(Table2[NewPointsHome],Table2[GameDate], "&lt;=" &amp; $A198, Table2[HomeTeam], V$1)</f>
        <v>19</v>
      </c>
      <c r="W198" s="145">
        <f>SUMIFS(Table2[NewPointsAway],Table2[GameDate], "&lt;=" &amp; $A198, Table2[AwayTeam], W$1)+SUMIFS(Table2[NewPointsHome],Table2[GameDate], "&lt;=" &amp; $A198, Table2[HomeTeam], W$1)</f>
        <v>21</v>
      </c>
      <c r="X198" s="145">
        <f>SUMIFS(Table2[NewPointsAway],Table2[GameDate], "&lt;=" &amp; $A198, Table2[AwayTeam], X$1)+SUMIFS(Table2[NewPointsHome],Table2[GameDate], "&lt;=" &amp; $A198, Table2[HomeTeam], X$1)</f>
        <v>19</v>
      </c>
      <c r="Y198" s="145">
        <f>SUMIFS(Table2[NewPointsAway],Table2[GameDate], "&lt;=" &amp; $A198, Table2[AwayTeam], Y$1)+SUMIFS(Table2[NewPointsHome],Table2[GameDate], "&lt;=" &amp; $A198, Table2[HomeTeam], Y$1)</f>
        <v>19</v>
      </c>
      <c r="Z198" s="145">
        <f>SUMIFS(Table2[NewPointsAway],Table2[GameDate], "&lt;=" &amp; $A198, Table2[AwayTeam], Z$1)+SUMIFS(Table2[NewPointsHome],Table2[GameDate], "&lt;=" &amp; $A198, Table2[HomeTeam], Z$1)</f>
        <v>15</v>
      </c>
      <c r="AA198" s="145">
        <f>SUMIFS(Table2[NewPointsAway],Table2[GameDate], "&lt;=" &amp; $A198, Table2[AwayTeam], AA$1)+SUMIFS(Table2[NewPointsHome],Table2[GameDate], "&lt;=" &amp; $A198, Table2[HomeTeam], AA$1)</f>
        <v>18</v>
      </c>
      <c r="AB198" s="145">
        <f>SUMIFS(Table2[NewPointsAway],Table2[GameDate], "&lt;=" &amp; $A198, Table2[AwayTeam], AB$1)+SUMIFS(Table2[NewPointsHome],Table2[GameDate], "&lt;=" &amp; $A198, Table2[HomeTeam], AB$1)</f>
        <v>17</v>
      </c>
      <c r="AC198" s="145">
        <f>SUMIFS(Table2[NewPointsAway],Table2[GameDate], "&lt;=" &amp; $A198, Table2[AwayTeam], AC$1)+SUMIFS(Table2[NewPointsHome],Table2[GameDate], "&lt;=" &amp; $A198, Table2[HomeTeam], AC$1)</f>
        <v>18</v>
      </c>
      <c r="AD198" s="145">
        <f>SUMIFS(Table2[NewPointsAway],Table2[GameDate], "&lt;=" &amp; $A198, Table2[AwayTeam], AD$1)+SUMIFS(Table2[NewPointsHome],Table2[GameDate], "&lt;=" &amp; $A198, Table2[HomeTeam], AD$1)</f>
        <v>17</v>
      </c>
      <c r="AE198" s="145">
        <f>SUMIFS(Table2[NewPointsAway],Table2[GameDate], "&lt;=" &amp; $A198, Table2[AwayTeam], AE$1)+SUMIFS(Table2[NewPointsHome],Table2[GameDate], "&lt;=" &amp; $A198, Table2[HomeTeam], AE$1)</f>
        <v>18</v>
      </c>
      <c r="AF198" s="145">
        <f>SUMIFS(Table2[NewPointsAway],Table2[GameDate], "&lt;=" &amp; $A198, Table2[AwayTeam], AF$1)+SUMIFS(Table2[NewPointsHome],Table2[GameDate], "&lt;=" &amp; $A198, Table2[HomeTeam], AF$1)</f>
        <v>20</v>
      </c>
      <c r="AG198" s="145">
        <f>SUMIFS(Table2[NewPointsAway],Table2[GameDate], "&lt;=" &amp; $A198, Table2[AwayTeam], AG$1)+SUMIFS(Table2[NewPointsHome],Table2[GameDate], "&lt;=" &amp; $A198, Table2[HomeTeam], AG$1)</f>
        <v>17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23</v>
      </c>
      <c r="C199" s="145">
        <f>SUMIFS(Table2[NewPointsAway],Table2[GameDate], "&lt;=" &amp; $A199, Table2[AwayTeam], C$1)+SUMIFS(Table2[NewPointsHome],Table2[GameDate], "&lt;=" &amp; $A199, Table2[HomeTeam], C$1)</f>
        <v>22</v>
      </c>
      <c r="D199" s="145">
        <f>SUMIFS(Table2[NewPointsAway],Table2[GameDate], "&lt;=" &amp; $A199, Table2[AwayTeam], D$1)+SUMIFS(Table2[NewPointsHome],Table2[GameDate], "&lt;=" &amp; $A199, Table2[HomeTeam], D$1)</f>
        <v>14</v>
      </c>
      <c r="E199" s="145">
        <f>SUMIFS(Table2[NewPointsAway],Table2[GameDate], "&lt;=" &amp; $A199, Table2[AwayTeam], E$1)+SUMIFS(Table2[NewPointsHome],Table2[GameDate], "&lt;=" &amp; $A199, Table2[HomeTeam], E$1)</f>
        <v>22</v>
      </c>
      <c r="F199" s="145">
        <f>SUMIFS(Table2[NewPointsAway],Table2[GameDate], "&lt;=" &amp; $A199, Table2[AwayTeam], F$1)+SUMIFS(Table2[NewPointsHome],Table2[GameDate], "&lt;=" &amp; $A199, Table2[HomeTeam], F$1)</f>
        <v>17</v>
      </c>
      <c r="G199" s="145">
        <f>SUMIFS(Table2[NewPointsAway],Table2[GameDate], "&lt;=" &amp; $A199, Table2[AwayTeam], G$1)+SUMIFS(Table2[NewPointsHome],Table2[GameDate], "&lt;=" &amp; $A199, Table2[HomeTeam], G$1)</f>
        <v>10</v>
      </c>
      <c r="H199" s="145">
        <f>SUMIFS(Table2[NewPointsAway],Table2[GameDate], "&lt;=" &amp; $A199, Table2[AwayTeam], H$1)+SUMIFS(Table2[NewPointsHome],Table2[GameDate], "&lt;=" &amp; $A199, Table2[HomeTeam], H$1)</f>
        <v>19</v>
      </c>
      <c r="I199" s="145">
        <f>SUMIFS(Table2[NewPointsAway],Table2[GameDate], "&lt;=" &amp; $A199, Table2[AwayTeam], I$1)+SUMIFS(Table2[NewPointsHome],Table2[GameDate], "&lt;=" &amp; $A199, Table2[HomeTeam], I$1)</f>
        <v>27</v>
      </c>
      <c r="J199" s="145">
        <f>SUMIFS(Table2[NewPointsAway],Table2[GameDate], "&lt;=" &amp; $A199, Table2[AwayTeam], J$1)+SUMIFS(Table2[NewPointsHome],Table2[GameDate], "&lt;=" &amp; $A199, Table2[HomeTeam], J$1)</f>
        <v>23</v>
      </c>
      <c r="K199" s="145">
        <f>SUMIFS(Table2[NewPointsAway],Table2[GameDate], "&lt;=" &amp; $A199, Table2[AwayTeam], K$1)+SUMIFS(Table2[NewPointsHome],Table2[GameDate], "&lt;=" &amp; $A199, Table2[HomeTeam], K$1)</f>
        <v>18</v>
      </c>
      <c r="L199" s="145">
        <f>SUMIFS(Table2[NewPointsAway],Table2[GameDate], "&lt;=" &amp; $A199, Table2[AwayTeam], L$1)+SUMIFS(Table2[NewPointsHome],Table2[GameDate], "&lt;=" &amp; $A199, Table2[HomeTeam], L$1)</f>
        <v>20</v>
      </c>
      <c r="M199" s="145">
        <f>SUMIFS(Table2[NewPointsAway],Table2[GameDate], "&lt;=" &amp; $A199, Table2[AwayTeam], M$1)+SUMIFS(Table2[NewPointsHome],Table2[GameDate], "&lt;=" &amp; $A199, Table2[HomeTeam], M$1)</f>
        <v>17</v>
      </c>
      <c r="N199" s="145">
        <f>SUMIFS(Table2[NewPointsAway],Table2[GameDate], "&lt;=" &amp; $A199, Table2[AwayTeam], N$1)+SUMIFS(Table2[NewPointsHome],Table2[GameDate], "&lt;=" &amp; $A199, Table2[HomeTeam], N$1)</f>
        <v>20</v>
      </c>
      <c r="O199" s="145">
        <f>SUMIFS(Table2[NewPointsAway],Table2[GameDate], "&lt;=" &amp; $A199, Table2[AwayTeam], O$1)+SUMIFS(Table2[NewPointsHome],Table2[GameDate], "&lt;=" &amp; $A199, Table2[HomeTeam], O$1)</f>
        <v>18</v>
      </c>
      <c r="P199" s="145">
        <f>SUMIFS(Table2[NewPointsAway],Table2[GameDate], "&lt;=" &amp; $A199, Table2[AwayTeam], P$1)+SUMIFS(Table2[NewPointsHome],Table2[GameDate], "&lt;=" &amp; $A199, Table2[HomeTeam], P$1)</f>
        <v>22</v>
      </c>
      <c r="Q199" s="145">
        <f>SUMIFS(Table2[NewPointsAway],Table2[GameDate], "&lt;=" &amp; $A199, Table2[AwayTeam], Q$1)+SUMIFS(Table2[NewPointsHome],Table2[GameDate], "&lt;=" &amp; $A199, Table2[HomeTeam], Q$1)</f>
        <v>23</v>
      </c>
      <c r="R199" s="145">
        <f>SUMIFS(Table2[NewPointsAway],Table2[GameDate], "&lt;=" &amp; $A199, Table2[AwayTeam], R$1)+SUMIFS(Table2[NewPointsHome],Table2[GameDate], "&lt;=" &amp; $A199, Table2[HomeTeam], R$1)</f>
        <v>14</v>
      </c>
      <c r="S199" s="145">
        <f>SUMIFS(Table2[NewPointsAway],Table2[GameDate], "&lt;=" &amp; $A199, Table2[AwayTeam], S$1)+SUMIFS(Table2[NewPointsHome],Table2[GameDate], "&lt;=" &amp; $A199, Table2[HomeTeam], S$1)</f>
        <v>18</v>
      </c>
      <c r="T199" s="145">
        <f>SUMIFS(Table2[NewPointsAway],Table2[GameDate], "&lt;=" &amp; $A199, Table2[AwayTeam], T$1)+SUMIFS(Table2[NewPointsHome],Table2[GameDate], "&lt;=" &amp; $A199, Table2[HomeTeam], T$1)</f>
        <v>20</v>
      </c>
      <c r="U199" s="145">
        <f>SUMIFS(Table2[NewPointsAway],Table2[GameDate], "&lt;=" &amp; $A199, Table2[AwayTeam], U$1)+SUMIFS(Table2[NewPointsHome],Table2[GameDate], "&lt;=" &amp; $A199, Table2[HomeTeam], U$1)</f>
        <v>20</v>
      </c>
      <c r="V199" s="145">
        <f>SUMIFS(Table2[NewPointsAway],Table2[GameDate], "&lt;=" &amp; $A199, Table2[AwayTeam], V$1)+SUMIFS(Table2[NewPointsHome],Table2[GameDate], "&lt;=" &amp; $A199, Table2[HomeTeam], V$1)</f>
        <v>19</v>
      </c>
      <c r="W199" s="145">
        <f>SUMIFS(Table2[NewPointsAway],Table2[GameDate], "&lt;=" &amp; $A199, Table2[AwayTeam], W$1)+SUMIFS(Table2[NewPointsHome],Table2[GameDate], "&lt;=" &amp; $A199, Table2[HomeTeam], W$1)</f>
        <v>21</v>
      </c>
      <c r="X199" s="145">
        <f>SUMIFS(Table2[NewPointsAway],Table2[GameDate], "&lt;=" &amp; $A199, Table2[AwayTeam], X$1)+SUMIFS(Table2[NewPointsHome],Table2[GameDate], "&lt;=" &amp; $A199, Table2[HomeTeam], X$1)</f>
        <v>19</v>
      </c>
      <c r="Y199" s="145">
        <f>SUMIFS(Table2[NewPointsAway],Table2[GameDate], "&lt;=" &amp; $A199, Table2[AwayTeam], Y$1)+SUMIFS(Table2[NewPointsHome],Table2[GameDate], "&lt;=" &amp; $A199, Table2[HomeTeam], Y$1)</f>
        <v>19</v>
      </c>
      <c r="Z199" s="145">
        <f>SUMIFS(Table2[NewPointsAway],Table2[GameDate], "&lt;=" &amp; $A199, Table2[AwayTeam], Z$1)+SUMIFS(Table2[NewPointsHome],Table2[GameDate], "&lt;=" &amp; $A199, Table2[HomeTeam], Z$1)</f>
        <v>15</v>
      </c>
      <c r="AA199" s="145">
        <f>SUMIFS(Table2[NewPointsAway],Table2[GameDate], "&lt;=" &amp; $A199, Table2[AwayTeam], AA$1)+SUMIFS(Table2[NewPointsHome],Table2[GameDate], "&lt;=" &amp; $A199, Table2[HomeTeam], AA$1)</f>
        <v>18</v>
      </c>
      <c r="AB199" s="145">
        <f>SUMIFS(Table2[NewPointsAway],Table2[GameDate], "&lt;=" &amp; $A199, Table2[AwayTeam], AB$1)+SUMIFS(Table2[NewPointsHome],Table2[GameDate], "&lt;=" &amp; $A199, Table2[HomeTeam], AB$1)</f>
        <v>17</v>
      </c>
      <c r="AC199" s="145">
        <f>SUMIFS(Table2[NewPointsAway],Table2[GameDate], "&lt;=" &amp; $A199, Table2[AwayTeam], AC$1)+SUMIFS(Table2[NewPointsHome],Table2[GameDate], "&lt;=" &amp; $A199, Table2[HomeTeam], AC$1)</f>
        <v>18</v>
      </c>
      <c r="AD199" s="145">
        <f>SUMIFS(Table2[NewPointsAway],Table2[GameDate], "&lt;=" &amp; $A199, Table2[AwayTeam], AD$1)+SUMIFS(Table2[NewPointsHome],Table2[GameDate], "&lt;=" &amp; $A199, Table2[HomeTeam], AD$1)</f>
        <v>17</v>
      </c>
      <c r="AE199" s="145">
        <f>SUMIFS(Table2[NewPointsAway],Table2[GameDate], "&lt;=" &amp; $A199, Table2[AwayTeam], AE$1)+SUMIFS(Table2[NewPointsHome],Table2[GameDate], "&lt;=" &amp; $A199, Table2[HomeTeam], AE$1)</f>
        <v>18</v>
      </c>
      <c r="AF199" s="145">
        <f>SUMIFS(Table2[NewPointsAway],Table2[GameDate], "&lt;=" &amp; $A199, Table2[AwayTeam], AF$1)+SUMIFS(Table2[NewPointsHome],Table2[GameDate], "&lt;=" &amp; $A199, Table2[HomeTeam], AF$1)</f>
        <v>20</v>
      </c>
      <c r="AG199" s="145">
        <f>SUMIFS(Table2[NewPointsAway],Table2[GameDate], "&lt;=" &amp; $A199, Table2[AwayTeam], AG$1)+SUMIFS(Table2[NewPointsHome],Table2[GameDate], "&lt;=" &amp; $A199, Table2[HomeTeam], AG$1)</f>
        <v>17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23</v>
      </c>
      <c r="C200" s="145">
        <f>SUMIFS(Table2[NewPointsAway],Table2[GameDate], "&lt;=" &amp; $A200, Table2[AwayTeam], C$1)+SUMIFS(Table2[NewPointsHome],Table2[GameDate], "&lt;=" &amp; $A200, Table2[HomeTeam], C$1)</f>
        <v>22</v>
      </c>
      <c r="D200" s="145">
        <f>SUMIFS(Table2[NewPointsAway],Table2[GameDate], "&lt;=" &amp; $A200, Table2[AwayTeam], D$1)+SUMIFS(Table2[NewPointsHome],Table2[GameDate], "&lt;=" &amp; $A200, Table2[HomeTeam], D$1)</f>
        <v>14</v>
      </c>
      <c r="E200" s="145">
        <f>SUMIFS(Table2[NewPointsAway],Table2[GameDate], "&lt;=" &amp; $A200, Table2[AwayTeam], E$1)+SUMIFS(Table2[NewPointsHome],Table2[GameDate], "&lt;=" &amp; $A200, Table2[HomeTeam], E$1)</f>
        <v>22</v>
      </c>
      <c r="F200" s="145">
        <f>SUMIFS(Table2[NewPointsAway],Table2[GameDate], "&lt;=" &amp; $A200, Table2[AwayTeam], F$1)+SUMIFS(Table2[NewPointsHome],Table2[GameDate], "&lt;=" &amp; $A200, Table2[HomeTeam], F$1)</f>
        <v>17</v>
      </c>
      <c r="G200" s="145">
        <f>SUMIFS(Table2[NewPointsAway],Table2[GameDate], "&lt;=" &amp; $A200, Table2[AwayTeam], G$1)+SUMIFS(Table2[NewPointsHome],Table2[GameDate], "&lt;=" &amp; $A200, Table2[HomeTeam], G$1)</f>
        <v>10</v>
      </c>
      <c r="H200" s="145">
        <f>SUMIFS(Table2[NewPointsAway],Table2[GameDate], "&lt;=" &amp; $A200, Table2[AwayTeam], H$1)+SUMIFS(Table2[NewPointsHome],Table2[GameDate], "&lt;=" &amp; $A200, Table2[HomeTeam], H$1)</f>
        <v>19</v>
      </c>
      <c r="I200" s="145">
        <f>SUMIFS(Table2[NewPointsAway],Table2[GameDate], "&lt;=" &amp; $A200, Table2[AwayTeam], I$1)+SUMIFS(Table2[NewPointsHome],Table2[GameDate], "&lt;=" &amp; $A200, Table2[HomeTeam], I$1)</f>
        <v>27</v>
      </c>
      <c r="J200" s="145">
        <f>SUMIFS(Table2[NewPointsAway],Table2[GameDate], "&lt;=" &amp; $A200, Table2[AwayTeam], J$1)+SUMIFS(Table2[NewPointsHome],Table2[GameDate], "&lt;=" &amp; $A200, Table2[HomeTeam], J$1)</f>
        <v>23</v>
      </c>
      <c r="K200" s="145">
        <f>SUMIFS(Table2[NewPointsAway],Table2[GameDate], "&lt;=" &amp; $A200, Table2[AwayTeam], K$1)+SUMIFS(Table2[NewPointsHome],Table2[GameDate], "&lt;=" &amp; $A200, Table2[HomeTeam], K$1)</f>
        <v>18</v>
      </c>
      <c r="L200" s="145">
        <f>SUMIFS(Table2[NewPointsAway],Table2[GameDate], "&lt;=" &amp; $A200, Table2[AwayTeam], L$1)+SUMIFS(Table2[NewPointsHome],Table2[GameDate], "&lt;=" &amp; $A200, Table2[HomeTeam], L$1)</f>
        <v>20</v>
      </c>
      <c r="M200" s="145">
        <f>SUMIFS(Table2[NewPointsAway],Table2[GameDate], "&lt;=" &amp; $A200, Table2[AwayTeam], M$1)+SUMIFS(Table2[NewPointsHome],Table2[GameDate], "&lt;=" &amp; $A200, Table2[HomeTeam], M$1)</f>
        <v>17</v>
      </c>
      <c r="N200" s="145">
        <f>SUMIFS(Table2[NewPointsAway],Table2[GameDate], "&lt;=" &amp; $A200, Table2[AwayTeam], N$1)+SUMIFS(Table2[NewPointsHome],Table2[GameDate], "&lt;=" &amp; $A200, Table2[HomeTeam], N$1)</f>
        <v>20</v>
      </c>
      <c r="O200" s="145">
        <f>SUMIFS(Table2[NewPointsAway],Table2[GameDate], "&lt;=" &amp; $A200, Table2[AwayTeam], O$1)+SUMIFS(Table2[NewPointsHome],Table2[GameDate], "&lt;=" &amp; $A200, Table2[HomeTeam], O$1)</f>
        <v>18</v>
      </c>
      <c r="P200" s="145">
        <f>SUMIFS(Table2[NewPointsAway],Table2[GameDate], "&lt;=" &amp; $A200, Table2[AwayTeam], P$1)+SUMIFS(Table2[NewPointsHome],Table2[GameDate], "&lt;=" &amp; $A200, Table2[HomeTeam], P$1)</f>
        <v>22</v>
      </c>
      <c r="Q200" s="145">
        <f>SUMIFS(Table2[NewPointsAway],Table2[GameDate], "&lt;=" &amp; $A200, Table2[AwayTeam], Q$1)+SUMIFS(Table2[NewPointsHome],Table2[GameDate], "&lt;=" &amp; $A200, Table2[HomeTeam], Q$1)</f>
        <v>23</v>
      </c>
      <c r="R200" s="145">
        <f>SUMIFS(Table2[NewPointsAway],Table2[GameDate], "&lt;=" &amp; $A200, Table2[AwayTeam], R$1)+SUMIFS(Table2[NewPointsHome],Table2[GameDate], "&lt;=" &amp; $A200, Table2[HomeTeam], R$1)</f>
        <v>14</v>
      </c>
      <c r="S200" s="145">
        <f>SUMIFS(Table2[NewPointsAway],Table2[GameDate], "&lt;=" &amp; $A200, Table2[AwayTeam], S$1)+SUMIFS(Table2[NewPointsHome],Table2[GameDate], "&lt;=" &amp; $A200, Table2[HomeTeam], S$1)</f>
        <v>18</v>
      </c>
      <c r="T200" s="145">
        <f>SUMIFS(Table2[NewPointsAway],Table2[GameDate], "&lt;=" &amp; $A200, Table2[AwayTeam], T$1)+SUMIFS(Table2[NewPointsHome],Table2[GameDate], "&lt;=" &amp; $A200, Table2[HomeTeam], T$1)</f>
        <v>20</v>
      </c>
      <c r="U200" s="145">
        <f>SUMIFS(Table2[NewPointsAway],Table2[GameDate], "&lt;=" &amp; $A200, Table2[AwayTeam], U$1)+SUMIFS(Table2[NewPointsHome],Table2[GameDate], "&lt;=" &amp; $A200, Table2[HomeTeam], U$1)</f>
        <v>20</v>
      </c>
      <c r="V200" s="145">
        <f>SUMIFS(Table2[NewPointsAway],Table2[GameDate], "&lt;=" &amp; $A200, Table2[AwayTeam], V$1)+SUMIFS(Table2[NewPointsHome],Table2[GameDate], "&lt;=" &amp; $A200, Table2[HomeTeam], V$1)</f>
        <v>19</v>
      </c>
      <c r="W200" s="145">
        <f>SUMIFS(Table2[NewPointsAway],Table2[GameDate], "&lt;=" &amp; $A200, Table2[AwayTeam], W$1)+SUMIFS(Table2[NewPointsHome],Table2[GameDate], "&lt;=" &amp; $A200, Table2[HomeTeam], W$1)</f>
        <v>21</v>
      </c>
      <c r="X200" s="145">
        <f>SUMIFS(Table2[NewPointsAway],Table2[GameDate], "&lt;=" &amp; $A200, Table2[AwayTeam], X$1)+SUMIFS(Table2[NewPointsHome],Table2[GameDate], "&lt;=" &amp; $A200, Table2[HomeTeam], X$1)</f>
        <v>19</v>
      </c>
      <c r="Y200" s="145">
        <f>SUMIFS(Table2[NewPointsAway],Table2[GameDate], "&lt;=" &amp; $A200, Table2[AwayTeam], Y$1)+SUMIFS(Table2[NewPointsHome],Table2[GameDate], "&lt;=" &amp; $A200, Table2[HomeTeam], Y$1)</f>
        <v>19</v>
      </c>
      <c r="Z200" s="145">
        <f>SUMIFS(Table2[NewPointsAway],Table2[GameDate], "&lt;=" &amp; $A200, Table2[AwayTeam], Z$1)+SUMIFS(Table2[NewPointsHome],Table2[GameDate], "&lt;=" &amp; $A200, Table2[HomeTeam], Z$1)</f>
        <v>15</v>
      </c>
      <c r="AA200" s="145">
        <f>SUMIFS(Table2[NewPointsAway],Table2[GameDate], "&lt;=" &amp; $A200, Table2[AwayTeam], AA$1)+SUMIFS(Table2[NewPointsHome],Table2[GameDate], "&lt;=" &amp; $A200, Table2[HomeTeam], AA$1)</f>
        <v>18</v>
      </c>
      <c r="AB200" s="145">
        <f>SUMIFS(Table2[NewPointsAway],Table2[GameDate], "&lt;=" &amp; $A200, Table2[AwayTeam], AB$1)+SUMIFS(Table2[NewPointsHome],Table2[GameDate], "&lt;=" &amp; $A200, Table2[HomeTeam], AB$1)</f>
        <v>17</v>
      </c>
      <c r="AC200" s="145">
        <f>SUMIFS(Table2[NewPointsAway],Table2[GameDate], "&lt;=" &amp; $A200, Table2[AwayTeam], AC$1)+SUMIFS(Table2[NewPointsHome],Table2[GameDate], "&lt;=" &amp; $A200, Table2[HomeTeam], AC$1)</f>
        <v>18</v>
      </c>
      <c r="AD200" s="145">
        <f>SUMIFS(Table2[NewPointsAway],Table2[GameDate], "&lt;=" &amp; $A200, Table2[AwayTeam], AD$1)+SUMIFS(Table2[NewPointsHome],Table2[GameDate], "&lt;=" &amp; $A200, Table2[HomeTeam], AD$1)</f>
        <v>17</v>
      </c>
      <c r="AE200" s="145">
        <f>SUMIFS(Table2[NewPointsAway],Table2[GameDate], "&lt;=" &amp; $A200, Table2[AwayTeam], AE$1)+SUMIFS(Table2[NewPointsHome],Table2[GameDate], "&lt;=" &amp; $A200, Table2[HomeTeam], AE$1)</f>
        <v>18</v>
      </c>
      <c r="AF200" s="145">
        <f>SUMIFS(Table2[NewPointsAway],Table2[GameDate], "&lt;=" &amp; $A200, Table2[AwayTeam], AF$1)+SUMIFS(Table2[NewPointsHome],Table2[GameDate], "&lt;=" &amp; $A200, Table2[HomeTeam], AF$1)</f>
        <v>20</v>
      </c>
      <c r="AG200" s="145">
        <f>SUMIFS(Table2[NewPointsAway],Table2[GameDate], "&lt;=" &amp; $A200, Table2[AwayTeam], AG$1)+SUMIFS(Table2[NewPointsHome],Table2[GameDate], "&lt;=" &amp; $A200, Table2[HomeTeam], AG$1)</f>
        <v>17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23</v>
      </c>
      <c r="C201" s="145">
        <f>SUMIFS(Table2[NewPointsAway],Table2[GameDate], "&lt;=" &amp; $A201, Table2[AwayTeam], C$1)+SUMIFS(Table2[NewPointsHome],Table2[GameDate], "&lt;=" &amp; $A201, Table2[HomeTeam], C$1)</f>
        <v>22</v>
      </c>
      <c r="D201" s="145">
        <f>SUMIFS(Table2[NewPointsAway],Table2[GameDate], "&lt;=" &amp; $A201, Table2[AwayTeam], D$1)+SUMIFS(Table2[NewPointsHome],Table2[GameDate], "&lt;=" &amp; $A201, Table2[HomeTeam], D$1)</f>
        <v>14</v>
      </c>
      <c r="E201" s="145">
        <f>SUMIFS(Table2[NewPointsAway],Table2[GameDate], "&lt;=" &amp; $A201, Table2[AwayTeam], E$1)+SUMIFS(Table2[NewPointsHome],Table2[GameDate], "&lt;=" &amp; $A201, Table2[HomeTeam], E$1)</f>
        <v>22</v>
      </c>
      <c r="F201" s="145">
        <f>SUMIFS(Table2[NewPointsAway],Table2[GameDate], "&lt;=" &amp; $A201, Table2[AwayTeam], F$1)+SUMIFS(Table2[NewPointsHome],Table2[GameDate], "&lt;=" &amp; $A201, Table2[HomeTeam], F$1)</f>
        <v>17</v>
      </c>
      <c r="G201" s="145">
        <f>SUMIFS(Table2[NewPointsAway],Table2[GameDate], "&lt;=" &amp; $A201, Table2[AwayTeam], G$1)+SUMIFS(Table2[NewPointsHome],Table2[GameDate], "&lt;=" &amp; $A201, Table2[HomeTeam], G$1)</f>
        <v>10</v>
      </c>
      <c r="H201" s="145">
        <f>SUMIFS(Table2[NewPointsAway],Table2[GameDate], "&lt;=" &amp; $A201, Table2[AwayTeam], H$1)+SUMIFS(Table2[NewPointsHome],Table2[GameDate], "&lt;=" &amp; $A201, Table2[HomeTeam], H$1)</f>
        <v>19</v>
      </c>
      <c r="I201" s="145">
        <f>SUMIFS(Table2[NewPointsAway],Table2[GameDate], "&lt;=" &amp; $A201, Table2[AwayTeam], I$1)+SUMIFS(Table2[NewPointsHome],Table2[GameDate], "&lt;=" &amp; $A201, Table2[HomeTeam], I$1)</f>
        <v>27</v>
      </c>
      <c r="J201" s="145">
        <f>SUMIFS(Table2[NewPointsAway],Table2[GameDate], "&lt;=" &amp; $A201, Table2[AwayTeam], J$1)+SUMIFS(Table2[NewPointsHome],Table2[GameDate], "&lt;=" &amp; $A201, Table2[HomeTeam], J$1)</f>
        <v>23</v>
      </c>
      <c r="K201" s="145">
        <f>SUMIFS(Table2[NewPointsAway],Table2[GameDate], "&lt;=" &amp; $A201, Table2[AwayTeam], K$1)+SUMIFS(Table2[NewPointsHome],Table2[GameDate], "&lt;=" &amp; $A201, Table2[HomeTeam], K$1)</f>
        <v>18</v>
      </c>
      <c r="L201" s="145">
        <f>SUMIFS(Table2[NewPointsAway],Table2[GameDate], "&lt;=" &amp; $A201, Table2[AwayTeam], L$1)+SUMIFS(Table2[NewPointsHome],Table2[GameDate], "&lt;=" &amp; $A201, Table2[HomeTeam], L$1)</f>
        <v>20</v>
      </c>
      <c r="M201" s="145">
        <f>SUMIFS(Table2[NewPointsAway],Table2[GameDate], "&lt;=" &amp; $A201, Table2[AwayTeam], M$1)+SUMIFS(Table2[NewPointsHome],Table2[GameDate], "&lt;=" &amp; $A201, Table2[HomeTeam], M$1)</f>
        <v>17</v>
      </c>
      <c r="N201" s="145">
        <f>SUMIFS(Table2[NewPointsAway],Table2[GameDate], "&lt;=" &amp; $A201, Table2[AwayTeam], N$1)+SUMIFS(Table2[NewPointsHome],Table2[GameDate], "&lt;=" &amp; $A201, Table2[HomeTeam], N$1)</f>
        <v>20</v>
      </c>
      <c r="O201" s="145">
        <f>SUMIFS(Table2[NewPointsAway],Table2[GameDate], "&lt;=" &amp; $A201, Table2[AwayTeam], O$1)+SUMIFS(Table2[NewPointsHome],Table2[GameDate], "&lt;=" &amp; $A201, Table2[HomeTeam], O$1)</f>
        <v>18</v>
      </c>
      <c r="P201" s="145">
        <f>SUMIFS(Table2[NewPointsAway],Table2[GameDate], "&lt;=" &amp; $A201, Table2[AwayTeam], P$1)+SUMIFS(Table2[NewPointsHome],Table2[GameDate], "&lt;=" &amp; $A201, Table2[HomeTeam], P$1)</f>
        <v>22</v>
      </c>
      <c r="Q201" s="145">
        <f>SUMIFS(Table2[NewPointsAway],Table2[GameDate], "&lt;=" &amp; $A201, Table2[AwayTeam], Q$1)+SUMIFS(Table2[NewPointsHome],Table2[GameDate], "&lt;=" &amp; $A201, Table2[HomeTeam], Q$1)</f>
        <v>23</v>
      </c>
      <c r="R201" s="145">
        <f>SUMIFS(Table2[NewPointsAway],Table2[GameDate], "&lt;=" &amp; $A201, Table2[AwayTeam], R$1)+SUMIFS(Table2[NewPointsHome],Table2[GameDate], "&lt;=" &amp; $A201, Table2[HomeTeam], R$1)</f>
        <v>14</v>
      </c>
      <c r="S201" s="145">
        <f>SUMIFS(Table2[NewPointsAway],Table2[GameDate], "&lt;=" &amp; $A201, Table2[AwayTeam], S$1)+SUMIFS(Table2[NewPointsHome],Table2[GameDate], "&lt;=" &amp; $A201, Table2[HomeTeam], S$1)</f>
        <v>18</v>
      </c>
      <c r="T201" s="145">
        <f>SUMIFS(Table2[NewPointsAway],Table2[GameDate], "&lt;=" &amp; $A201, Table2[AwayTeam], T$1)+SUMIFS(Table2[NewPointsHome],Table2[GameDate], "&lt;=" &amp; $A201, Table2[HomeTeam], T$1)</f>
        <v>20</v>
      </c>
      <c r="U201" s="145">
        <f>SUMIFS(Table2[NewPointsAway],Table2[GameDate], "&lt;=" &amp; $A201, Table2[AwayTeam], U$1)+SUMIFS(Table2[NewPointsHome],Table2[GameDate], "&lt;=" &amp; $A201, Table2[HomeTeam], U$1)</f>
        <v>20</v>
      </c>
      <c r="V201" s="145">
        <f>SUMIFS(Table2[NewPointsAway],Table2[GameDate], "&lt;=" &amp; $A201, Table2[AwayTeam], V$1)+SUMIFS(Table2[NewPointsHome],Table2[GameDate], "&lt;=" &amp; $A201, Table2[HomeTeam], V$1)</f>
        <v>19</v>
      </c>
      <c r="W201" s="145">
        <f>SUMIFS(Table2[NewPointsAway],Table2[GameDate], "&lt;=" &amp; $A201, Table2[AwayTeam], W$1)+SUMIFS(Table2[NewPointsHome],Table2[GameDate], "&lt;=" &amp; $A201, Table2[HomeTeam], W$1)</f>
        <v>21</v>
      </c>
      <c r="X201" s="145">
        <f>SUMIFS(Table2[NewPointsAway],Table2[GameDate], "&lt;=" &amp; $A201, Table2[AwayTeam], X$1)+SUMIFS(Table2[NewPointsHome],Table2[GameDate], "&lt;=" &amp; $A201, Table2[HomeTeam], X$1)</f>
        <v>19</v>
      </c>
      <c r="Y201" s="145">
        <f>SUMIFS(Table2[NewPointsAway],Table2[GameDate], "&lt;=" &amp; $A201, Table2[AwayTeam], Y$1)+SUMIFS(Table2[NewPointsHome],Table2[GameDate], "&lt;=" &amp; $A201, Table2[HomeTeam], Y$1)</f>
        <v>19</v>
      </c>
      <c r="Z201" s="145">
        <f>SUMIFS(Table2[NewPointsAway],Table2[GameDate], "&lt;=" &amp; $A201, Table2[AwayTeam], Z$1)+SUMIFS(Table2[NewPointsHome],Table2[GameDate], "&lt;=" &amp; $A201, Table2[HomeTeam], Z$1)</f>
        <v>15</v>
      </c>
      <c r="AA201" s="145">
        <f>SUMIFS(Table2[NewPointsAway],Table2[GameDate], "&lt;=" &amp; $A201, Table2[AwayTeam], AA$1)+SUMIFS(Table2[NewPointsHome],Table2[GameDate], "&lt;=" &amp; $A201, Table2[HomeTeam], AA$1)</f>
        <v>18</v>
      </c>
      <c r="AB201" s="145">
        <f>SUMIFS(Table2[NewPointsAway],Table2[GameDate], "&lt;=" &amp; $A201, Table2[AwayTeam], AB$1)+SUMIFS(Table2[NewPointsHome],Table2[GameDate], "&lt;=" &amp; $A201, Table2[HomeTeam], AB$1)</f>
        <v>17</v>
      </c>
      <c r="AC201" s="145">
        <f>SUMIFS(Table2[NewPointsAway],Table2[GameDate], "&lt;=" &amp; $A201, Table2[AwayTeam], AC$1)+SUMIFS(Table2[NewPointsHome],Table2[GameDate], "&lt;=" &amp; $A201, Table2[HomeTeam], AC$1)</f>
        <v>18</v>
      </c>
      <c r="AD201" s="145">
        <f>SUMIFS(Table2[NewPointsAway],Table2[GameDate], "&lt;=" &amp; $A201, Table2[AwayTeam], AD$1)+SUMIFS(Table2[NewPointsHome],Table2[GameDate], "&lt;=" &amp; $A201, Table2[HomeTeam], AD$1)</f>
        <v>17</v>
      </c>
      <c r="AE201" s="145">
        <f>SUMIFS(Table2[NewPointsAway],Table2[GameDate], "&lt;=" &amp; $A201, Table2[AwayTeam], AE$1)+SUMIFS(Table2[NewPointsHome],Table2[GameDate], "&lt;=" &amp; $A201, Table2[HomeTeam], AE$1)</f>
        <v>18</v>
      </c>
      <c r="AF201" s="145">
        <f>SUMIFS(Table2[NewPointsAway],Table2[GameDate], "&lt;=" &amp; $A201, Table2[AwayTeam], AF$1)+SUMIFS(Table2[NewPointsHome],Table2[GameDate], "&lt;=" &amp; $A201, Table2[HomeTeam], AF$1)</f>
        <v>20</v>
      </c>
      <c r="AG201" s="145">
        <f>SUMIFS(Table2[NewPointsAway],Table2[GameDate], "&lt;=" &amp; $A201, Table2[AwayTeam], AG$1)+SUMIFS(Table2[NewPointsHome],Table2[GameDate], "&lt;=" &amp; $A201, Table2[HomeTeam], AG$1)</f>
        <v>17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workbookViewId="0">
      <pane xSplit="1" topLeftCell="B1" activePane="topRight" state="frozen"/>
      <selection pane="topRight" activeCell="AT6" sqref="AT6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18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2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2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4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4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4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6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8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8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8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8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10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10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12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12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12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14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14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14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16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16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16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16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18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18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18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19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19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20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20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22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22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22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22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22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22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22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22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22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22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22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22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22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22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22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22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22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22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22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22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22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22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22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22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22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22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22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22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22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22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22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22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22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22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22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22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22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22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22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22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22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22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22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22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22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22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22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22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22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22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22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22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22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22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22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22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22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22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22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22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22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22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22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22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22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22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22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22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22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22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22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22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22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22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22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22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22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22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22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22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22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22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22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22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22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22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22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22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22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22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22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22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22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22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22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22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22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22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22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22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22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22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22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22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22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22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22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22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22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22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22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22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22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22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22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22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22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22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22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22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22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22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22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22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22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22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22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22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22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22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22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22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22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22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22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22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22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22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22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22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22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22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22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22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22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22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22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22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22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22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22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22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22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22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22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22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22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22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22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22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22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22</v>
      </c>
    </row>
    <row r="3" spans="1:275" x14ac:dyDescent="0.25">
      <c r="A3" t="s">
        <v>15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2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4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4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6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6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6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6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6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6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6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6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6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8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14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16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16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20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20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20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22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22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22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22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22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22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22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22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22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22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22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22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22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22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22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22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22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22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22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22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22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22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22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22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22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22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22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22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22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22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22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22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22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22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22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22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22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22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22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22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22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22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22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22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22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22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22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22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22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22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22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22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22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22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22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22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22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22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22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22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22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22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22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22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22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22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22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22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22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22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22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22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22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22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22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22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22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22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22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22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22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22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22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22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22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22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22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22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22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22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22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22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22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22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22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22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22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22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22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22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22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22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22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22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22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22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22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22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22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22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22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22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22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22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22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22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22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22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22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22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22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22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22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22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22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22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22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22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22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22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22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22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22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22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22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22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22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22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22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22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22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22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22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22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22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22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22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22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22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22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22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22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22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22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22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22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22</v>
      </c>
    </row>
    <row r="4" spans="1:275" x14ac:dyDescent="0.25">
      <c r="A4" t="s">
        <v>29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2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2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2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2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2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2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2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4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4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4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4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4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5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5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7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7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9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9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11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11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11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13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13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14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14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14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14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14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15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15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17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19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19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20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20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20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20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20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20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20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20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20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20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20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20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20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20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20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20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20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20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20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20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20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20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20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20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20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20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20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20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20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20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20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20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20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20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20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20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20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20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20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20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20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20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20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20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20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20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20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20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20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20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20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20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20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20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20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20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20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20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20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20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20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20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20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20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20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20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20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20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20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20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20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20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20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20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20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20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20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20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20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20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20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20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20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20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20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20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20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20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20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20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20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20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20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20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20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20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20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20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20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20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20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20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20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20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20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20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20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20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20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20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20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20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20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20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20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20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20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20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20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20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20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20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20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20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20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20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20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20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20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20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20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20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20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20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20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20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20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20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20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20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20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20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20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20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20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20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20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20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20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20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20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20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20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20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20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20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20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20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20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20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20</v>
      </c>
    </row>
    <row r="5" spans="1:275" x14ac:dyDescent="0.25">
      <c r="A5" t="s">
        <v>30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0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0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4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4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6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6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8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8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10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10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10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10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10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10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12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12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12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14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14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16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16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16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18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18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18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18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18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18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18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18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18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18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18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18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18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18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18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18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18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18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18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18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18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18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18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18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18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18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18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18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18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18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18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18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18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18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18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18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18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18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18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18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18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18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18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18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18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18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18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18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18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18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18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18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18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18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18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18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18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18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18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18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18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18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18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18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18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18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18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18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18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18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18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18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18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18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18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18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18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18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18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18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18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18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18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18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18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18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18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18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18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18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18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18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18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18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18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18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18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18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18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18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18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18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18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18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18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18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18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18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18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18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18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18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18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18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18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18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18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18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18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18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18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18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18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18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18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18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18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18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18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18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18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18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18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18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18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18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18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18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18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18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18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18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18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18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18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18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18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18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18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18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18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18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18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18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18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18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18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18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18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18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18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18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18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18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18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18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18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18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18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18</v>
      </c>
    </row>
    <row r="6" spans="1:275" x14ac:dyDescent="0.25">
      <c r="A6" t="s">
        <v>40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0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0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0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0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2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3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3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3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4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4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4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4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4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4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4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4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6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8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8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10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10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12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12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12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14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14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14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14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16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16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18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18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18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18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18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18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18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18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18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18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18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18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18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18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18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18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18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18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18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18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18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18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18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18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18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18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18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18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18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18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18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18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18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18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18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18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18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18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18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18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18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18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18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18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18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18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18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18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18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18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18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18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18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18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18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18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18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18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18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18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18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18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18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18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18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18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18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18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18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18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18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18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18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18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18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18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18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18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18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18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18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18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18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18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18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18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18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18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18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18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18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18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18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18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18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18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18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18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18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18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18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18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18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18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18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18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18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18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18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18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18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18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18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18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18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18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18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18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18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18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18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18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18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18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18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18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18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18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18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18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18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18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18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18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18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18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18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18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18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18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18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18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18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18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18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18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18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18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18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18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18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18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18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18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18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18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18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18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18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18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18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18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18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18</v>
      </c>
    </row>
    <row r="7" spans="1:275" x14ac:dyDescent="0.25">
      <c r="A7" t="s">
        <v>17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2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2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2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2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4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4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7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7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7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7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7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7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7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9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9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9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15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15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17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17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17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17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17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17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17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17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17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17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17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17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17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17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17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17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17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17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17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17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17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17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17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17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17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17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17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17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17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17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17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17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17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17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17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17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17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17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17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17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17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17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17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17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17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17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17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17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17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17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17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17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17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17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17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17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17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17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17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17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17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17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17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17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17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17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17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17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17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17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17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17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17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17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17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17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17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17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17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17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17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17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17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17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17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17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17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17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17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17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17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17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17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17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17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17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17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17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17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17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17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17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17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17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17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17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17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17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17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17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17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17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17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17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17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17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17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17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17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17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17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17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17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17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17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17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17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17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17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17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17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17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17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17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17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17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17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17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17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17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17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17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17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17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17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17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17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17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17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17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17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17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17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17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17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17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17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17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17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17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17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17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17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17</v>
      </c>
    </row>
    <row r="8" spans="1:275" x14ac:dyDescent="0.25">
      <c r="A8" t="s">
        <v>13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2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4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4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6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6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6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6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6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6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6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6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8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8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8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10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10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10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13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13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15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15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15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15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17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17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17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17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17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17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17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17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17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17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17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17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17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17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17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17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17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17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17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17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17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17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17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17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17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17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17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17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17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17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17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17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17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17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17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17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17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17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17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17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17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17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17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17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17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17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17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17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17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17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17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17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17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17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17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17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17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17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17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17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17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17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17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17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17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17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17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17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17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17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17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17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17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17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17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17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17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17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17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17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17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17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17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17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17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17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17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17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17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17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17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17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17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17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17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17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17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17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17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17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17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17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17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17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17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17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17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17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17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17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17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17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17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17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17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17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17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17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17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17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17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17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17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17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17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17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17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17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17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17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17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17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17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17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17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17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17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17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17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17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17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17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17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17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17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17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17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17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17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17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17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17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17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17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17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17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17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17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17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17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17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17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14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14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14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14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14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14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14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14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14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14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14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14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14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14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14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14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14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14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14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14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14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14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14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14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14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14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14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14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14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14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14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14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14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14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14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14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14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14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14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14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14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14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14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14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14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14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14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14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14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14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14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14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14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14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14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14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14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14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14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14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14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14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14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14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14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14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14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14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14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14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14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14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14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14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14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14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14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14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14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14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14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14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14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14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14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14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14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14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14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14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14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14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14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14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14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14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14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14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14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14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14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14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14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14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14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14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14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14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14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14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14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14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14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14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14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14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14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14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14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14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14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14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14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14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14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14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14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14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14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14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14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14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14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14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14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14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14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14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14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14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14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14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14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14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14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14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14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14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14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14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14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14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14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14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14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14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14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14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14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14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14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14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14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14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14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14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14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14</v>
      </c>
    </row>
    <row r="10" spans="1:275" x14ac:dyDescent="0.25">
      <c r="A10" t="s">
        <v>31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0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0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2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2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4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4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6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12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14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14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16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16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16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16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16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16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18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18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18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18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18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20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20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22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23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23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23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23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23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23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23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23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23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23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23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23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23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23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23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23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23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23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23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23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23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23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23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23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23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23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23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23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23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23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23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23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23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23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23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23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23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23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23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23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23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23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23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23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23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23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23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23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23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23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23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23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23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23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23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23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23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23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23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23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23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23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23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23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23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23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23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23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23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23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23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23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23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23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23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23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23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23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23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23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23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23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23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23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23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23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23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23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23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23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23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23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23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23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23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23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23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23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23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23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23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23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23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23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23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23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23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23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23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23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23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23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23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23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23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23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23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23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23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23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23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23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23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23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23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23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23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23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23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23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23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23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23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23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23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23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23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23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23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23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23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23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23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23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23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23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23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23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23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23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23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23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23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23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23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23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23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23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23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23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23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23</v>
      </c>
    </row>
    <row r="11" spans="1:275" x14ac:dyDescent="0.25">
      <c r="A11" t="s">
        <v>41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2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2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4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4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6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6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8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8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10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10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10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10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12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12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12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12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12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12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14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14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14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14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14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16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16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20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22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22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22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22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22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22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22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22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22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22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22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22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22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22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22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22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22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22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22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22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22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22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22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22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22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22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22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22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22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22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22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22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22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22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22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22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22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22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22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22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22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22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22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22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22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22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22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22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22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22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22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22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22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22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22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22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22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22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22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22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22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22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22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22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22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22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22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22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22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22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22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22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22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22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22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22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22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22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22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22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22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22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22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22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22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22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22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22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22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22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22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22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22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22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22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22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22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22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22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22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22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22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22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22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22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22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22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22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22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22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22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22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22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22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22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22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22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22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22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22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22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22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22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22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22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22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22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22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22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22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22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22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22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22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22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22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22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22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22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22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22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22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22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22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22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22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22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22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22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22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22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22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22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22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22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22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22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22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22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22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22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22</v>
      </c>
    </row>
    <row r="12" spans="1:275" x14ac:dyDescent="0.25">
      <c r="A12" t="s">
        <v>20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2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2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4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4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4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4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4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6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6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8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8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8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10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12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12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13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13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15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16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16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18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18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18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18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18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18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18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20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20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21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21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21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21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21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21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21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21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21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21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21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21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21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21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21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21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21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21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21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21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21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21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21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21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21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21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21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21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21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21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21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21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21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21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21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21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21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21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21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21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21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21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21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21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21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21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21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21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21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21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21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21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21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21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21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21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21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21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21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21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21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21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21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21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21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21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21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21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21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21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21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21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21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21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21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21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21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21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21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21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21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21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21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21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21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21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21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21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21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21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21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21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21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21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21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21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21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21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21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21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21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21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21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21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21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21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21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21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21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21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21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21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21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21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21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21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21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21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21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21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21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21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21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21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21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21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21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21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21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21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21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21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21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21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21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21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21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21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21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21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21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21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21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21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21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21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21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21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21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21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21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21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21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21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21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21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21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21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21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21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21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21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21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21</v>
      </c>
    </row>
    <row r="13" spans="1:275" x14ac:dyDescent="0.25">
      <c r="A13" t="s">
        <v>42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1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1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3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3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3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3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3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5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5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7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7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7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7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7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9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9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9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11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11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13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13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13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15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15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17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17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18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18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18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18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19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19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19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19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19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19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19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19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19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19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19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19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19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19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19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19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19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19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19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19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19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19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19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19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19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19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19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19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19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19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19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19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19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19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19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19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19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19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19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19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19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19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19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19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19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19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19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19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19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19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19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19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19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19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19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19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19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19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19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19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19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19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19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19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19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19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19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19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19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19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19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19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19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19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19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19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19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19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19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19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19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19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19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19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19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19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19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19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19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19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19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19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19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19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19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19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19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19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19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19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19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19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19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19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19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19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19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19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19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19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19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19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19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19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19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19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19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19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19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19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19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19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19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19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19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19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19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19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19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19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19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19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19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19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19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19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19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19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19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19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19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19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19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19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19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19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19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19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19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19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19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19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19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19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19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19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19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19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19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19</v>
      </c>
    </row>
    <row r="14" spans="1:275" x14ac:dyDescent="0.25">
      <c r="A14" t="s">
        <v>32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0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0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0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0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0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0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0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2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2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4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4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4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6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6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9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9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9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9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9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9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11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11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13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13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14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16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16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18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18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18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18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18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18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18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18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18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18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18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18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18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18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18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18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18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18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18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18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18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18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18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18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18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18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18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18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18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18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18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18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18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18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18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18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18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18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18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18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18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18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18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18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18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18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18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18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18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18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18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18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18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18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18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18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18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18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18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18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18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18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18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18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18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18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18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18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18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18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18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18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18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18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18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18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18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18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18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18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18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18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18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18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18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18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18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18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18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18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18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18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18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18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18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18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18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18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18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18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18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18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18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18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18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18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18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18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18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18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18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18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18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18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18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18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18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18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18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18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18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18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18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18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18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18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18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18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18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18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18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18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18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18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18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18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18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18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18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18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18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18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18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18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18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18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18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18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18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18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18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18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18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18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18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18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18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18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18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18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18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18</v>
      </c>
    </row>
    <row r="15" spans="1:275" x14ac:dyDescent="0.25">
      <c r="A15" t="s">
        <v>19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2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2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4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4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4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4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4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5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5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7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7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7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7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7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8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8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8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8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8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10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10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12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12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14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14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14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14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14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14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16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16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16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18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18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20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20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20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20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20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20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20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20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20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20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20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20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20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20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20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20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20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20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20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20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20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20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20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20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20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20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20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20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20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20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20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20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20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20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20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20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20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20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20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20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20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20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20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20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20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20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20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20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20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20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20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20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20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20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20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20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20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20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20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20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20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20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20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20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20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20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20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20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20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20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20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20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20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20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20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20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20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20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20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20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20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20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20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20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20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20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20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20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20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20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20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20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20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20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20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20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20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20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20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20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20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20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20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20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20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20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20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20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20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20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20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20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20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20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20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20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20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20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20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20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20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20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20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20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20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20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20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20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20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20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20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20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20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20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20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20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20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20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20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20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20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20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20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20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20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20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20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20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20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20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20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20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20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20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20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20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20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20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20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20</v>
      </c>
    </row>
    <row r="16" spans="1:275" x14ac:dyDescent="0.25">
      <c r="A16" t="s">
        <v>43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2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4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4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6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6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6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8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8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8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8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10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10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10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12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12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12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12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12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12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13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15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15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15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15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15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15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17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17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17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17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17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17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17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17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17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17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17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17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17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17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17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17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17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17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17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17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17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17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17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17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17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17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17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17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17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17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17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17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17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17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17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17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17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17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17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17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17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17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17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17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17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17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17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17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17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17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17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17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17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17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17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17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17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17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17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17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17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17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17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17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17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17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17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17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17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17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17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17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17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17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17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17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17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17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17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17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17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17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17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17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17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17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17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17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17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17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17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17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17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17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17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17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17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17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17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17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17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17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17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17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17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17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17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17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17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17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17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17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17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17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17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17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17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17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17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17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17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17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17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17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17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17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17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17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17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17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17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17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17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17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17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17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17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17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17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17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17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17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17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17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17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17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17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17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17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17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17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17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17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17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17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17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17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17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17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17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17</v>
      </c>
    </row>
    <row r="17" spans="1:203" x14ac:dyDescent="0.25">
      <c r="A17" t="s">
        <v>35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2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2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2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6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17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17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17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17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17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17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17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17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17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17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17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17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17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17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17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17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17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17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17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17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17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17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17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17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17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17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17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17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17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17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17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17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17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17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17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17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17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17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17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17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17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17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17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17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17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17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17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17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17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17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17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17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17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17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17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17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17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17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17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17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17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17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17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17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17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17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17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17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17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17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17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17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17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17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17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17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17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17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17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17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17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17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17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17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17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17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17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17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17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17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17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17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17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17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17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17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17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17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17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17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17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17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17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17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17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17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17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17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17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17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17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17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17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17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17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17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17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17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17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17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17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17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17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17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17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17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17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17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17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17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17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17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17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17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17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17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17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17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17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17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17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17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17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17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17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17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17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17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17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17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17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17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17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17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17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17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17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17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17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17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17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27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27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27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27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27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27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27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27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27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27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27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27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27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27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27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27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27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27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27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27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27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27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27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27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27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27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27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27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27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27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27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27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27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27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27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27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27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27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27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27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27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27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27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27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27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27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27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27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27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27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27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27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27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27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27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27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27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27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27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27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27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27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27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27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27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27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27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27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27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27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27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27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27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27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27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27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27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27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27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27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27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27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27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27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27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27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27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27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27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27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27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27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27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27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27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27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27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27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27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27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27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27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27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27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27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27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27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27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27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27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27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27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27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27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27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27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27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27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27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27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27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27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27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27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27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27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27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27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27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27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27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27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27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27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27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27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27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27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27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27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27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27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27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27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27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27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27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27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27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27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27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27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27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27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27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27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27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27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27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23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23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23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23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23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23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23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23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23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23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23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23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23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23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23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23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23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23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23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23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23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23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23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23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23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23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23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23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23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23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23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23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23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23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23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23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23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23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23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23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23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23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23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23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23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23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23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23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23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23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23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23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23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23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23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23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23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23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23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23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23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23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23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23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23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23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23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23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23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23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23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23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23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23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23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23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23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23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23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23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23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23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23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23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23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23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23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23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23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23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23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23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23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23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23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23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23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23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23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23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23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23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23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23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23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23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23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23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23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23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23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23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23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23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23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23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23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23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23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23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23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23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23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23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23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23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23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23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23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23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23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23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23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23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23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23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23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23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23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23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23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23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23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23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23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23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23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23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23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23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23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23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23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23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23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23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23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23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23</v>
      </c>
    </row>
    <row r="20" spans="1:203" x14ac:dyDescent="0.25">
      <c r="A20" t="s">
        <v>21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0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0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6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6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8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8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10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10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10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10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12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12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12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12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14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14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16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16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18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18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18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18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18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18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18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18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18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18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20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20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20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20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20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20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20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20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20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20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20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20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20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20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20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20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20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20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20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20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20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20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20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20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20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20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20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20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20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20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20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20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20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20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20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20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20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20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20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20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20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20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20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20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20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20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20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20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20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20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20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20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20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20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20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20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20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20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20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20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20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20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20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20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20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20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20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20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20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20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20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20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20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20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20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20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20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20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20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20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20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20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20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20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20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20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20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20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20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20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20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20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20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20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20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20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20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20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20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20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20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20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20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20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20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20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20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20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20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20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20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20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20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20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20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20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20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20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20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20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20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20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20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20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20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20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20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20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20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20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20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20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20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20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20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20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20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20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20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20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20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20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20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20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20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20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20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20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20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20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20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20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20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20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20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20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20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20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20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20</v>
      </c>
    </row>
    <row r="21" spans="1:203" x14ac:dyDescent="0.25">
      <c r="A21" t="s">
        <v>16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1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1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1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1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3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3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5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5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8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8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10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10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10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10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10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12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12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12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12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13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13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13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13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15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15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17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17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19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19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19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19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19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19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19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19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19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19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19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19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19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19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19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19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19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19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19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19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19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19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19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19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19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19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19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19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19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19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19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19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19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19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19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19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19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19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19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19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19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19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19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19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19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19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19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19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19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19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19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19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19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19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19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19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19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19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19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19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19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19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19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19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19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19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19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19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19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19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19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19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19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19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19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19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19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19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19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19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19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19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19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19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19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19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19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19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19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19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19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19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19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19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19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19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19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19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19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19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19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19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19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19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19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19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19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19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19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19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19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19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19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19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19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19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19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19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19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19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19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19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19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19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19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19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19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19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19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19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19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19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19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19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19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19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19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19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19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19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19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19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19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19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19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19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19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19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19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19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19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19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19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19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19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19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19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19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19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19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19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19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19</v>
      </c>
    </row>
    <row r="22" spans="1:203" x14ac:dyDescent="0.25">
      <c r="A22" t="s">
        <v>14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0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0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2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2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2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2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4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4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10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10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12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12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14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16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16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16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16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16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16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16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16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16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18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18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18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18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18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18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18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18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18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18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18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18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18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18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18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18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18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18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18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18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18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18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18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18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18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18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18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18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18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18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18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18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18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18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18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18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18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18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18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18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18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18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18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18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18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18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18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18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18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18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18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18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18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18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18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18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18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18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18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18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18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18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18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18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18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18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18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18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18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18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18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18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18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18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18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18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18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18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18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18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18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18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18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18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18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18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18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18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18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18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18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18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18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18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18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18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18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18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18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18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18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18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18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18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18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18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18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18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18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18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18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18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18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18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18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18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18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18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18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18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18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18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18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18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18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18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18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18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18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18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18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18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18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18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18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18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18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18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18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18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18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18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18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18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18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18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18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18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18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18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18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18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18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18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18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18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18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18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18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18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18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18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18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18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18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18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18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18</v>
      </c>
    </row>
    <row r="23" spans="1:203" x14ac:dyDescent="0.25">
      <c r="A23" t="s">
        <v>36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2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2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4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4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5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5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7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7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7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7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7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7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8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8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9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9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9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9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11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11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11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13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13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13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15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15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17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17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18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18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18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18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18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18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18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18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18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18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18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18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18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18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18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18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18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18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18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18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18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18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18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18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18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18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18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18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18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18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18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18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18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18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18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18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18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18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18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18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18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18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18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18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18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18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18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18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18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18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18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18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18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18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18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18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18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18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18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18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18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18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18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18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18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18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18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18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18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18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18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18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18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18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18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18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18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18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18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18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18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18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18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18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18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18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18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18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18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18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18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18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18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18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18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18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18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18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18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18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18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18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18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18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18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18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18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18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18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18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18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18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18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18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18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18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18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18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18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18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18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18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18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18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18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18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18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18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18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18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18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18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18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18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18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18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18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18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18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18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18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18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18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18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18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18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18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18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18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18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18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18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18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18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18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18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18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18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18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18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18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15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15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15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15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15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15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15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15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15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15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15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15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15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15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15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15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15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15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15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15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15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15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15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15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15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15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15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15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15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15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15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15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15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15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15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15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15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15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15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15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15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15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15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15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15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15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15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15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15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15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15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15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15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15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15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15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15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15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15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15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15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15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15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15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15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15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15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15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15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15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15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15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15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15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15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15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15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15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15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15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15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15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15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15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15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15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15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15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15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15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15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15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15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15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15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15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15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15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15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15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15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15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15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15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15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15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15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15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15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15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15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15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15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15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15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15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15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15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15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15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15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15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15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15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15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15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15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15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15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15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15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15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15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15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15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15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15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15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15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15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15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15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15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15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15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15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15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15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15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15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15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15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15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15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15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15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15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15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14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14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14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14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14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14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14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14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14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14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14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14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14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14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14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14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14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14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14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14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14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14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14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14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14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14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14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14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14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14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14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14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14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14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14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14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14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14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14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14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14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14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14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14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14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14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14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14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14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14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14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14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14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14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14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14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14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14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14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14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14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14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14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14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14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14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14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14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14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14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14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14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14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14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14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14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14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14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14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14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14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14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14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14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14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14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14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14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14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14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14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14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14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14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14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14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14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14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14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14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14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14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14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14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14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14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14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14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14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14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14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14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14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14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14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14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14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14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14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14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14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14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14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14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14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14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14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14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14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14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14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14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14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14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14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14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14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14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14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14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14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14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14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14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14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14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14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14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14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14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14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14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14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14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14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14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14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14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23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23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23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23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23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23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23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23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23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23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23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23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23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23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23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23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23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23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23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23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23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23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23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23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23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23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23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23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23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23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23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23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23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23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23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23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23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23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23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23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23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23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23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23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23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23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23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23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23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23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23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23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23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23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23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23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23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23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23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23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23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23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23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23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23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23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23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23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23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23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23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23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23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23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23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23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23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23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23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23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23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23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23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23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23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23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23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23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23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23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23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23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23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23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23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23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23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23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23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23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23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23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23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23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23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23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23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23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23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23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23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23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23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23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23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23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23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23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23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23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23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23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23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23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23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23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23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23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23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23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23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23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23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23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23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23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23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23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23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23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23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23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23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23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23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23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23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23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23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23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23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23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23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23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23</v>
      </c>
    </row>
    <row r="27" spans="1:203" x14ac:dyDescent="0.25">
      <c r="A27" t="s">
        <v>27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2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2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2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2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2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3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3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3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3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3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4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4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4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6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6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8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8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9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11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11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13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13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14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14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14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14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14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16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16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16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16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16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20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20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20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20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20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20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20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20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20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20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20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20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20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20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20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20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20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20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20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20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20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20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20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20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20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20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20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20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20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20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20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20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20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20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20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20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20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20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20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20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20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20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20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20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20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20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20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20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20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20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20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20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20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20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20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20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20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20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20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20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20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20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20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20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20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20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20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20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20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20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20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20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20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20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20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20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20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20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20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20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20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20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20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20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20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20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20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20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20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20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20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20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20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20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20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20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20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20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20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20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20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20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20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20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20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20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20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20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20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20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20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20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20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20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20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20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20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20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20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20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20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20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20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20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20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20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20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20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20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20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20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20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20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20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20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20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20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20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20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20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20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20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20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20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20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20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20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20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20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20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20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20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20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20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20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20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20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20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20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20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20</v>
      </c>
    </row>
    <row r="28" spans="1:203" x14ac:dyDescent="0.25">
      <c r="A28" t="s">
        <v>37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0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1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1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2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2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2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2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2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2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2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2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2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2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4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4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4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6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6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6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6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8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8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10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11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11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11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13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13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15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17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17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17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19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19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19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19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19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19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19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19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19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19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19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19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19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19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19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19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19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19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19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19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19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19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19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19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19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19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19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19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19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19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19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19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19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19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19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19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19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19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19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19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19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19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19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19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19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19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19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19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19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19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19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19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19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19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19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19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19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19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19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19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19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19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19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19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19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19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19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19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19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19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19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19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19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19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19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19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19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19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19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19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19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19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19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19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19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19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19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19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19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19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19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19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19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19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19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19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19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19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19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19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19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19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19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19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19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19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19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19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19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19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19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19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19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19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19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19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19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19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19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19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19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19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19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19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19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19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19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19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19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19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19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19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19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19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19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19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19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19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19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19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19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19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19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19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19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19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19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19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19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19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19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19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19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19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19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19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19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19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19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19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19</v>
      </c>
    </row>
    <row r="29" spans="1:203" x14ac:dyDescent="0.25">
      <c r="A29" t="s">
        <v>11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0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2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2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4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4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4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5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5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6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6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8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8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8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8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8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10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10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12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12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12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13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13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13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14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14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16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16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16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16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16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18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18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19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19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19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19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19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19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19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19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19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19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19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19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19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19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19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19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19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19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19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19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19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19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19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19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19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19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19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19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19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19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19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19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19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19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19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19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19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19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19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19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19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19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19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19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19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19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19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19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19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19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19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19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19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19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19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19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19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19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19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19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19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19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19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19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19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19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19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19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19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19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19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19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19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19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19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19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19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19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19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19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19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19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19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19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19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19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19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19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19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19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19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19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19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19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19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19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19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19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19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19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19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19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19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19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19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19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19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19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19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19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19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19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19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19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19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19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19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19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19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19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19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19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19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19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19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19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19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19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19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19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19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19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19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19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19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19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19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19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19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19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19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19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19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19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19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19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19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19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19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19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19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19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19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19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19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19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19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19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19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19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19</v>
      </c>
    </row>
    <row r="30" spans="1:203" x14ac:dyDescent="0.25">
      <c r="A30" t="s">
        <v>26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1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3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3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6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6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8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8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10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10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12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12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12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12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12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13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13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15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15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15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15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15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15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15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17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17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17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17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18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18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18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18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18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18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18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18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18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18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18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18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18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18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18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18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18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18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18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18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18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18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18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18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18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18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18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18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18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18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18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18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18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18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18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18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18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18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18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18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18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18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18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18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18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18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18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18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18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18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18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18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18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18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18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18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18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18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18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18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18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18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18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18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18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18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18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18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18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18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18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18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18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18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18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18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18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18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18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18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18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18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18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18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18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18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18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18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18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18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18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18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18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18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18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18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18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18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18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18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18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18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18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18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18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18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18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18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18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18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18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18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18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18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18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18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18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18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18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18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18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18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18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18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18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18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18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18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18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18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18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18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18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18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18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18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18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18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18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18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18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18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18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18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18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18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18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18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18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18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18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18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18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18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18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18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18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18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18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18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18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18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18</v>
      </c>
    </row>
    <row r="31" spans="1:203" x14ac:dyDescent="0.25">
      <c r="A31" t="s">
        <v>22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1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1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1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3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3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3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5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5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5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5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5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5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5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7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7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9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9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9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10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10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12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12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13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13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15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15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15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16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16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16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16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16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16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18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18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20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20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20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20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20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20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20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20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20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20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20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20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20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20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20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20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20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20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20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20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20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20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20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20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20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20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20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20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20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20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20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20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20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20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20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20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20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20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20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20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20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20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20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20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20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20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20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20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20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20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20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20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20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20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20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20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20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20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20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20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20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20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20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20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20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20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20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20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20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20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20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20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20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20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20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20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20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20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20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20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20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20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20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20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20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20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20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20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20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20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20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20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20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20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20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20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20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20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20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20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20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20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20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20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20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20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20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20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20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20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20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20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20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20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20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20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20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20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20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20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20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20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20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20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20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20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20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20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20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20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20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20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20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20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20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20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20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20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20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20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20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20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20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20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20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20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20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20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20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20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20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20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20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20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20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20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20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20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20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20</v>
      </c>
    </row>
    <row r="32" spans="1:203" x14ac:dyDescent="0.25">
      <c r="A32" t="s">
        <v>24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4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8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8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8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8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8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12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12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14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16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17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17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17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17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17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17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17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17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17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17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17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17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17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17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17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17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17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17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17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17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17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17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17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17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17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17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17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17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17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17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17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17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17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17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17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17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17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17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17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17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17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17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17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17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17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17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17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17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17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17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17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17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17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17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17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17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17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17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17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17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17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17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17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17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17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17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17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17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17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17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17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17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17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17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17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17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17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17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17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17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17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17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17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17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17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17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17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17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17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17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17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17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17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17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17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17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17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17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17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17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17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17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17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17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17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17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17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17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17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17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17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17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17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17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17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17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17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17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17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17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17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17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17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17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17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17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17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17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17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17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17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17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17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17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17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17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17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17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17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17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17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17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17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17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17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17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17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17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17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17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17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17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17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17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17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17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17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17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17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17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17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10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10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10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10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10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10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10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10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10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10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10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10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10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10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10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10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10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10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10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10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10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10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10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10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10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10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10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10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10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10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10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10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10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10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10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10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10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10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10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10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10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10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10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10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10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10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10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10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10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10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10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10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10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10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10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10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10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10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10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10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10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10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10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10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10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10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10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10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10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10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10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10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10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10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10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10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10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10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10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10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10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10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10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10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10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10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10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10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10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10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10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10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10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10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10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10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10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10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10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10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10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10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10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10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10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10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10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10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10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10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10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10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10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10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10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10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10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10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10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10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10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10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10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10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10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10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10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10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10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10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10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10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10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10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10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10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10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10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10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10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10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10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10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10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10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10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10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10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10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10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10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10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10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10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10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10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10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10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10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18.90625</v>
      </c>
      <c r="AS34">
        <f>SUBTOTAL(101,Table4[2025-11-13])</f>
        <v>18.90625</v>
      </c>
      <c r="AT34">
        <f>SUBTOTAL(101,Table4[2025-11-14])</f>
        <v>18.90625</v>
      </c>
      <c r="AU34">
        <f>SUBTOTAL(101,Table4[2025-11-15])</f>
        <v>18.90625</v>
      </c>
      <c r="AV34">
        <f>SUBTOTAL(101,Table4[2025-11-16])</f>
        <v>18.90625</v>
      </c>
      <c r="AW34">
        <f>SUBTOTAL(101,Table4[2025-11-17])</f>
        <v>18.90625</v>
      </c>
      <c r="AX34">
        <f>SUBTOTAL(101,Table4[2025-11-18])</f>
        <v>18.90625</v>
      </c>
      <c r="AY34">
        <f>SUBTOTAL(101,Table4[2025-11-19])</f>
        <v>18.90625</v>
      </c>
      <c r="AZ34">
        <f>SUBTOTAL(101,Table4[2025-11-20])</f>
        <v>18.90625</v>
      </c>
      <c r="BA34">
        <f>SUBTOTAL(101,Table4[2025-11-21])</f>
        <v>18.90625</v>
      </c>
      <c r="BB34">
        <f>SUBTOTAL(101,Table4[2025-11-22])</f>
        <v>18.90625</v>
      </c>
      <c r="BC34">
        <f>SUBTOTAL(101,Table4[2025-11-23])</f>
        <v>18.90625</v>
      </c>
      <c r="BD34">
        <f>SUBTOTAL(101,Table4[2025-11-24])</f>
        <v>18.90625</v>
      </c>
      <c r="BE34">
        <f>SUBTOTAL(101,Table4[2025-11-25])</f>
        <v>18.90625</v>
      </c>
      <c r="BF34">
        <f>SUBTOTAL(101,Table4[2025-11-26])</f>
        <v>18.90625</v>
      </c>
      <c r="BG34">
        <f>SUBTOTAL(101,Table4[2025-11-27])</f>
        <v>18.90625</v>
      </c>
      <c r="BH34">
        <f>SUBTOTAL(101,Table4[2025-11-28])</f>
        <v>18.90625</v>
      </c>
      <c r="BI34">
        <f>SUBTOTAL(101,Table4[2025-11-29])</f>
        <v>18.90625</v>
      </c>
      <c r="BJ34">
        <f>SUBTOTAL(101,Table4[2025-11-30])</f>
        <v>18.90625</v>
      </c>
      <c r="BK34">
        <f>SUBTOTAL(101,Table4[2025-12-01])</f>
        <v>18.90625</v>
      </c>
      <c r="BL34">
        <f>SUBTOTAL(101,Table4[2025-12-02])</f>
        <v>18.90625</v>
      </c>
      <c r="BM34">
        <f>SUBTOTAL(101,Table4[2025-12-03])</f>
        <v>18.90625</v>
      </c>
      <c r="BN34">
        <f>SUBTOTAL(101,Table4[2025-12-04])</f>
        <v>18.90625</v>
      </c>
      <c r="BO34">
        <f>SUBTOTAL(101,Table4[2025-12-05])</f>
        <v>18.90625</v>
      </c>
      <c r="BP34">
        <f>SUBTOTAL(101,Table4[2025-12-06])</f>
        <v>18.90625</v>
      </c>
      <c r="BQ34">
        <f>SUBTOTAL(101,Table4[2025-12-07])</f>
        <v>18.90625</v>
      </c>
      <c r="BR34">
        <f>SUBTOTAL(101,Table4[2025-12-08])</f>
        <v>18.90625</v>
      </c>
      <c r="BS34">
        <f>SUBTOTAL(101,Table4[2025-12-09])</f>
        <v>18.90625</v>
      </c>
      <c r="BT34">
        <f>SUBTOTAL(101,Table4[2025-12-10])</f>
        <v>18.90625</v>
      </c>
      <c r="BU34">
        <f>SUBTOTAL(101,Table4[2025-12-11])</f>
        <v>18.90625</v>
      </c>
      <c r="BV34">
        <f>SUBTOTAL(101,Table4[2025-12-12])</f>
        <v>18.90625</v>
      </c>
      <c r="BW34">
        <f>SUBTOTAL(101,Table4[2025-12-13])</f>
        <v>18.90625</v>
      </c>
      <c r="BX34">
        <f>SUBTOTAL(101,Table4[2025-12-14])</f>
        <v>18.90625</v>
      </c>
      <c r="BY34">
        <f>SUBTOTAL(101,Table4[2025-12-15])</f>
        <v>18.90625</v>
      </c>
      <c r="BZ34">
        <f>SUBTOTAL(101,Table4[2025-12-16])</f>
        <v>18.90625</v>
      </c>
      <c r="CA34">
        <f>SUBTOTAL(101,Table4[2025-12-17])</f>
        <v>18.90625</v>
      </c>
      <c r="CB34">
        <f>SUBTOTAL(101,Table4[2025-12-18])</f>
        <v>18.90625</v>
      </c>
      <c r="CC34">
        <f>SUBTOTAL(101,Table4[2025-12-19])</f>
        <v>18.90625</v>
      </c>
      <c r="CD34">
        <f>SUBTOTAL(101,Table4[2025-12-20])</f>
        <v>18.90625</v>
      </c>
      <c r="CE34">
        <f>SUBTOTAL(101,Table4[2025-12-21])</f>
        <v>18.90625</v>
      </c>
      <c r="CF34">
        <f>SUBTOTAL(101,Table4[2025-12-22])</f>
        <v>18.90625</v>
      </c>
      <c r="CG34">
        <f>SUBTOTAL(101,Table4[2025-12-23])</f>
        <v>18.90625</v>
      </c>
      <c r="CH34">
        <f>SUBTOTAL(101,Table4[2025-12-24])</f>
        <v>18.90625</v>
      </c>
      <c r="CI34">
        <f>SUBTOTAL(101,Table4[2025-12-25])</f>
        <v>18.90625</v>
      </c>
      <c r="CJ34">
        <f>SUBTOTAL(101,Table4[2025-12-26])</f>
        <v>18.90625</v>
      </c>
      <c r="CK34">
        <f>SUBTOTAL(101,Table4[2025-12-27])</f>
        <v>18.90625</v>
      </c>
      <c r="CL34">
        <f>SUBTOTAL(101,Table4[2025-12-28])</f>
        <v>18.90625</v>
      </c>
      <c r="CM34">
        <f>SUBTOTAL(101,Table4[2025-12-29])</f>
        <v>18.90625</v>
      </c>
      <c r="CN34">
        <f>SUBTOTAL(101,Table4[2025-12-30])</f>
        <v>18.90625</v>
      </c>
      <c r="CO34">
        <f>SUBTOTAL(101,Table4[2025-12-31])</f>
        <v>18.90625</v>
      </c>
      <c r="CP34">
        <f>SUBTOTAL(101,Table4[2026-01-01])</f>
        <v>18.90625</v>
      </c>
      <c r="CQ34">
        <f>SUBTOTAL(101,Table4[2026-01-02])</f>
        <v>18.90625</v>
      </c>
      <c r="CR34">
        <f>SUBTOTAL(101,Table4[2026-01-03])</f>
        <v>18.90625</v>
      </c>
      <c r="CS34">
        <f>SUBTOTAL(101,Table4[2026-01-04])</f>
        <v>18.90625</v>
      </c>
      <c r="CT34">
        <f>SUBTOTAL(101,Table4[2026-01-05])</f>
        <v>18.90625</v>
      </c>
      <c r="CU34">
        <f>SUBTOTAL(101,Table4[2026-01-06])</f>
        <v>18.90625</v>
      </c>
      <c r="CV34">
        <f>SUBTOTAL(101,Table4[2026-01-07])</f>
        <v>18.90625</v>
      </c>
      <c r="CW34">
        <f>SUBTOTAL(101,Table4[2026-01-08])</f>
        <v>18.90625</v>
      </c>
      <c r="CX34">
        <f>SUBTOTAL(101,Table4[2026-01-09])</f>
        <v>18.90625</v>
      </c>
      <c r="CY34">
        <f>SUBTOTAL(101,Table4[2026-01-10])</f>
        <v>18.90625</v>
      </c>
      <c r="CZ34">
        <f>SUBTOTAL(101,Table4[2026-01-11])</f>
        <v>18.90625</v>
      </c>
      <c r="DA34">
        <f>SUBTOTAL(101,Table4[2026-01-12])</f>
        <v>18.90625</v>
      </c>
      <c r="DB34">
        <f>SUBTOTAL(101,Table4[2026-01-13])</f>
        <v>18.90625</v>
      </c>
      <c r="DC34">
        <f>SUBTOTAL(101,Table4[2026-01-14])</f>
        <v>18.90625</v>
      </c>
      <c r="DD34">
        <f>SUBTOTAL(101,Table4[2026-01-15])</f>
        <v>18.90625</v>
      </c>
      <c r="DE34">
        <f>SUBTOTAL(101,Table4[2026-01-16])</f>
        <v>18.90625</v>
      </c>
      <c r="DF34">
        <f>SUBTOTAL(101,Table4[2026-01-17])</f>
        <v>18.90625</v>
      </c>
      <c r="DG34">
        <f>SUBTOTAL(101,Table4[2026-01-18])</f>
        <v>18.90625</v>
      </c>
      <c r="DH34">
        <f>SUBTOTAL(101,Table4[2026-01-19])</f>
        <v>18.90625</v>
      </c>
      <c r="DI34">
        <f>SUBTOTAL(101,Table4[2026-01-20])</f>
        <v>18.90625</v>
      </c>
      <c r="DJ34">
        <f>SUBTOTAL(101,Table4[2026-01-21])</f>
        <v>18.90625</v>
      </c>
      <c r="DK34">
        <f>SUBTOTAL(101,Table4[2026-01-22])</f>
        <v>18.90625</v>
      </c>
      <c r="DL34">
        <f>SUBTOTAL(101,Table4[2026-01-23])</f>
        <v>18.90625</v>
      </c>
      <c r="DM34">
        <f>SUBTOTAL(101,Table4[2026-01-24])</f>
        <v>18.90625</v>
      </c>
      <c r="DN34">
        <f>SUBTOTAL(101,Table4[2026-01-25])</f>
        <v>18.90625</v>
      </c>
      <c r="DO34">
        <f>SUBTOTAL(101,Table4[2026-01-26])</f>
        <v>18.90625</v>
      </c>
      <c r="DP34">
        <f>SUBTOTAL(101,Table4[2026-01-27])</f>
        <v>18.90625</v>
      </c>
      <c r="DQ34">
        <f>SUBTOTAL(101,Table4[2026-01-28])</f>
        <v>18.90625</v>
      </c>
      <c r="DR34">
        <f>SUBTOTAL(101,Table4[2026-01-29])</f>
        <v>18.90625</v>
      </c>
      <c r="DS34">
        <f>SUBTOTAL(101,Table4[2026-01-30])</f>
        <v>18.90625</v>
      </c>
      <c r="DT34">
        <f>SUBTOTAL(101,Table4[2026-01-31])</f>
        <v>18.90625</v>
      </c>
      <c r="DU34">
        <f>SUBTOTAL(101,Table4[2026-02-01])</f>
        <v>18.90625</v>
      </c>
      <c r="DV34">
        <f>SUBTOTAL(101,Table4[2026-02-02])</f>
        <v>18.90625</v>
      </c>
      <c r="DW34">
        <f>SUBTOTAL(101,Table4[2026-02-03])</f>
        <v>18.90625</v>
      </c>
      <c r="DX34">
        <f>SUBTOTAL(101,Table4[2026-02-04])</f>
        <v>18.90625</v>
      </c>
      <c r="DY34">
        <f>SUBTOTAL(101,Table4[2026-02-05])</f>
        <v>18.90625</v>
      </c>
      <c r="DZ34">
        <f>SUBTOTAL(101,Table4[2026-02-06])</f>
        <v>18.90625</v>
      </c>
      <c r="EA34">
        <f>SUBTOTAL(101,Table4[2026-02-07])</f>
        <v>18.90625</v>
      </c>
      <c r="EB34">
        <f>SUBTOTAL(101,Table4[2026-02-08])</f>
        <v>18.90625</v>
      </c>
      <c r="EC34">
        <f>SUBTOTAL(101,Table4[2026-02-09])</f>
        <v>18.90625</v>
      </c>
      <c r="ED34">
        <f>SUBTOTAL(101,Table4[2026-02-10])</f>
        <v>18.90625</v>
      </c>
      <c r="EE34">
        <f>SUBTOTAL(101,Table4[2026-02-11])</f>
        <v>18.90625</v>
      </c>
      <c r="EF34">
        <f>SUBTOTAL(101,Table4[2026-02-12])</f>
        <v>18.90625</v>
      </c>
      <c r="EG34">
        <f>SUBTOTAL(101,Table4[2026-02-13])</f>
        <v>18.90625</v>
      </c>
      <c r="EH34">
        <f>SUBTOTAL(101,Table4[2026-02-14])</f>
        <v>18.90625</v>
      </c>
      <c r="EI34">
        <f>SUBTOTAL(101,Table4[2026-02-15])</f>
        <v>18.90625</v>
      </c>
      <c r="EJ34">
        <f>SUBTOTAL(101,Table4[2026-02-16])</f>
        <v>18.90625</v>
      </c>
      <c r="EK34">
        <f>SUBTOTAL(101,Table4[2026-02-17])</f>
        <v>18.90625</v>
      </c>
      <c r="EL34">
        <f>SUBTOTAL(101,Table4[2026-02-18])</f>
        <v>18.90625</v>
      </c>
      <c r="EM34">
        <f>SUBTOTAL(101,Table4[2026-02-19])</f>
        <v>18.90625</v>
      </c>
      <c r="EN34">
        <f>SUBTOTAL(101,Table4[2026-02-20])</f>
        <v>18.90625</v>
      </c>
      <c r="EO34">
        <f>SUBTOTAL(101,Table4[2026-02-21])</f>
        <v>18.90625</v>
      </c>
      <c r="EP34">
        <f>SUBTOTAL(101,Table4[2026-02-22])</f>
        <v>18.90625</v>
      </c>
      <c r="EQ34">
        <f>SUBTOTAL(101,Table4[2026-02-23])</f>
        <v>18.90625</v>
      </c>
      <c r="ER34">
        <f>SUBTOTAL(101,Table4[2026-02-24])</f>
        <v>18.90625</v>
      </c>
      <c r="ES34">
        <f>SUBTOTAL(101,Table4[2026-02-25])</f>
        <v>18.90625</v>
      </c>
      <c r="ET34">
        <f>SUBTOTAL(101,Table4[2026-02-26])</f>
        <v>18.90625</v>
      </c>
      <c r="EU34">
        <f>SUBTOTAL(101,Table4[2026-02-27])</f>
        <v>18.90625</v>
      </c>
      <c r="EV34">
        <f>SUBTOTAL(101,Table4[2026-02-28])</f>
        <v>18.90625</v>
      </c>
      <c r="EW34">
        <f>SUBTOTAL(101,Table4[2026-03-01])</f>
        <v>18.90625</v>
      </c>
      <c r="EX34">
        <f>SUBTOTAL(101,Table4[2026-03-02])</f>
        <v>18.90625</v>
      </c>
      <c r="EY34">
        <f>SUBTOTAL(101,Table4[2026-03-03])</f>
        <v>18.90625</v>
      </c>
      <c r="EZ34">
        <f>SUBTOTAL(101,Table4[2026-03-04])</f>
        <v>18.90625</v>
      </c>
      <c r="FA34">
        <f>SUBTOTAL(101,Table4[2026-03-05])</f>
        <v>18.90625</v>
      </c>
      <c r="FB34">
        <f>SUBTOTAL(101,Table4[2026-03-06])</f>
        <v>18.90625</v>
      </c>
      <c r="FC34">
        <f>SUBTOTAL(101,Table4[2026-03-07])</f>
        <v>18.90625</v>
      </c>
      <c r="FD34">
        <f>SUBTOTAL(101,Table4[2026-03-08])</f>
        <v>18.90625</v>
      </c>
      <c r="FE34">
        <f>SUBTOTAL(101,Table4[2026-03-09])</f>
        <v>18.90625</v>
      </c>
      <c r="FF34">
        <f>SUBTOTAL(101,Table4[2026-03-10])</f>
        <v>18.90625</v>
      </c>
      <c r="FG34">
        <f>SUBTOTAL(101,Table4[2026-03-11])</f>
        <v>18.90625</v>
      </c>
      <c r="FH34">
        <f>SUBTOTAL(101,Table4[2026-03-12])</f>
        <v>18.90625</v>
      </c>
      <c r="FI34">
        <f>SUBTOTAL(101,Table4[2026-03-13])</f>
        <v>18.90625</v>
      </c>
      <c r="FJ34">
        <f>SUBTOTAL(101,Table4[2026-03-14])</f>
        <v>18.90625</v>
      </c>
      <c r="FK34">
        <f>SUBTOTAL(101,Table4[2026-03-15])</f>
        <v>18.90625</v>
      </c>
      <c r="FL34">
        <f>SUBTOTAL(101,Table4[2026-03-16])</f>
        <v>18.90625</v>
      </c>
      <c r="FM34">
        <f>SUBTOTAL(101,Table4[2026-03-17])</f>
        <v>18.90625</v>
      </c>
      <c r="FN34">
        <f>SUBTOTAL(101,Table4[2026-03-18])</f>
        <v>18.90625</v>
      </c>
      <c r="FO34">
        <f>SUBTOTAL(101,Table4[2026-03-19])</f>
        <v>18.90625</v>
      </c>
      <c r="FP34">
        <f>SUBTOTAL(101,Table4[2026-03-20])</f>
        <v>18.90625</v>
      </c>
      <c r="FQ34">
        <f>SUBTOTAL(101,Table4[2026-03-21])</f>
        <v>18.90625</v>
      </c>
      <c r="FR34">
        <f>SUBTOTAL(101,Table4[2026-03-22])</f>
        <v>18.90625</v>
      </c>
      <c r="FS34">
        <f>SUBTOTAL(101,Table4[2026-03-23])</f>
        <v>18.90625</v>
      </c>
      <c r="FT34">
        <f>SUBTOTAL(101,Table4[2026-03-24])</f>
        <v>18.90625</v>
      </c>
      <c r="FU34">
        <f>SUBTOTAL(101,Table4[2026-03-25])</f>
        <v>18.90625</v>
      </c>
      <c r="FV34">
        <f>SUBTOTAL(101,Table4[2026-03-26])</f>
        <v>18.90625</v>
      </c>
      <c r="FW34">
        <f>SUBTOTAL(101,Table4[2026-03-27])</f>
        <v>18.90625</v>
      </c>
      <c r="FX34">
        <f>SUBTOTAL(101,Table4[2026-03-28])</f>
        <v>18.90625</v>
      </c>
      <c r="FY34">
        <f>SUBTOTAL(101,Table4[2026-03-29])</f>
        <v>18.90625</v>
      </c>
      <c r="FZ34">
        <f>SUBTOTAL(101,Table4[2026-03-30])</f>
        <v>18.90625</v>
      </c>
      <c r="GA34">
        <f>SUBTOTAL(101,Table4[2026-03-31])</f>
        <v>18.90625</v>
      </c>
      <c r="GB34">
        <f>SUBTOTAL(101,Table4[2026-04-01])</f>
        <v>18.90625</v>
      </c>
      <c r="GC34">
        <f>SUBTOTAL(101,Table4[2026-04-02])</f>
        <v>18.90625</v>
      </c>
      <c r="GD34">
        <f>SUBTOTAL(101,Table4[2026-04-03])</f>
        <v>18.90625</v>
      </c>
      <c r="GE34">
        <f>SUBTOTAL(101,Table4[2026-04-04])</f>
        <v>18.90625</v>
      </c>
      <c r="GF34">
        <f>SUBTOTAL(101,Table4[2026-04-05])</f>
        <v>18.90625</v>
      </c>
      <c r="GG34">
        <f>SUBTOTAL(101,Table4[2026-04-06])</f>
        <v>18.90625</v>
      </c>
      <c r="GH34">
        <f>SUBTOTAL(101,Table4[2026-04-07])</f>
        <v>18.90625</v>
      </c>
      <c r="GI34">
        <f>SUBTOTAL(101,Table4[2026-04-08])</f>
        <v>18.90625</v>
      </c>
      <c r="GJ34">
        <f>SUBTOTAL(101,Table4[2026-04-09])</f>
        <v>18.90625</v>
      </c>
      <c r="GK34">
        <f>SUBTOTAL(101,Table4[2026-04-10])</f>
        <v>18.90625</v>
      </c>
      <c r="GL34">
        <f>SUBTOTAL(101,Table4[2026-04-11])</f>
        <v>18.90625</v>
      </c>
      <c r="GM34">
        <f>SUBTOTAL(101,Table4[2026-04-12])</f>
        <v>18.90625</v>
      </c>
      <c r="GN34">
        <f>SUBTOTAL(101,Table4[2026-04-13])</f>
        <v>18.90625</v>
      </c>
      <c r="GO34">
        <f>SUBTOTAL(101,Table4[2026-04-14])</f>
        <v>18.90625</v>
      </c>
      <c r="GP34">
        <f>SUBTOTAL(101,Table4[2026-04-15])</f>
        <v>18.90625</v>
      </c>
      <c r="GQ34">
        <f>SUBTOTAL(101,Table4[2026-04-16])</f>
        <v>18.90625</v>
      </c>
      <c r="GR34">
        <f>SUBTOTAL(101,Table4[2026-04-17])</f>
        <v>18.90625</v>
      </c>
      <c r="GS34">
        <f>SUBTOTAL(101,Table4[2026-04-18])</f>
        <v>18.90625</v>
      </c>
      <c r="GT34">
        <f>SUBTOTAL(101,Table4[2026-04-19])</f>
        <v>18.90625</v>
      </c>
      <c r="GU34">
        <f>SUBTOTAL(101,Table4[2026-04-20])</f>
        <v>18.90625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18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18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18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18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18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18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18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18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18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18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18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18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18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18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18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18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18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18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18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18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18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18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18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18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18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18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18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18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18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18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18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18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18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18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18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18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18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18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18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18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18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18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18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18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18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18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18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18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18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18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18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18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18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18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18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18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18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18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18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18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18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18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18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18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18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18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18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18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18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18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18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18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18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18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18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18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18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18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18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18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18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18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18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18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18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18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18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18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18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18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18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18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18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18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18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18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18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18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18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18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18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18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18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18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18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18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18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18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18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18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18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18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18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18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18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18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18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18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18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18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18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18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18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18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18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18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18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18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18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18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18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18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18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18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18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18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18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18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18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18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18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18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18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18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18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18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18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18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18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18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18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18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18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18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18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18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18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18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18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22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22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22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22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22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22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22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22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22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22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22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22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22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22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22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22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22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22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22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22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22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22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22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22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22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22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22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22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22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22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22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22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22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22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22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22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22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22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22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22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22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22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22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22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22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22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22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22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22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22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22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22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22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22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22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22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22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22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22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22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22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22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22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22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22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22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22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22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22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22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22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22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22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22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22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22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22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22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22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22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22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22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22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22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22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22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22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22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22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22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22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22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22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22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22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22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22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22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22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22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22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22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22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22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22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22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22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22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22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22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22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22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22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22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22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22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22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22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22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22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22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22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22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22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22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22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22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22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22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22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22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22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22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22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22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22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22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22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22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22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22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22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22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22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22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22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22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22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22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22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22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22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22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22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22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17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17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17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17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17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17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17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17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17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17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17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17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17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17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17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17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17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17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17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17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17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17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17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17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17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17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17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17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17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17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17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17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17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17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17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17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17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17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17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17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17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17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17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17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17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17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17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17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17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17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17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17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17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17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17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17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17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17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17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17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17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17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17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17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17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17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17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17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17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17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17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17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17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17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17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17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17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17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17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17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17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17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17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17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17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17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17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17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17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17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17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17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17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17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17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17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17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17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17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17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17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17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17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17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17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17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17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17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17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17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17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17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17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17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17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17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17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17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17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17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17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17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17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17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17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17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17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17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17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17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17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17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17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17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17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17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17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17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17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17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17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17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17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17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17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17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17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17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17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17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17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17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17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17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17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17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17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17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17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17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17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17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17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17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17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17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17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17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17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17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17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17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17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17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17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17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17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17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17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17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17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17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17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17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17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17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17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17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17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17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17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17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17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17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17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17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17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17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17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17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17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17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17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17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17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17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17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17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17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17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17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17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17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17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17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17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17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17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17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17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17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17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17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17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17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17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17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17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17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17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17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17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17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17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17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17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17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17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17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17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17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17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17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17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17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17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17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17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17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17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17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17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17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17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17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17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17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17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17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17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17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17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17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17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17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17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17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17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17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17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17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17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17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17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17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17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17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17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17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17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17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17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17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17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17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17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17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17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17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17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17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17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17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17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17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17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17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17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17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17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17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17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17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17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17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17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17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17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17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17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17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17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17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17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17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17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17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17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22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22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22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22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22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22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22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22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22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22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22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22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22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22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22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22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22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22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22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22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22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22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22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22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22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22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22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22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22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22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22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22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22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22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22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22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22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22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22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22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22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22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22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22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22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22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22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22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22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22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22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22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22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22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22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22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22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22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22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22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22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22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22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22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22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22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22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22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22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22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22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22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22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22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22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22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22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22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22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22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22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22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22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22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22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22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22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22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22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22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22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22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22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22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22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22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22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22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22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22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22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22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22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22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22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22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22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22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22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22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22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22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22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22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22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22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22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22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22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22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22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22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22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22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22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22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22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22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22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22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22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22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22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22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22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22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22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22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22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22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22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22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22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22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22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22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22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22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22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22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22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22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22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22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22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22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22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18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18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18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18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18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18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18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18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18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18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18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18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18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18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18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18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18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18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18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18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18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18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18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18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18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18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18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18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18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18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18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18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18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18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18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18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18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18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18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18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18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18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18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18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18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18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18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18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18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18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18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18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18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18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18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18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18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18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18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18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18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18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18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18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18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18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18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18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18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18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18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18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18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18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18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18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18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18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18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18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18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18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18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18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18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18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18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18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18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18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18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18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18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18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18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18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18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18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18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18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18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18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18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18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18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18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18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18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18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18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18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18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18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18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18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18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18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18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18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18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18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18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18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18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18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18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18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18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18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18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18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18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18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18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18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18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18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18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18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18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18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18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18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18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18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18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18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18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18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18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18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18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18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18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18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18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18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20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20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20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20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20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20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20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20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20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20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20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20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20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20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20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20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20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20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20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20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20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20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20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20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20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20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20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20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20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20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20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20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20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20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20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20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20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20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20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20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20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20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20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20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20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20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20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20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20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20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20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20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20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20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20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20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20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20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20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20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20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20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20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20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20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20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20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20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20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20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20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20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20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20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20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20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20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20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20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20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20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20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20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20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20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20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20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20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20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20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20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20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20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20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20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20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20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20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20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20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20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20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20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20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20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20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20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20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20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20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20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20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20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20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20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20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20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20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20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20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20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20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20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20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20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20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20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20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20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20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20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20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20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20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20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20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20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20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20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20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20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20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20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20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20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20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20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20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20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20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20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20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20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20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20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20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20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20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20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14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14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14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14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14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14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14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14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14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14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14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14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14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14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14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14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14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14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14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14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14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14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14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14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14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14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14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14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14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14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14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14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14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14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14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14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14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14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14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14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14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14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14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14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14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14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14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14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14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14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14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14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14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14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14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14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14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14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14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14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14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14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14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14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14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14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14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14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14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14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14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14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14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14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14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14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14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14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14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14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14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14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14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14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14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14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14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14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14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14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14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14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14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14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14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14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14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14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14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14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14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14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14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14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14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14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14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14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14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14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14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14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14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14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14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14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14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14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14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14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14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14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14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14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14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14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14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14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14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14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14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14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14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14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14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14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14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14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14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14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14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14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14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14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14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14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14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14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14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14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14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14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14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14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14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14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14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22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22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22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22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22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22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22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22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22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22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22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22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22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22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22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22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22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22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22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22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22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22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22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22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22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22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22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22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22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22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22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22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22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22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22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22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22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22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22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22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22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22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22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22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22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22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22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22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22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22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22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22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22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22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22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22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22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22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22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22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22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22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22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22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22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22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22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22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22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22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22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22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22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22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22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22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22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22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22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22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22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22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22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22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22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22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22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22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22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22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22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22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22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22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22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22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22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22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22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22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22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22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22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22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22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22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22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22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22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22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22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22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22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22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22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22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22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22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22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22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22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22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22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22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22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22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22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22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22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22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22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22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22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22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22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22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22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22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22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22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22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22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22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22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22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22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22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22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22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22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22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22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22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22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22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22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22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22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17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17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17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17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17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17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17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17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17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17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17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17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17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17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17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17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17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17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17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17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17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17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17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17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17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17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17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17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17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17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17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17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17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17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17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17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17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17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17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17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17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17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17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17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17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17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17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17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17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17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17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17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17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17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17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17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17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17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17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17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17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17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17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17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17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17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17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17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17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17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17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17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17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17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17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17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17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17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17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17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17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17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17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17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17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17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17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17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17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17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17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17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17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17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17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17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17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17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17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17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17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17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17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17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17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17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17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17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17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17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17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17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17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17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17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17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17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17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17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17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17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17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17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17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17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17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17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17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17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17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17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17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17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17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17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17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17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17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17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17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17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17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17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17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17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17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17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17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17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17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17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17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17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17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17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17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17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23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23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23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23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23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23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23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23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23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23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23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23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23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23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23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23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23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23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23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23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23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23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23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23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23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23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23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23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23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23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23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23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23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23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23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23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23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23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23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23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23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23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23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23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23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23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23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23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23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23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23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23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23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23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23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23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23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23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23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23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23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23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23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23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23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23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23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23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23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23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23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23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23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23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23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23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23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23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23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23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23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23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23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23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23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23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23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23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23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23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23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23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23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23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23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23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23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23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23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23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23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23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23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23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23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23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23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23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23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23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23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23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23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23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23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23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23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23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23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23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23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23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23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23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23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23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23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23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23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23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23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23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23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23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23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23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23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23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23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23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23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23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23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23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23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23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23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23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23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23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23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23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23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23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23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23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23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23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23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23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21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21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21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21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21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21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21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21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21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21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21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21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21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21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21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21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21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21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21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21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21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21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21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21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21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21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21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21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21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21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21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21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21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21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21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21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21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21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21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21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21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21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21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21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21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21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21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21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21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21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21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21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21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21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21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21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21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21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21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21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21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21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21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21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21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21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21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21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21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21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21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21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21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21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21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21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21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21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21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21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21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21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21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21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21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21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21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21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21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21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21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21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21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21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21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21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21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21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21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21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21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21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21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21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21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21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21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21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21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21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21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21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21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21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21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21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21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21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21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21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21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21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21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21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21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21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21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21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21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21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21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21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21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21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21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21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21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21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21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21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21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21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21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21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21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21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21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21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21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21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21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21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21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21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21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21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21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21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20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20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20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20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20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20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20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20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20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20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20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20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20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20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20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20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20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20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20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20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20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20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20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20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20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20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20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20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20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20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20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20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20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20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20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20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20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20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20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20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20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20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20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20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20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20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20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20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20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20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20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20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20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20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20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20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20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20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20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20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20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20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20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20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20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20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20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20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20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20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20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20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20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20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20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20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20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20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20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20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20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20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20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20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20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20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20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20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20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20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20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20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20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20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20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20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20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20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20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20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20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20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20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20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20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20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20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20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20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20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20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20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20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20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20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20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20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20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20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20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20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20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20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20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20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20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20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20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20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20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20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20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20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20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20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20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20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20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20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20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20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20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20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20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20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20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20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20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20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20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20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20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20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20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20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20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20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19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19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19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19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19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19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19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19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19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19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19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19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19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19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19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19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19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19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19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19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19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19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19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19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19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19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19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19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19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19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19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19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19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19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19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19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19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19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19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19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19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19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19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19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19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19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19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19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19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19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19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19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19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19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19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19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19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19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19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19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19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19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19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19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19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19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19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19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19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19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19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19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19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19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19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19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19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19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19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19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19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19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19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19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19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19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19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19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19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19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19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19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19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19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19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19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19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19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19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19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19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19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19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19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19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19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19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19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19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19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19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19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19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19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19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19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19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19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19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19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19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19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19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19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19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19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19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19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19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19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19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19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19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19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19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19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19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19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19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19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19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19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19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19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19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19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19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19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19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19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19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19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19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19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19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19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19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19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18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18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18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18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18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18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18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18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18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18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18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18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18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18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18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18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18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18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18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18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18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18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18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18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18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18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18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18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18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18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18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18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18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18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18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18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18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18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18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18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18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18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18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18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18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18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18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18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18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18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18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18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18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18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18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18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18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18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18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18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18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18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18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18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18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18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18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18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18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18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18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18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18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18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18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18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18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18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18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18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18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18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18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18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18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18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18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18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18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18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18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18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18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18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18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18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18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18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18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18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18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18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18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18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18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18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18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18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18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18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18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18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18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18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18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18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18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18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18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18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18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18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18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18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18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18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18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18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18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18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18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18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18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18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18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18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18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18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18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18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18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18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18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18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18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18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18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18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18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18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18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18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18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18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18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18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18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18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18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17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17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17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17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17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17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17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17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17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17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17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17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17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17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17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17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17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17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17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17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17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17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17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17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17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17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17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17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17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17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17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17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17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17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17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17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17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17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17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17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17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17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17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17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17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17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17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17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17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17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17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17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17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17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17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17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17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17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17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17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17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17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17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17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17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17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17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17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17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17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17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17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17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17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17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17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17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17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17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17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17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17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17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17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17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17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17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17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17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17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17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17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17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17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17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17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17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17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17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17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17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17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17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17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17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17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17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17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17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17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17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17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17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17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17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17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17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17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17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17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17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17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17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17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17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17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17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17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17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17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17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17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17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17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17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17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17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17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17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17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17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17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17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17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17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17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17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17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17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17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17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17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17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17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17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17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17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17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17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27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27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27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27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27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27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27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27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27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27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27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27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27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27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27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27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27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27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27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27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27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27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27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27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27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27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27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27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27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27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27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27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27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27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27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27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27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27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27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27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27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27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27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27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27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27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27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27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27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27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27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27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27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27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27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27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27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27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27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27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27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27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27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27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27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27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27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27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27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27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27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27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27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27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27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27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27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27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27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27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27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27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27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27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27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27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27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27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27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27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27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27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27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27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27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27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27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27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27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27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27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27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27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27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27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27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27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27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27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27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27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27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27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27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27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27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27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27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27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27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27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27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27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27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27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27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27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27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27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27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27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27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27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27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27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27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27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27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27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27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27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27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27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27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27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27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27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27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27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27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27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27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27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27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27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27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27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27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27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20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20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20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20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20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20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20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20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20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20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20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20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20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20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20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20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20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20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20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20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20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20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20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20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20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20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20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20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20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20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20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20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20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20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20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20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20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20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20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20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20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20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20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20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20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20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20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20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20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20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20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20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20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20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20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20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20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20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20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20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20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20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20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20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20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20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20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20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20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20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20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20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20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20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20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20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20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20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20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20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20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20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20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20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20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20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20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20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20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20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20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20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20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20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20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20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20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20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20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20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20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20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20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20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20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20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20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20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20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20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20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20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20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20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20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20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20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20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20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20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20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20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20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20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20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20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20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20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20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20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20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20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20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20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20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20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20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20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20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20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20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20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20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20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20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20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20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20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20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20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20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20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20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20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20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20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20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23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23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23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23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23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23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23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23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23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23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23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23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23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23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23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23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23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23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23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23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23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23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23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23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23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23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23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23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23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23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23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23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23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23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23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23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23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23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23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23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23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23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23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23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23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23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23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23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23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23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23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23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23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23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23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23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23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23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23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23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23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23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23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23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23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23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23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23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23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23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23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23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23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23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23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23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23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23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23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23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23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23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23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23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23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23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23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23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23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23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23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23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23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23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23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23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23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23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23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23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23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23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23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23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23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23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23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23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23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23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23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23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23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23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23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23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23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23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23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23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23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23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23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23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23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23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23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23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23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23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23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23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23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23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23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23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23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23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23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23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23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23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23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23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23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23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23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23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23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23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23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23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23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23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23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23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23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23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23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15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15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15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15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15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15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15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15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15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15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15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15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15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15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15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15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15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15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15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15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15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15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15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15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15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15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15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15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15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15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15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15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15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15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15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15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15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15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15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15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15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15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15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15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15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15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15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15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15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15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15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15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15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15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15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15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15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15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15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15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15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15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15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15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15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15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15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15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15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15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15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15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15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15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15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15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15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15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15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15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15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15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15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15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15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15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15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15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15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15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15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15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15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15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15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15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15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15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15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15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15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15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15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15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15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15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15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15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15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15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15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15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15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15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15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15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15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15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15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15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15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15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15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15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15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15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15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15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15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15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15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15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15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15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15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15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15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15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15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15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15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15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15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15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15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15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15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15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15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15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15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15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15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15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15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15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15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15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18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18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18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18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18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18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18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18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18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18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18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18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18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18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18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18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18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18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18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18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18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18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18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18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18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18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18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18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18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18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18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18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18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18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18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18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18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18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18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18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18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18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18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18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18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18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18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18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18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18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18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18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18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18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18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18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18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18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18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18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18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18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18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18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18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18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18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18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18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18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18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18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18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18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18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18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18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18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18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18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18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18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18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18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18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18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18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18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18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18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18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18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18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18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18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18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18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18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18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18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18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18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18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18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18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18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18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18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18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18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18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18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18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18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18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18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18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18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18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18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18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18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18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18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18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18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18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18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18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18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18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18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18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18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18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18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18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18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18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18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18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18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18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18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18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18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18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18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18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18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18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18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18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18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18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18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18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18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18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18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14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14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14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14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14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14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14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14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14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14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14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14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14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14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14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14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14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14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14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14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14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14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14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14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14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14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14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14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14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14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14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14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14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14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14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14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14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14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14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14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14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14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14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14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14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14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14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14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14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14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14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14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14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14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14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14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14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14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14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14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14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14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14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14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14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14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14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14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14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14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14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14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14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14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14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14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14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14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14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14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14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14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14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14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14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14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14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14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14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14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14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14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14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14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14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14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14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14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14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14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14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14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14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14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14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14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14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14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14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14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14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14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14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14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14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14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14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14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14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14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14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14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14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14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14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14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14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14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14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14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14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14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14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14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14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14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14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14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14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14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14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14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14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14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14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14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14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14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14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14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14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14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14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14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14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14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14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14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19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19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19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19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19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19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19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19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19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19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19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19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19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19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19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19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19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19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19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19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19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19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19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19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19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19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19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19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19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19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19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19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19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19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19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19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19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19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19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19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19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19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19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19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19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19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19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19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19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19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19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19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19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19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19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19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19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19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19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19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19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19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19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19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19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19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19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19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19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19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19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19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19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19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19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19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19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19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19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19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19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19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19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19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19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19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19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19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19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19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19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19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19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19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19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19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19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19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19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19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19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19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19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19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19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19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19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19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19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19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19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19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19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19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19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19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19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19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19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19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19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19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19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19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19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19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19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19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19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19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19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19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19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19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19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19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19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19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19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19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19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19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19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19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19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19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19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19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19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19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19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19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19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19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19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19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19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19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19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19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18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18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18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18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18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18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18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18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18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18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18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18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18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18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18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18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18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18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18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18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18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18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18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18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18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18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18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18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18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18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18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18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18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18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18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18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18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18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18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18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18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18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18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18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18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18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18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18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18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18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18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18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18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18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18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18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18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18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18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18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18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18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18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18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18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18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18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18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18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18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18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18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18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18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18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18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18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18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18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18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18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18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18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18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18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18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18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18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18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18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18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18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18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18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18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18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18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18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18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18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18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18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18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18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18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18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18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18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18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18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18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18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18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18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18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18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18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18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18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18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18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18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18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18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18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18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18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18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18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18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18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18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18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18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18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18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18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18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18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18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18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18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18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18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18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18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18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18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18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18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18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18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18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18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18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18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18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18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18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18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18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18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18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18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18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18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18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18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18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18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18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18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18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18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18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18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18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18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18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18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18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18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18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18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18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18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18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18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18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18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18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18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18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18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18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18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18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18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18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18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18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18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18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18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18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18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18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18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18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18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18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18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18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18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18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18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18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18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18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18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18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18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18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18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18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18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18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18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18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18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18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18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18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18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18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18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18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18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18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18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18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18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18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18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18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18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18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18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18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18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18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18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18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18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18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18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18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18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18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18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18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18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18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18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18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18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18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18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18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18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18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18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18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18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18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18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18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18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18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18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18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18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18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18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18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18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18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18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18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18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18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18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18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18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18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18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18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18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18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18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18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18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18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18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18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18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18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18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18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18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18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18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18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18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18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18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17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17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17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17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17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17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17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17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17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17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17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17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17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17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17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17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17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17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17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17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17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17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17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17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17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17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17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17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17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17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17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17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17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17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17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17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17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17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17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17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17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17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17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17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17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17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17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17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17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17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17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17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17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17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17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17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17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17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17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17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17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17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17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17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17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17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17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17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17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17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17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17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17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17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17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17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17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17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17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17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17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17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17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17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17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17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17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17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17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17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17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17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17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17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17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17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17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17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17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17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17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17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17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17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17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17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17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17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17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17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17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17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17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17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17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17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17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17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17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17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17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17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17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17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17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17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17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17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17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17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17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17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17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17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17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17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17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17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17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17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17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17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17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17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17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17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17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17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17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17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17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17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17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17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17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17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17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17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19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19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19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19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19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19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19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19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19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19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19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19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19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19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19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19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19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19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19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19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19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19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19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19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19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19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19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19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19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19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19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19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19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19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19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19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19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19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19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19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19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19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19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19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19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19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19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19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19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19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19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19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19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19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19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19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19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19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19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19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19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19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19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19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19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19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19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19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19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19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19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19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19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19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19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19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19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19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19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19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19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19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19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19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19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19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19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19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19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19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19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19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19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19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19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19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19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19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19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19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19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19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19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19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19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19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19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19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19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19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19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19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19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19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19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19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19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19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19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19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19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19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19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19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19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19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19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19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19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19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19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19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19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19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19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19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19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19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19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19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19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19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19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19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19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19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19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19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19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19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19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19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19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19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19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19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19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19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19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20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20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20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20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20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20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20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20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20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20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20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20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20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20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20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20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20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20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20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20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20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20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20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20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20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20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20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20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20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20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20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20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20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20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20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20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20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20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20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20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20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20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20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20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20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20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20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20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20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20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20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20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20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20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20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20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20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20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20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20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20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20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20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20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20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20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20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20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20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20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20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20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20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20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20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20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20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20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20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20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20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20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20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20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20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20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20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20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20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20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20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20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20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20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20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20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20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20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20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20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20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20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20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20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20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20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20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20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20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20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20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20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20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20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20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20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20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20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20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20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20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20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20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20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20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20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20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20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20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20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20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20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20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20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20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20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20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20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20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20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20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20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20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20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20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20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20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20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20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20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20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20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20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20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20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20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20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20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20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20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20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20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20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20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20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20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20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20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20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20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20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20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20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20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20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20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20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20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20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20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20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20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20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20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20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20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20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20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20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20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20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20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20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20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20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20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20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20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20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20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20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20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20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20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20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20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20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20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20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20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20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20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20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20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20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20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20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20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20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20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20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20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20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20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20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20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20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20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20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20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20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20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20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20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20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20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20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20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20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20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20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20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20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20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20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20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20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20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20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20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20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20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20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20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20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20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20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20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20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20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20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20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20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20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20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20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20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20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20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20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20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20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20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20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20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20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20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20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20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20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20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20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20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20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20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20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20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20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20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20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20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20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20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20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20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20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20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20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20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20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20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20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20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20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20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20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20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20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20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20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20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20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20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20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20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20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23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23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23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23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23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23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23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23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23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23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23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23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23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23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23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23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23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23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23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23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23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23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23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23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23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23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23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23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23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23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23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23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23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23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23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23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23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23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23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23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23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23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23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23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23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23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23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23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23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23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23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23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23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23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23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23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23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23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23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23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23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23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23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23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23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23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23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23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23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23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23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23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23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23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23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23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23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23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23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23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23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23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23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23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23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23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23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23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23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23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23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23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23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23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23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23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23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23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23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23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23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23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23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23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23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23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23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23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23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23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23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23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23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23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23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23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23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23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23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23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23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23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23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23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23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23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23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23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23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23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23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23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23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23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23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23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23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23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23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23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23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23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23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23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23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23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23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23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23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23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23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23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23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23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23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10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10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10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10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10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10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10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10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10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10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10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10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10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10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10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10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10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10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10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10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10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10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10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10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10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10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10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10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10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10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10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10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10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10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10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10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10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10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10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10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10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10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10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10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10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10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10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10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10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10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10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10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10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10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10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10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10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10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10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10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10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10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10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10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10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10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10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10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10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10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10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10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10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10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10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10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10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10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10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10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10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10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10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10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10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10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10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10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10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10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10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10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10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10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10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10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10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10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10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10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10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10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10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10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10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10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10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10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10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10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10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10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10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10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10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10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10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10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10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10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10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10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10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10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10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10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10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10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10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10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10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10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10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10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10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10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10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10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10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10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10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10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10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10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10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10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10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10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10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10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10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10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10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10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10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10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10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10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10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19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19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19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19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19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19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19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19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19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19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19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19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19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19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19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19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19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19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19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19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19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19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19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19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19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19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19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19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19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19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19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19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19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19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19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19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19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19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19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19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19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19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19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19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19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19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19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19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19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19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19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19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19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19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19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19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19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19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19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19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19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19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19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19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19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19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19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19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19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19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19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19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19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19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19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19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19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19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19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19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19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19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19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19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19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19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19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19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19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19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19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19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19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19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19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19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19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19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19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19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19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19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19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19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19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19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19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19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19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19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19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19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19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19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19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19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19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19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19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19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19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19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19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19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19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19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19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19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19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19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19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19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19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19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19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19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19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19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19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19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19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19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19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19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19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19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19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19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19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19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19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19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19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19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18.90625</v>
      </c>
      <c r="AS70">
        <f>SUBTOTAL(101,Table46[2024-11-13])</f>
        <v>18.90625</v>
      </c>
      <c r="AT70">
        <f>SUBTOTAL(101,Table46[2024-11-14])</f>
        <v>18.90625</v>
      </c>
      <c r="AU70">
        <f>SUBTOTAL(101,Table46[2024-11-15])</f>
        <v>18.90625</v>
      </c>
      <c r="AV70">
        <f>SUBTOTAL(101,Table46[2024-11-16])</f>
        <v>18.90625</v>
      </c>
      <c r="AW70">
        <f>SUBTOTAL(101,Table46[2024-11-17])</f>
        <v>18.90625</v>
      </c>
      <c r="AX70">
        <f>SUBTOTAL(101,Table46[2024-11-18])</f>
        <v>18.90625</v>
      </c>
      <c r="AY70">
        <f>SUBTOTAL(101,Table46[2024-11-19])</f>
        <v>18.90625</v>
      </c>
      <c r="AZ70">
        <f>SUBTOTAL(101,Table46[2024-11-20])</f>
        <v>18.90625</v>
      </c>
      <c r="BA70">
        <f>SUBTOTAL(101,Table46[2024-11-21])</f>
        <v>18.90625</v>
      </c>
      <c r="BB70">
        <f>SUBTOTAL(101,Table46[2024-11-22])</f>
        <v>18.90625</v>
      </c>
      <c r="BC70">
        <f>SUBTOTAL(101,Table46[2024-11-23])</f>
        <v>18.90625</v>
      </c>
      <c r="BD70">
        <f>SUBTOTAL(101,Table46[2024-11-24])</f>
        <v>18.90625</v>
      </c>
      <c r="BE70">
        <f>SUBTOTAL(101,Table46[2024-11-25])</f>
        <v>18.90625</v>
      </c>
      <c r="BF70">
        <f>SUBTOTAL(101,Table46[2024-11-26])</f>
        <v>18.90625</v>
      </c>
      <c r="BG70">
        <f>SUBTOTAL(101,Table46[2024-11-27])</f>
        <v>18.90625</v>
      </c>
      <c r="BH70">
        <f>SUBTOTAL(101,Table46[2024-11-28])</f>
        <v>18.90625</v>
      </c>
      <c r="BI70">
        <f>SUBTOTAL(101,Table46[2024-11-29])</f>
        <v>18.90625</v>
      </c>
      <c r="BJ70">
        <f>SUBTOTAL(101,Table46[2024-11-30])</f>
        <v>18.90625</v>
      </c>
      <c r="BK70">
        <f>SUBTOTAL(101,Table46[2024-12-01])</f>
        <v>18.90625</v>
      </c>
      <c r="BL70">
        <f>SUBTOTAL(101,Table46[2024-12-02])</f>
        <v>18.90625</v>
      </c>
      <c r="BM70">
        <f>SUBTOTAL(101,Table46[2024-12-03])</f>
        <v>18.90625</v>
      </c>
      <c r="BN70">
        <f>SUBTOTAL(101,Table46[2024-12-04])</f>
        <v>18.90625</v>
      </c>
      <c r="BO70">
        <f>SUBTOTAL(101,Table46[2024-12-05])</f>
        <v>18.90625</v>
      </c>
      <c r="BP70">
        <f>SUBTOTAL(101,Table46[2024-12-06])</f>
        <v>18.90625</v>
      </c>
      <c r="BQ70">
        <f>SUBTOTAL(101,Table46[2024-12-07])</f>
        <v>18.90625</v>
      </c>
      <c r="BR70">
        <f>SUBTOTAL(101,Table46[2024-12-08])</f>
        <v>18.90625</v>
      </c>
      <c r="BS70">
        <f>SUBTOTAL(101,Table46[2024-12-09])</f>
        <v>18.90625</v>
      </c>
      <c r="BT70">
        <f>SUBTOTAL(101,Table46[2024-12-10])</f>
        <v>18.90625</v>
      </c>
      <c r="BU70">
        <f>SUBTOTAL(101,Table46[2024-12-11])</f>
        <v>18.90625</v>
      </c>
      <c r="BV70">
        <f>SUBTOTAL(101,Table46[2024-12-12])</f>
        <v>18.90625</v>
      </c>
      <c r="BW70">
        <f>SUBTOTAL(101,Table46[2024-12-13])</f>
        <v>18.90625</v>
      </c>
      <c r="BX70">
        <f>SUBTOTAL(101,Table46[2024-12-14])</f>
        <v>18.90625</v>
      </c>
      <c r="BY70">
        <f>SUBTOTAL(101,Table46[2024-12-15])</f>
        <v>18.90625</v>
      </c>
      <c r="BZ70">
        <f>SUBTOTAL(101,Table46[2024-12-16])</f>
        <v>18.90625</v>
      </c>
      <c r="CA70">
        <f>SUBTOTAL(101,Table46[2024-12-17])</f>
        <v>18.90625</v>
      </c>
      <c r="CB70">
        <f>SUBTOTAL(101,Table46[2024-12-18])</f>
        <v>18.90625</v>
      </c>
      <c r="CC70">
        <f>SUBTOTAL(101,Table46[2024-12-19])</f>
        <v>18.90625</v>
      </c>
      <c r="CD70">
        <f>SUBTOTAL(101,Table46[2024-12-20])</f>
        <v>18.90625</v>
      </c>
      <c r="CE70">
        <f>SUBTOTAL(101,Table46[2024-12-21])</f>
        <v>18.90625</v>
      </c>
      <c r="CF70">
        <f>SUBTOTAL(101,Table46[2024-12-22])</f>
        <v>18.90625</v>
      </c>
      <c r="CG70">
        <f>SUBTOTAL(101,Table46[2024-12-23])</f>
        <v>18.90625</v>
      </c>
      <c r="CH70">
        <f>SUBTOTAL(101,Table46[2024-12-24])</f>
        <v>18.90625</v>
      </c>
      <c r="CI70">
        <f>SUBTOTAL(101,Table46[2024-12-25])</f>
        <v>18.90625</v>
      </c>
      <c r="CJ70">
        <f>SUBTOTAL(101,Table46[2024-12-26])</f>
        <v>18.90625</v>
      </c>
      <c r="CK70">
        <f>SUBTOTAL(101,Table46[2024-12-27])</f>
        <v>18.90625</v>
      </c>
      <c r="CL70">
        <f>SUBTOTAL(101,Table46[2024-12-28])</f>
        <v>18.90625</v>
      </c>
      <c r="CM70">
        <f>SUBTOTAL(101,Table46[2024-12-29])</f>
        <v>18.90625</v>
      </c>
      <c r="CN70">
        <f>SUBTOTAL(101,Table46[2024-12-30])</f>
        <v>18.90625</v>
      </c>
      <c r="CO70">
        <f>SUBTOTAL(101,Table46[2024-12-31])</f>
        <v>18.90625</v>
      </c>
      <c r="CP70">
        <f>SUBTOTAL(101,Table46[2025-01-01])</f>
        <v>18.90625</v>
      </c>
      <c r="CQ70">
        <f>SUBTOTAL(101,Table46[2025-01-02])</f>
        <v>18.90625</v>
      </c>
      <c r="CR70">
        <f>SUBTOTAL(101,Table46[2025-01-03])</f>
        <v>18.90625</v>
      </c>
      <c r="CS70">
        <f>SUBTOTAL(101,Table46[2025-01-04])</f>
        <v>18.90625</v>
      </c>
      <c r="CT70">
        <f>SUBTOTAL(101,Table46[2025-01-05])</f>
        <v>18.90625</v>
      </c>
      <c r="CU70">
        <f>SUBTOTAL(101,Table46[2025-01-06])</f>
        <v>18.90625</v>
      </c>
      <c r="CV70">
        <f>SUBTOTAL(101,Table46[2025-01-07])</f>
        <v>18.90625</v>
      </c>
      <c r="CW70">
        <f>SUBTOTAL(101,Table46[2025-01-08])</f>
        <v>18.90625</v>
      </c>
      <c r="CX70">
        <f>SUBTOTAL(101,Table46[2025-01-09])</f>
        <v>18.90625</v>
      </c>
      <c r="CY70">
        <f>SUBTOTAL(101,Table46[2025-01-10])</f>
        <v>18.90625</v>
      </c>
      <c r="CZ70">
        <f>SUBTOTAL(101,Table46[2025-01-11])</f>
        <v>18.90625</v>
      </c>
      <c r="DA70">
        <f>SUBTOTAL(101,Table46[2025-01-12])</f>
        <v>18.90625</v>
      </c>
      <c r="DB70">
        <f>SUBTOTAL(101,Table46[2025-01-13])</f>
        <v>18.90625</v>
      </c>
      <c r="DC70">
        <f>SUBTOTAL(101,Table46[2025-01-14])</f>
        <v>18.90625</v>
      </c>
      <c r="DD70">
        <f>SUBTOTAL(101,Table46[2025-01-15])</f>
        <v>18.90625</v>
      </c>
      <c r="DE70">
        <f>SUBTOTAL(101,Table46[2025-01-16])</f>
        <v>18.90625</v>
      </c>
      <c r="DF70">
        <f>SUBTOTAL(101,Table46[2025-01-17])</f>
        <v>18.90625</v>
      </c>
      <c r="DG70">
        <f>SUBTOTAL(101,Table46[2025-01-18])</f>
        <v>18.90625</v>
      </c>
      <c r="DH70">
        <f>SUBTOTAL(101,Table46[2025-01-19])</f>
        <v>18.90625</v>
      </c>
      <c r="DI70">
        <f>SUBTOTAL(101,Table46[2025-01-20])</f>
        <v>18.90625</v>
      </c>
      <c r="DJ70">
        <f>SUBTOTAL(101,Table46[2025-01-21])</f>
        <v>18.90625</v>
      </c>
      <c r="DK70">
        <f>SUBTOTAL(101,Table46[2025-01-22])</f>
        <v>18.90625</v>
      </c>
      <c r="DL70">
        <f>SUBTOTAL(101,Table46[2025-01-23])</f>
        <v>18.90625</v>
      </c>
      <c r="DM70">
        <f>SUBTOTAL(101,Table46[2025-01-24])</f>
        <v>18.90625</v>
      </c>
      <c r="DN70">
        <f>SUBTOTAL(101,Table46[2025-01-25])</f>
        <v>18.90625</v>
      </c>
      <c r="DO70">
        <f>SUBTOTAL(101,Table46[2025-01-26])</f>
        <v>18.90625</v>
      </c>
      <c r="DP70">
        <f>SUBTOTAL(101,Table46[2025-01-27])</f>
        <v>18.90625</v>
      </c>
      <c r="DQ70">
        <f>SUBTOTAL(101,Table46[2025-01-28])</f>
        <v>18.90625</v>
      </c>
      <c r="DR70">
        <f>SUBTOTAL(101,Table46[2025-01-29])</f>
        <v>18.90625</v>
      </c>
      <c r="DS70">
        <f>SUBTOTAL(101,Table46[2025-01-30])</f>
        <v>18.90625</v>
      </c>
      <c r="DT70">
        <f>SUBTOTAL(101,Table46[2025-01-31])</f>
        <v>18.90625</v>
      </c>
      <c r="DU70">
        <f>SUBTOTAL(101,Table46[2025-02-01])</f>
        <v>18.90625</v>
      </c>
      <c r="DV70">
        <f>SUBTOTAL(101,Table46[2025-02-02])</f>
        <v>18.90625</v>
      </c>
      <c r="DW70">
        <f>SUBTOTAL(101,Table46[2025-02-03])</f>
        <v>18.90625</v>
      </c>
      <c r="DX70">
        <f>SUBTOTAL(101,Table46[2025-02-04])</f>
        <v>18.90625</v>
      </c>
      <c r="DY70">
        <f>SUBTOTAL(101,Table46[2025-02-05])</f>
        <v>18.90625</v>
      </c>
      <c r="DZ70">
        <f>SUBTOTAL(101,Table46[2025-02-06])</f>
        <v>18.90625</v>
      </c>
      <c r="EA70">
        <f>SUBTOTAL(101,Table46[2025-02-07])</f>
        <v>18.90625</v>
      </c>
      <c r="EB70">
        <f>SUBTOTAL(101,Table46[2025-02-08])</f>
        <v>18.90625</v>
      </c>
      <c r="EC70">
        <f>SUBTOTAL(101,Table46[2025-02-09])</f>
        <v>18.90625</v>
      </c>
      <c r="ED70">
        <f>SUBTOTAL(101,Table46[2025-02-10])</f>
        <v>18.90625</v>
      </c>
      <c r="EE70">
        <f>SUBTOTAL(101,Table46[2025-02-11])</f>
        <v>18.90625</v>
      </c>
      <c r="EF70">
        <f>SUBTOTAL(101,Table46[2025-02-12])</f>
        <v>18.90625</v>
      </c>
      <c r="EG70">
        <f>SUBTOTAL(101,Table46[2025-02-13])</f>
        <v>18.90625</v>
      </c>
      <c r="EH70">
        <f>SUBTOTAL(101,Table46[2025-02-14])</f>
        <v>18.90625</v>
      </c>
      <c r="EI70">
        <f>SUBTOTAL(101,Table46[2025-02-15])</f>
        <v>18.90625</v>
      </c>
      <c r="EJ70">
        <f>SUBTOTAL(101,Table46[2025-02-16])</f>
        <v>18.90625</v>
      </c>
      <c r="EK70">
        <f>SUBTOTAL(101,Table46[2025-02-17])</f>
        <v>18.90625</v>
      </c>
      <c r="EL70">
        <f>SUBTOTAL(101,Table46[2025-02-18])</f>
        <v>18.90625</v>
      </c>
      <c r="EM70">
        <f>SUBTOTAL(101,Table46[2025-02-19])</f>
        <v>18.90625</v>
      </c>
      <c r="EN70">
        <f>SUBTOTAL(101,Table46[2025-02-20])</f>
        <v>18.90625</v>
      </c>
      <c r="EO70">
        <f>SUBTOTAL(101,Table46[2025-02-21])</f>
        <v>18.90625</v>
      </c>
      <c r="EP70">
        <f>SUBTOTAL(101,Table46[2025-02-22])</f>
        <v>18.90625</v>
      </c>
      <c r="EQ70">
        <f>SUBTOTAL(101,Table46[2025-02-23])</f>
        <v>18.90625</v>
      </c>
      <c r="ER70">
        <f>SUBTOTAL(101,Table46[2025-02-24])</f>
        <v>18.90625</v>
      </c>
      <c r="ES70">
        <f>SUBTOTAL(101,Table46[2025-02-25])</f>
        <v>18.90625</v>
      </c>
      <c r="ET70">
        <f>SUBTOTAL(101,Table46[2025-02-26])</f>
        <v>18.90625</v>
      </c>
      <c r="EU70">
        <f>SUBTOTAL(101,Table46[2025-02-27])</f>
        <v>18.90625</v>
      </c>
      <c r="EV70">
        <f>SUBTOTAL(101,Table46[2025-02-28])</f>
        <v>18.90625</v>
      </c>
      <c r="EW70">
        <f>SUBTOTAL(101,Table46[2025-03-01])</f>
        <v>18.90625</v>
      </c>
      <c r="EX70">
        <f>SUBTOTAL(101,Table46[2025-03-02])</f>
        <v>18.90625</v>
      </c>
      <c r="EY70">
        <f>SUBTOTAL(101,Table46[2025-03-03])</f>
        <v>18.90625</v>
      </c>
      <c r="EZ70">
        <f>SUBTOTAL(101,Table46[2025-03-04])</f>
        <v>18.90625</v>
      </c>
      <c r="FA70">
        <f>SUBTOTAL(101,Table46[2025-03-05])</f>
        <v>18.90625</v>
      </c>
      <c r="FB70">
        <f>SUBTOTAL(101,Table46[2025-03-06])</f>
        <v>18.90625</v>
      </c>
      <c r="FC70">
        <f>SUBTOTAL(101,Table46[2025-03-07])</f>
        <v>18.90625</v>
      </c>
      <c r="FD70">
        <f>SUBTOTAL(101,Table46[2025-03-08])</f>
        <v>18.90625</v>
      </c>
      <c r="FE70">
        <f>SUBTOTAL(101,Table46[2025-03-09])</f>
        <v>18.90625</v>
      </c>
      <c r="FF70">
        <f>SUBTOTAL(101,Table46[2025-03-10])</f>
        <v>18.90625</v>
      </c>
      <c r="FG70">
        <f>SUBTOTAL(101,Table46[2025-03-11])</f>
        <v>18.90625</v>
      </c>
      <c r="FH70">
        <f>SUBTOTAL(101,Table46[2025-03-12])</f>
        <v>18.90625</v>
      </c>
      <c r="FI70">
        <f>SUBTOTAL(101,Table46[2025-03-13])</f>
        <v>18.90625</v>
      </c>
      <c r="FJ70">
        <f>SUBTOTAL(101,Table46[2025-03-14])</f>
        <v>18.90625</v>
      </c>
      <c r="FK70">
        <f>SUBTOTAL(101,Table46[2025-03-15])</f>
        <v>18.90625</v>
      </c>
      <c r="FL70">
        <f>SUBTOTAL(101,Table46[2025-03-16])</f>
        <v>18.90625</v>
      </c>
      <c r="FM70">
        <f>SUBTOTAL(101,Table46[2025-03-17])</f>
        <v>18.90625</v>
      </c>
      <c r="FN70">
        <f>SUBTOTAL(101,Table46[2025-03-18])</f>
        <v>18.90625</v>
      </c>
      <c r="FO70">
        <f>SUBTOTAL(101,Table46[2025-03-19])</f>
        <v>18.90625</v>
      </c>
      <c r="FP70">
        <f>SUBTOTAL(101,Table46[2025-03-20])</f>
        <v>18.90625</v>
      </c>
      <c r="FQ70">
        <f>SUBTOTAL(101,Table46[2025-03-21])</f>
        <v>18.90625</v>
      </c>
      <c r="FR70">
        <f>SUBTOTAL(101,Table46[2025-03-22])</f>
        <v>18.90625</v>
      </c>
      <c r="FS70">
        <f>SUBTOTAL(101,Table46[2025-03-23])</f>
        <v>18.90625</v>
      </c>
      <c r="FT70">
        <f>SUBTOTAL(101,Table46[2025-03-24])</f>
        <v>18.90625</v>
      </c>
      <c r="FU70">
        <f>SUBTOTAL(101,Table46[2025-03-25])</f>
        <v>18.90625</v>
      </c>
      <c r="FV70">
        <f>SUBTOTAL(101,Table46[2025-03-26])</f>
        <v>18.90625</v>
      </c>
      <c r="FW70">
        <f>SUBTOTAL(101,Table46[2025-03-27])</f>
        <v>18.90625</v>
      </c>
      <c r="FX70">
        <f>SUBTOTAL(101,Table46[2025-03-28])</f>
        <v>18.90625</v>
      </c>
      <c r="FY70">
        <f>SUBTOTAL(101,Table46[2025-03-29])</f>
        <v>18.90625</v>
      </c>
      <c r="FZ70">
        <f>SUBTOTAL(101,Table46[2025-03-30])</f>
        <v>18.90625</v>
      </c>
      <c r="GA70">
        <f>SUBTOTAL(101,Table46[2025-03-31])</f>
        <v>18.90625</v>
      </c>
      <c r="GB70">
        <f>SUBTOTAL(101,Table46[2025-04-01])</f>
        <v>18.90625</v>
      </c>
      <c r="GC70">
        <f>SUBTOTAL(101,Table46[2025-04-02])</f>
        <v>18.90625</v>
      </c>
      <c r="GD70">
        <f>SUBTOTAL(101,Table46[2025-04-03])</f>
        <v>18.90625</v>
      </c>
      <c r="GE70">
        <f>SUBTOTAL(101,Table46[2025-04-04])</f>
        <v>18.90625</v>
      </c>
      <c r="GF70">
        <f>SUBTOTAL(101,Table46[2025-04-05])</f>
        <v>18.90625</v>
      </c>
      <c r="GG70">
        <f>SUBTOTAL(101,Table46[2025-04-06])</f>
        <v>18.90625</v>
      </c>
      <c r="GH70">
        <f>SUBTOTAL(101,Table46[2025-04-07])</f>
        <v>18.90625</v>
      </c>
      <c r="GI70">
        <f>SUBTOTAL(101,Table46[2025-04-08])</f>
        <v>18.90625</v>
      </c>
      <c r="GJ70">
        <f>SUBTOTAL(101,Table46[2025-04-09])</f>
        <v>18.90625</v>
      </c>
      <c r="GK70">
        <f>SUBTOTAL(101,Table46[2025-04-10])</f>
        <v>18.90625</v>
      </c>
      <c r="GL70">
        <f>SUBTOTAL(101,Table46[2025-04-11])</f>
        <v>18.90625</v>
      </c>
      <c r="GM70">
        <f>SUBTOTAL(101,Table46[2025-04-12])</f>
        <v>18.90625</v>
      </c>
      <c r="GN70">
        <f>SUBTOTAL(101,Table46[2025-04-13])</f>
        <v>18.90625</v>
      </c>
      <c r="GO70">
        <f>SUBTOTAL(101,Table46[2025-04-14])</f>
        <v>18.90625</v>
      </c>
      <c r="GP70">
        <f>SUBTOTAL(101,Table46[2025-04-15])</f>
        <v>18.90625</v>
      </c>
      <c r="GQ70">
        <f>SUBTOTAL(101,Table46[2025-04-16])</f>
        <v>18.90625</v>
      </c>
      <c r="GR70">
        <f>SUBTOTAL(101,Table46[2025-04-17])</f>
        <v>18.90625</v>
      </c>
      <c r="GS70">
        <f>SUBTOTAL(101,Table46[2025-04-18])</f>
        <v>18.90625</v>
      </c>
      <c r="GT70">
        <f>SUBTOTAL(101,Table46[2025-04-19])</f>
        <v>18.90625</v>
      </c>
      <c r="GU70">
        <f>SUBTOTAL(101,Table46[2025-04-20])</f>
        <v>18.90625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AY57" sqref="AY57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7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66">
        <f>BO3+BO4</f>
        <v>82</v>
      </c>
    </row>
    <row r="4" spans="1:68" ht="9.9499999999999993" customHeight="1" x14ac:dyDescent="0.25">
      <c r="A4" s="168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66"/>
    </row>
    <row r="5" spans="1:68" ht="9.9499999999999993" customHeight="1" x14ac:dyDescent="0.25">
      <c r="A5" s="167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66">
        <f t="shared" ref="BP5" si="1">BO5+BO6</f>
        <v>82</v>
      </c>
    </row>
    <row r="6" spans="1:68" ht="9.9499999999999993" customHeight="1" x14ac:dyDescent="0.25">
      <c r="A6" s="168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66"/>
    </row>
    <row r="7" spans="1:68" ht="9.9499999999999993" customHeight="1" x14ac:dyDescent="0.25">
      <c r="A7" s="167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66">
        <f t="shared" ref="BP7" si="2">BO7+BO8</f>
        <v>82</v>
      </c>
    </row>
    <row r="8" spans="1:68" ht="9.9499999999999993" customHeight="1" x14ac:dyDescent="0.25">
      <c r="A8" s="168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66"/>
    </row>
    <row r="9" spans="1:68" ht="9.9499999999999993" customHeight="1" x14ac:dyDescent="0.25">
      <c r="A9" s="167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66">
        <f t="shared" ref="BP9" si="3">BO9+BO10</f>
        <v>82</v>
      </c>
    </row>
    <row r="10" spans="1:68" ht="9.9499999999999993" customHeight="1" x14ac:dyDescent="0.25">
      <c r="A10" s="168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66"/>
    </row>
    <row r="11" spans="1:68" ht="9.9499999999999993" customHeight="1" x14ac:dyDescent="0.25">
      <c r="A11" s="167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66">
        <f t="shared" ref="BP11" si="4">BO11+BO12</f>
        <v>82</v>
      </c>
    </row>
    <row r="12" spans="1:68" ht="9.9499999999999993" customHeight="1" x14ac:dyDescent="0.25">
      <c r="A12" s="168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66"/>
    </row>
    <row r="13" spans="1:68" ht="9.9499999999999993" customHeight="1" x14ac:dyDescent="0.25">
      <c r="A13" s="167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66">
        <f t="shared" ref="BP13" si="5">BO13+BO14</f>
        <v>82</v>
      </c>
    </row>
    <row r="14" spans="1:68" ht="9.9499999999999993" customHeight="1" x14ac:dyDescent="0.25">
      <c r="A14" s="168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66"/>
    </row>
    <row r="15" spans="1:68" ht="9.9499999999999993" customHeight="1" x14ac:dyDescent="0.25">
      <c r="A15" s="167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66">
        <f t="shared" ref="BP15" si="6">BO15+BO16</f>
        <v>82</v>
      </c>
    </row>
    <row r="16" spans="1:68" ht="9.9499999999999993" customHeight="1" x14ac:dyDescent="0.25">
      <c r="A16" s="168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66"/>
    </row>
    <row r="17" spans="1:68" ht="9.9499999999999993" customHeight="1" x14ac:dyDescent="0.25">
      <c r="A17" s="167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66">
        <f t="shared" ref="BP17" si="7">BO17+BO18</f>
        <v>82</v>
      </c>
    </row>
    <row r="18" spans="1:68" ht="9.9499999999999993" customHeight="1" x14ac:dyDescent="0.25">
      <c r="A18" s="168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66"/>
    </row>
    <row r="19" spans="1:68" ht="9.9499999999999993" customHeight="1" x14ac:dyDescent="0.25">
      <c r="A19" s="167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66">
        <f t="shared" ref="BP19" si="8">BO19+BO20</f>
        <v>82</v>
      </c>
    </row>
    <row r="20" spans="1:68" ht="9.9499999999999993" customHeight="1" x14ac:dyDescent="0.25">
      <c r="A20" s="168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66"/>
    </row>
    <row r="21" spans="1:68" ht="9.9499999999999993" customHeight="1" x14ac:dyDescent="0.25">
      <c r="A21" s="167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66">
        <f t="shared" ref="BP21" si="9">BO21+BO22</f>
        <v>82</v>
      </c>
    </row>
    <row r="22" spans="1:68" ht="9.9499999999999993" customHeight="1" x14ac:dyDescent="0.25">
      <c r="A22" s="168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66"/>
    </row>
    <row r="23" spans="1:68" ht="9.9499999999999993" customHeight="1" x14ac:dyDescent="0.25">
      <c r="A23" s="167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66">
        <f t="shared" ref="BP23" si="10">BO23+BO24</f>
        <v>82</v>
      </c>
    </row>
    <row r="24" spans="1:68" ht="9.9499999999999993" customHeight="1" x14ac:dyDescent="0.25">
      <c r="A24" s="168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66"/>
    </row>
    <row r="25" spans="1:68" ht="9.9499999999999993" customHeight="1" x14ac:dyDescent="0.25">
      <c r="A25" s="167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66">
        <f t="shared" ref="BP25" si="11">BO25+BO26</f>
        <v>82</v>
      </c>
    </row>
    <row r="26" spans="1:68" ht="9.9499999999999993" customHeight="1" x14ac:dyDescent="0.25">
      <c r="A26" s="168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66"/>
    </row>
    <row r="27" spans="1:68" ht="9.9499999999999993" customHeight="1" x14ac:dyDescent="0.25">
      <c r="A27" s="167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66">
        <f t="shared" ref="BP27" si="12">BO27+BO28</f>
        <v>82</v>
      </c>
    </row>
    <row r="28" spans="1:68" ht="9.9499999999999993" customHeight="1" x14ac:dyDescent="0.25">
      <c r="A28" s="168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66"/>
    </row>
    <row r="29" spans="1:68" ht="9.9499999999999993" customHeight="1" x14ac:dyDescent="0.25">
      <c r="A29" s="167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66">
        <f t="shared" ref="BP29" si="13">BO29+BO30</f>
        <v>82</v>
      </c>
    </row>
    <row r="30" spans="1:68" ht="9.9499999999999993" customHeight="1" x14ac:dyDescent="0.25">
      <c r="A30" s="168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66"/>
    </row>
    <row r="31" spans="1:68" ht="9.9499999999999993" customHeight="1" x14ac:dyDescent="0.25">
      <c r="A31" s="167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66">
        <f t="shared" ref="BP31" si="14">BO31+BO32</f>
        <v>82</v>
      </c>
    </row>
    <row r="32" spans="1:68" ht="9.9499999999999993" customHeight="1" x14ac:dyDescent="0.25">
      <c r="A32" s="168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66"/>
    </row>
    <row r="33" spans="1:68" ht="9.9499999999999993" customHeight="1" x14ac:dyDescent="0.25">
      <c r="A33" s="167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66">
        <f t="shared" ref="BP33" si="15">BO33+BO34</f>
        <v>82</v>
      </c>
    </row>
    <row r="34" spans="1:68" ht="9.9499999999999993" customHeight="1" x14ac:dyDescent="0.25">
      <c r="A34" s="168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66"/>
    </row>
    <row r="35" spans="1:68" ht="9.9499999999999993" customHeight="1" x14ac:dyDescent="0.25">
      <c r="A35" s="167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66">
        <f t="shared" ref="BP35" si="16">BO35+BO36</f>
        <v>82</v>
      </c>
    </row>
    <row r="36" spans="1:68" ht="9.9499999999999993" customHeight="1" x14ac:dyDescent="0.25">
      <c r="A36" s="168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66"/>
    </row>
    <row r="37" spans="1:68" ht="9.9499999999999993" customHeight="1" x14ac:dyDescent="0.25">
      <c r="A37" s="167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66">
        <f t="shared" ref="BP37" si="17">BO37+BO38</f>
        <v>82</v>
      </c>
    </row>
    <row r="38" spans="1:68" ht="9.9499999999999993" customHeight="1" x14ac:dyDescent="0.25">
      <c r="A38" s="168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66"/>
    </row>
    <row r="39" spans="1:68" ht="9.9499999999999993" customHeight="1" x14ac:dyDescent="0.25">
      <c r="A39" s="167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66">
        <f t="shared" ref="BP39" si="18">BO39+BO40</f>
        <v>82</v>
      </c>
    </row>
    <row r="40" spans="1:68" ht="9.9499999999999993" customHeight="1" x14ac:dyDescent="0.25">
      <c r="A40" s="168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66"/>
    </row>
    <row r="41" spans="1:68" ht="9.9499999999999993" customHeight="1" x14ac:dyDescent="0.25">
      <c r="A41" s="167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66">
        <f t="shared" ref="BP41" si="19">BO41+BO42</f>
        <v>82</v>
      </c>
    </row>
    <row r="42" spans="1:68" ht="9.9499999999999993" customHeight="1" x14ac:dyDescent="0.25">
      <c r="A42" s="168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66"/>
    </row>
    <row r="43" spans="1:68" ht="9.9499999999999993" customHeight="1" x14ac:dyDescent="0.25">
      <c r="A43" s="167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66">
        <f t="shared" ref="BP43" si="20">BO43+BO44</f>
        <v>82</v>
      </c>
    </row>
    <row r="44" spans="1:68" ht="9.9499999999999993" customHeight="1" x14ac:dyDescent="0.25">
      <c r="A44" s="168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66"/>
    </row>
    <row r="45" spans="1:68" ht="9.9499999999999993" customHeight="1" x14ac:dyDescent="0.25">
      <c r="A45" s="167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66">
        <f t="shared" ref="BP45" si="21">BO45+BO46</f>
        <v>82</v>
      </c>
    </row>
    <row r="46" spans="1:68" ht="9.9499999999999993" customHeight="1" x14ac:dyDescent="0.25">
      <c r="A46" s="168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66"/>
    </row>
    <row r="47" spans="1:68" ht="9.9499999999999993" customHeight="1" x14ac:dyDescent="0.25">
      <c r="A47" s="167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66">
        <f t="shared" ref="BP47" si="22">BO47+BO48</f>
        <v>82</v>
      </c>
    </row>
    <row r="48" spans="1:68" ht="9.9499999999999993" customHeight="1" x14ac:dyDescent="0.25">
      <c r="A48" s="168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66"/>
    </row>
    <row r="49" spans="1:68" ht="9.9499999999999993" customHeight="1" x14ac:dyDescent="0.25">
      <c r="A49" s="167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66">
        <f t="shared" ref="BP49" si="23">BO49+BO50</f>
        <v>82</v>
      </c>
    </row>
    <row r="50" spans="1:68" ht="9.9499999999999993" customHeight="1" x14ac:dyDescent="0.25">
      <c r="A50" s="168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66"/>
    </row>
    <row r="51" spans="1:68" ht="9.9499999999999993" customHeight="1" x14ac:dyDescent="0.25">
      <c r="A51" s="167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66">
        <f t="shared" ref="BP51" si="24">BO51+BO52</f>
        <v>82</v>
      </c>
    </row>
    <row r="52" spans="1:68" ht="9.9499999999999993" customHeight="1" x14ac:dyDescent="0.25">
      <c r="A52" s="168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66"/>
    </row>
    <row r="53" spans="1:68" ht="9.9499999999999993" customHeight="1" x14ac:dyDescent="0.25">
      <c r="A53" s="167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66">
        <f t="shared" ref="BP53" si="25">BO53+BO54</f>
        <v>82</v>
      </c>
    </row>
    <row r="54" spans="1:68" ht="9.9499999999999993" customHeight="1" x14ac:dyDescent="0.25">
      <c r="A54" s="168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66"/>
    </row>
    <row r="55" spans="1:68" ht="9.9499999999999993" customHeight="1" x14ac:dyDescent="0.25">
      <c r="A55" s="167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66">
        <f t="shared" ref="BP55" si="26">BO55+BO56</f>
        <v>82</v>
      </c>
    </row>
    <row r="56" spans="1:68" ht="9.9499999999999993" customHeight="1" x14ac:dyDescent="0.25">
      <c r="A56" s="168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66"/>
    </row>
    <row r="57" spans="1:68" ht="9.9499999999999993" customHeight="1" x14ac:dyDescent="0.25">
      <c r="A57" s="167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66">
        <f t="shared" ref="BP57" si="27">BO57+BO58</f>
        <v>82</v>
      </c>
    </row>
    <row r="58" spans="1:68" ht="9.9499999999999993" customHeight="1" x14ac:dyDescent="0.25">
      <c r="A58" s="168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66"/>
    </row>
    <row r="59" spans="1:68" ht="9.9499999999999993" customHeight="1" x14ac:dyDescent="0.25">
      <c r="A59" s="167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66">
        <f t="shared" ref="BP59" si="28">BO59+BO60</f>
        <v>82</v>
      </c>
    </row>
    <row r="60" spans="1:68" ht="9.9499999999999993" customHeight="1" x14ac:dyDescent="0.25">
      <c r="A60" s="168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66"/>
    </row>
    <row r="61" spans="1:68" ht="9.9499999999999993" customHeight="1" x14ac:dyDescent="0.25">
      <c r="A61" s="167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66">
        <f t="shared" ref="BP61" si="29">BO61+BO62</f>
        <v>82</v>
      </c>
    </row>
    <row r="62" spans="1:68" ht="9.9499999999999993" customHeight="1" x14ac:dyDescent="0.25">
      <c r="A62" s="168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66"/>
    </row>
    <row r="63" spans="1:68" ht="9.9499999999999993" customHeight="1" x14ac:dyDescent="0.25">
      <c r="A63" s="167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66">
        <f t="shared" ref="BP63" si="30">BO63+BO64</f>
        <v>82</v>
      </c>
    </row>
    <row r="64" spans="1:68" ht="9.9499999999999993" customHeight="1" x14ac:dyDescent="0.25">
      <c r="A64" s="168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66"/>
    </row>
    <row r="65" spans="1:68" ht="9.9499999999999993" customHeight="1" x14ac:dyDescent="0.25">
      <c r="A65" s="167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66">
        <f t="shared" ref="BP65" si="31">BO65+BO66</f>
        <v>82</v>
      </c>
    </row>
    <row r="66" spans="1:68" ht="9.9499999999999993" customHeight="1" x14ac:dyDescent="0.25">
      <c r="A66" s="168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66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AV53" sqref="AV53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1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0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0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10</v>
      </c>
      <c r="BP3" s="166">
        <f>BO3+BO4</f>
        <v>16</v>
      </c>
      <c r="BQ3" s="167">
        <f>82-BP3</f>
        <v>66</v>
      </c>
    </row>
    <row r="4" spans="1:69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0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0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0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0</v>
      </c>
      <c r="BF4" s="39"/>
      <c r="BG4" s="38">
        <f>COUNTIFS(DataRegularSeason20242025!$D$2:$D$1315,TotalTeamGames20242025!BG$1,DataRegularSeason20242025!$E$2:$E$1315,TotalTeamGames20242025!$A3,DataRegularSeason20242025!$N$2:$N$1315,1)</f>
        <v>0</v>
      </c>
      <c r="BH4" s="39"/>
      <c r="BI4" s="38">
        <f>COUNTIFS(DataRegularSeason20242025!$D$2:$D$1315,TotalTeamGames20242025!BI$1,DataRegularSeason20242025!$E$2:$E$1315,TotalTeamGames20242025!$A3,DataRegularSeason20242025!$N$2:$N$1315,1)</f>
        <v>0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6</v>
      </c>
      <c r="BP4" s="166"/>
      <c r="BQ4" s="167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0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0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0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1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1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0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7</v>
      </c>
      <c r="BP5" s="166">
        <f t="shared" ref="BP5" si="1">BO5+BO6</f>
        <v>18</v>
      </c>
      <c r="BQ5" s="167">
        <f t="shared" ref="BQ5" si="2">82-BP5</f>
        <v>64</v>
      </c>
    </row>
    <row r="6" spans="1:69" ht="9.9499999999999993" customHeight="1" x14ac:dyDescent="0.25">
      <c r="A6" s="168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1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0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0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11</v>
      </c>
      <c r="BP6" s="166"/>
      <c r="BQ6" s="167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0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0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0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0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0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5</v>
      </c>
      <c r="BP7" s="166">
        <f t="shared" ref="BP7" si="3">BO7+BO8</f>
        <v>15</v>
      </c>
      <c r="BQ7" s="167">
        <f t="shared" ref="BQ7" si="4">82-BP7</f>
        <v>67</v>
      </c>
    </row>
    <row r="8" spans="1:69" ht="9.9499999999999993" customHeight="1" x14ac:dyDescent="0.25">
      <c r="A8" s="168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0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0</v>
      </c>
      <c r="N8" s="39"/>
      <c r="O8" s="38">
        <f>COUNTIFS(DataRegularSeason20242025!$D$2:$D$1315,TotalTeamGames20242025!O$1,DataRegularSeason20242025!$E$2:$E$1315,TotalTeamGames20242025!$A7,DataRegularSeason20242025!$N$2:$N$1315,1)</f>
        <v>0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0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0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10</v>
      </c>
      <c r="BP8" s="166"/>
      <c r="BQ8" s="167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1</v>
      </c>
      <c r="G9" s="35"/>
      <c r="H9" s="28">
        <f>COUNTIFS(DataRegularSeason20242025!$E$2:$E$1315,TotalTeamGames20242025!G$1,DataRegularSeason20242025!$D$2:$D$1315,TotalTeamGames20242025!$A9,DataRegularSeason20242025!$N$2:$N$1315,1)</f>
        <v>0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0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0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9</v>
      </c>
      <c r="BP9" s="166">
        <f t="shared" ref="BP9" si="5">BO9+BO10</f>
        <v>16</v>
      </c>
      <c r="BQ9" s="167">
        <f t="shared" ref="BQ9" si="6">82-BP9</f>
        <v>66</v>
      </c>
    </row>
    <row r="10" spans="1:69" ht="9.9499999999999993" customHeight="1" x14ac:dyDescent="0.25">
      <c r="A10" s="168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0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0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0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0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0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7</v>
      </c>
      <c r="BP10" s="166"/>
      <c r="BQ10" s="167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0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0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0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0</v>
      </c>
      <c r="BO11" s="30">
        <f t="shared" si="0"/>
        <v>10</v>
      </c>
      <c r="BP11" s="166">
        <f t="shared" ref="BP11" si="7">BO11+BO12</f>
        <v>16</v>
      </c>
      <c r="BQ11" s="167">
        <f t="shared" ref="BQ11" si="8">82-BP11</f>
        <v>66</v>
      </c>
    </row>
    <row r="12" spans="1:69" ht="9.9499999999999993" customHeight="1" x14ac:dyDescent="0.25">
      <c r="A12" s="168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0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0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0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0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1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6</v>
      </c>
      <c r="BP12" s="166"/>
      <c r="BQ12" s="167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0</v>
      </c>
      <c r="I13" s="35"/>
      <c r="J13" s="28">
        <f>COUNTIFS(DataRegularSeason20242025!$E$2:$E$1315,TotalTeamGames20242025!I$1,DataRegularSeason20242025!$D$2:$D$1315,TotalTeamGames20242025!$A13,DataRegularSeason20242025!$N$2:$N$1315,1)</f>
        <v>0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0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0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0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1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11</v>
      </c>
      <c r="BP13" s="166">
        <f t="shared" ref="BP13" si="9">BO13+BO14</f>
        <v>18</v>
      </c>
      <c r="BQ13" s="167">
        <f t="shared" ref="BQ13" si="10">82-BP13</f>
        <v>64</v>
      </c>
    </row>
    <row r="14" spans="1:69" ht="9.9499999999999993" customHeight="1" x14ac:dyDescent="0.25">
      <c r="A14" s="168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0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0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1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7</v>
      </c>
      <c r="BP14" s="166"/>
      <c r="BQ14" s="167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0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10</v>
      </c>
      <c r="BP15" s="166">
        <f t="shared" ref="BP15" si="11">BO15+BO16</f>
        <v>16</v>
      </c>
      <c r="BQ15" s="167">
        <f t="shared" ref="BQ15" si="12">82-BP15</f>
        <v>66</v>
      </c>
    </row>
    <row r="16" spans="1:69" ht="9.9499999999999993" customHeight="1" x14ac:dyDescent="0.25">
      <c r="A16" s="168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1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0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0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0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0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0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0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0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6</v>
      </c>
      <c r="BP16" s="166"/>
      <c r="BQ16" s="167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0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0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0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10</v>
      </c>
      <c r="BP17" s="166">
        <f t="shared" ref="BP17" si="13">BO17+BO18</f>
        <v>17</v>
      </c>
      <c r="BQ17" s="167">
        <f t="shared" ref="BQ17" si="14">82-BP17</f>
        <v>65</v>
      </c>
    </row>
    <row r="18" spans="1:69" ht="9.9499999999999993" customHeight="1" x14ac:dyDescent="0.25">
      <c r="A18" s="168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0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0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0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0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0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7</v>
      </c>
      <c r="BP18" s="166"/>
      <c r="BQ18" s="167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0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0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0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0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0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8</v>
      </c>
      <c r="BP19" s="166">
        <f t="shared" ref="BP19" si="15">BO19+BO20</f>
        <v>17</v>
      </c>
      <c r="BQ19" s="167">
        <f t="shared" ref="BQ19" si="16">82-BP19</f>
        <v>65</v>
      </c>
    </row>
    <row r="20" spans="1:69" ht="9.9499999999999993" customHeight="1" x14ac:dyDescent="0.25">
      <c r="A20" s="168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0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0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0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0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9</v>
      </c>
      <c r="BP20" s="166"/>
      <c r="BQ20" s="167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0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0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0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8</v>
      </c>
      <c r="BP21" s="166">
        <f t="shared" ref="BP21" si="17">BO21+BO22</f>
        <v>16</v>
      </c>
      <c r="BQ21" s="167">
        <f t="shared" ref="BQ21" si="18">82-BP21</f>
        <v>66</v>
      </c>
    </row>
    <row r="22" spans="1:69" ht="9.9499999999999993" customHeight="1" x14ac:dyDescent="0.25">
      <c r="A22" s="168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0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0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0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0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0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0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1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8</v>
      </c>
      <c r="BP22" s="166"/>
      <c r="BQ22" s="167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0</v>
      </c>
      <c r="I23" s="35"/>
      <c r="J23" s="28">
        <f>COUNTIFS(DataRegularSeason20242025!$E$2:$E$1315,TotalTeamGames20242025!I$1,DataRegularSeason20242025!$D$2:$D$1315,TotalTeamGames20242025!$A23,DataRegularSeason20242025!$N$2:$N$1315,1)</f>
        <v>0</v>
      </c>
      <c r="K23" s="35"/>
      <c r="L23" s="28">
        <f>COUNTIFS(DataRegularSeason20242025!$E$2:$E$1315,TotalTeamGames20242025!K$1,DataRegularSeason20242025!$D$2:$D$1315,TotalTeamGames20242025!$A23,DataRegularSeason20242025!$N$2:$N$1315,1)</f>
        <v>0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0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1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0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0</v>
      </c>
      <c r="BO23" s="30">
        <f t="shared" si="0"/>
        <v>10</v>
      </c>
      <c r="BP23" s="166">
        <f t="shared" ref="BP23" si="19">BO23+BO24</f>
        <v>18</v>
      </c>
      <c r="BQ23" s="167">
        <f t="shared" ref="BQ23" si="20">82-BP23</f>
        <v>64</v>
      </c>
    </row>
    <row r="24" spans="1:69" ht="9.9499999999999993" customHeight="1" x14ac:dyDescent="0.25">
      <c r="A24" s="168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0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8</v>
      </c>
      <c r="BP24" s="166"/>
      <c r="BQ24" s="167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0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9</v>
      </c>
      <c r="BP25" s="166">
        <f t="shared" ref="BP25" si="21">BO25+BO26</f>
        <v>16</v>
      </c>
      <c r="BQ25" s="167">
        <f t="shared" ref="BQ25" si="22">82-BP25</f>
        <v>66</v>
      </c>
    </row>
    <row r="26" spans="1:69" ht="9.9499999999999993" customHeight="1" x14ac:dyDescent="0.25">
      <c r="A26" s="168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0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0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0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1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0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0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0</v>
      </c>
      <c r="BN26" s="39"/>
      <c r="BO26" s="34">
        <f t="shared" si="0"/>
        <v>7</v>
      </c>
      <c r="BP26" s="166"/>
      <c r="BQ26" s="167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0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0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1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0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0</v>
      </c>
      <c r="BO27" s="30">
        <f t="shared" si="0"/>
        <v>10</v>
      </c>
      <c r="BP27" s="166">
        <f t="shared" ref="BP27" si="23">BO27+BO28</f>
        <v>17</v>
      </c>
      <c r="BQ27" s="167">
        <f t="shared" ref="BQ27" si="24">82-BP27</f>
        <v>65</v>
      </c>
    </row>
    <row r="28" spans="1:69" ht="9.9499999999999993" customHeight="1" x14ac:dyDescent="0.25">
      <c r="A28" s="168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0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0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0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7</v>
      </c>
      <c r="BP28" s="166"/>
      <c r="BQ28" s="167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0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0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0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8</v>
      </c>
      <c r="BP29" s="166">
        <f t="shared" ref="BP29" si="25">BO29+BO30</f>
        <v>18</v>
      </c>
      <c r="BQ29" s="167">
        <f t="shared" ref="BQ29" si="26">82-BP29</f>
        <v>64</v>
      </c>
    </row>
    <row r="30" spans="1:69" ht="9.9499999999999993" customHeight="1" x14ac:dyDescent="0.25">
      <c r="A30" s="168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0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0</v>
      </c>
      <c r="H30" s="39"/>
      <c r="I30" s="38">
        <f>COUNTIFS(DataRegularSeason20242025!$D$2:$D$1315,TotalTeamGames20242025!I$1,DataRegularSeason20242025!$E$2:$E$1315,TotalTeamGames20242025!$A29,DataRegularSeason20242025!$N$2:$N$1315,1)</f>
        <v>0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0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0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10</v>
      </c>
      <c r="BP30" s="166"/>
      <c r="BQ30" s="167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0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0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0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0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8</v>
      </c>
      <c r="BP31" s="166">
        <f t="shared" ref="BP31" si="27">BO31+BO32</f>
        <v>16</v>
      </c>
      <c r="BQ31" s="167">
        <f t="shared" ref="BQ31" si="28">82-BP31</f>
        <v>66</v>
      </c>
    </row>
    <row r="32" spans="1:69" ht="9.9499999999999993" customHeight="1" x14ac:dyDescent="0.25">
      <c r="A32" s="168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0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0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0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0</v>
      </c>
      <c r="BN32" s="39"/>
      <c r="BO32" s="34">
        <f t="shared" si="0"/>
        <v>8</v>
      </c>
      <c r="BP32" s="166"/>
      <c r="BQ32" s="167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0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0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0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0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1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0</v>
      </c>
      <c r="BO33" s="30">
        <f t="shared" si="0"/>
        <v>8</v>
      </c>
      <c r="BP33" s="166">
        <f t="shared" ref="BP33" si="29">BO33+BO34</f>
        <v>16</v>
      </c>
      <c r="BQ33" s="167">
        <f t="shared" ref="BQ33" si="30">82-BP33</f>
        <v>66</v>
      </c>
    </row>
    <row r="34" spans="1:69" ht="9.9499999999999993" customHeight="1" x14ac:dyDescent="0.25">
      <c r="A34" s="168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0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0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0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8</v>
      </c>
      <c r="BP34" s="166"/>
      <c r="BQ34" s="167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0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0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0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7</v>
      </c>
      <c r="BP35" s="166">
        <f t="shared" ref="BP35" si="31">BO35+BO36</f>
        <v>18</v>
      </c>
      <c r="BQ35" s="167">
        <f t="shared" ref="BQ35" si="32">82-BP35</f>
        <v>64</v>
      </c>
    </row>
    <row r="36" spans="1:69" ht="9.9499999999999993" customHeight="1" x14ac:dyDescent="0.25">
      <c r="A36" s="168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0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0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0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0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11</v>
      </c>
      <c r="BP36" s="166"/>
      <c r="BQ36" s="167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0</v>
      </c>
      <c r="S37" s="35"/>
      <c r="T37" s="28">
        <f>COUNTIFS(DataRegularSeason20242025!$E$2:$E$1315,TotalTeamGames20242025!S$1,DataRegularSeason20242025!$D$2:$D$1315,TotalTeamGames20242025!$A37,DataRegularSeason20242025!$N$2:$N$1315,1)</f>
        <v>0</v>
      </c>
      <c r="U37" s="35"/>
      <c r="V37" s="28">
        <f>COUNTIFS(DataRegularSeason20242025!$E$2:$E$1315,TotalTeamGames20242025!U$1,DataRegularSeason20242025!$D$2:$D$1315,TotalTeamGames20242025!$A37,DataRegularSeason20242025!$N$2:$N$1315,1)</f>
        <v>0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0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0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8</v>
      </c>
      <c r="BP37" s="166">
        <f t="shared" ref="BP37" si="33">BO37+BO38</f>
        <v>16</v>
      </c>
      <c r="BQ37" s="167">
        <f t="shared" ref="BQ37" si="34">82-BP37</f>
        <v>66</v>
      </c>
    </row>
    <row r="38" spans="1:69" ht="9.9499999999999993" customHeight="1" x14ac:dyDescent="0.25">
      <c r="A38" s="168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1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0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0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0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1</v>
      </c>
      <c r="BN38" s="39"/>
      <c r="BO38" s="34">
        <f t="shared" si="0"/>
        <v>8</v>
      </c>
      <c r="BP38" s="166"/>
      <c r="BQ38" s="167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0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0</v>
      </c>
      <c r="K39" s="35"/>
      <c r="L39" s="28">
        <f>COUNTIFS(DataRegularSeason20242025!$E$2:$E$1315,TotalTeamGames20242025!K$1,DataRegularSeason20242025!$D$2:$D$1315,TotalTeamGames20242025!$A39,DataRegularSeason20242025!$N$2:$N$1315,1)</f>
        <v>0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0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0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0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10</v>
      </c>
      <c r="BP39" s="166">
        <f t="shared" ref="BP39" si="35">BO39+BO40</f>
        <v>18</v>
      </c>
      <c r="BQ39" s="167">
        <f t="shared" ref="BQ39" si="36">82-BP39</f>
        <v>64</v>
      </c>
    </row>
    <row r="40" spans="1:69" ht="9.9499999999999993" customHeight="1" x14ac:dyDescent="0.25">
      <c r="A40" s="168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0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0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0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8</v>
      </c>
      <c r="BP40" s="166"/>
      <c r="BQ40" s="167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0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0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0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0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0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0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8</v>
      </c>
      <c r="BP41" s="166">
        <f t="shared" ref="BP41" si="37">BO41+BO42</f>
        <v>17</v>
      </c>
      <c r="BQ41" s="167">
        <f t="shared" ref="BQ41" si="38">82-BP41</f>
        <v>65</v>
      </c>
    </row>
    <row r="42" spans="1:69" ht="9.9499999999999993" customHeight="1" x14ac:dyDescent="0.25">
      <c r="A42" s="168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1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0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9</v>
      </c>
      <c r="BP42" s="166"/>
      <c r="BQ42" s="167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0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1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0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0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0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0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5</v>
      </c>
      <c r="BP43" s="166">
        <f t="shared" ref="BP43" si="39">BO43+BO44</f>
        <v>16</v>
      </c>
      <c r="BQ43" s="167">
        <f t="shared" ref="BQ43" si="40">82-BP43</f>
        <v>66</v>
      </c>
    </row>
    <row r="44" spans="1:69" ht="9.9499999999999993" customHeight="1" x14ac:dyDescent="0.25">
      <c r="A44" s="168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0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0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11</v>
      </c>
      <c r="BP44" s="166"/>
      <c r="BQ44" s="167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0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0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10</v>
      </c>
      <c r="BP45" s="166">
        <f t="shared" ref="BP45" si="41">BO45+BO46</f>
        <v>17</v>
      </c>
      <c r="BQ45" s="167">
        <f t="shared" ref="BQ45" si="42">82-BP45</f>
        <v>65</v>
      </c>
    </row>
    <row r="46" spans="1:69" ht="9.9499999999999993" customHeight="1" x14ac:dyDescent="0.25">
      <c r="A46" s="168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0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0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0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0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0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7</v>
      </c>
      <c r="BP46" s="166"/>
      <c r="BQ46" s="167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0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0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0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0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8</v>
      </c>
      <c r="BP47" s="166">
        <f t="shared" ref="BP47" si="43">BO47+BO48</f>
        <v>16</v>
      </c>
      <c r="BQ47" s="167">
        <f t="shared" ref="BQ47" si="44">82-BP47</f>
        <v>66</v>
      </c>
    </row>
    <row r="48" spans="1:69" ht="9.9499999999999993" customHeight="1" x14ac:dyDescent="0.25">
      <c r="A48" s="168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0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1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1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0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8</v>
      </c>
      <c r="BP48" s="166"/>
      <c r="BQ48" s="167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0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0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1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0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7</v>
      </c>
      <c r="BP49" s="166">
        <f t="shared" ref="BP49" si="45">BO49+BO50</f>
        <v>17</v>
      </c>
      <c r="BQ49" s="167">
        <f t="shared" ref="BQ49" si="46">82-BP49</f>
        <v>65</v>
      </c>
    </row>
    <row r="50" spans="1:69" ht="9.9499999999999993" customHeight="1" x14ac:dyDescent="0.25">
      <c r="A50" s="168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0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1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0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0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0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10</v>
      </c>
      <c r="BP50" s="166"/>
      <c r="BQ50" s="167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0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0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0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0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0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7</v>
      </c>
      <c r="BP51" s="166">
        <f t="shared" ref="BP51" si="47">BO51+BO52</f>
        <v>17</v>
      </c>
      <c r="BQ51" s="167">
        <f t="shared" ref="BQ51" si="48">82-BP51</f>
        <v>65</v>
      </c>
    </row>
    <row r="52" spans="1:69" ht="9.9499999999999993" customHeight="1" x14ac:dyDescent="0.25">
      <c r="A52" s="168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0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0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1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0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10</v>
      </c>
      <c r="BP52" s="166"/>
      <c r="BQ52" s="167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1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0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0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1</v>
      </c>
      <c r="BO53" s="30">
        <f t="shared" si="0"/>
        <v>8</v>
      </c>
      <c r="BP53" s="166">
        <f t="shared" ref="BP53" si="49">BO53+BO54</f>
        <v>16</v>
      </c>
      <c r="BQ53" s="167">
        <f t="shared" ref="BQ53" si="50">82-BP53</f>
        <v>66</v>
      </c>
    </row>
    <row r="54" spans="1:69" ht="9.9499999999999993" customHeight="1" x14ac:dyDescent="0.25">
      <c r="A54" s="168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0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0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1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0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0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8</v>
      </c>
      <c r="BP54" s="166"/>
      <c r="BQ54" s="167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1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0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0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0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0</v>
      </c>
      <c r="BO55" s="30">
        <f t="shared" si="0"/>
        <v>5</v>
      </c>
      <c r="BP55" s="166">
        <f t="shared" ref="BP55" si="51">BO55+BO56</f>
        <v>17</v>
      </c>
      <c r="BQ55" s="167">
        <f t="shared" ref="BQ55" si="52">82-BP55</f>
        <v>65</v>
      </c>
    </row>
    <row r="56" spans="1:69" ht="9.9499999999999993" customHeight="1" x14ac:dyDescent="0.25">
      <c r="A56" s="168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0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0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0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12</v>
      </c>
      <c r="BP56" s="166"/>
      <c r="BQ56" s="167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0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0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0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1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11</v>
      </c>
      <c r="BP57" s="166">
        <f t="shared" ref="BP57" si="53">BO57+BO58</f>
        <v>16</v>
      </c>
      <c r="BQ57" s="167">
        <f t="shared" ref="BQ57" si="54">82-BP57</f>
        <v>66</v>
      </c>
    </row>
    <row r="58" spans="1:69" ht="9.9499999999999993" customHeight="1" x14ac:dyDescent="0.25">
      <c r="A58" s="168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0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0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0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0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0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5</v>
      </c>
      <c r="BP58" s="166"/>
      <c r="BQ58" s="167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0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0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0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0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0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0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9</v>
      </c>
      <c r="BP59" s="166">
        <f t="shared" ref="BP59" si="55">BO59+BO60</f>
        <v>18</v>
      </c>
      <c r="BQ59" s="167">
        <f t="shared" ref="BQ59" si="56">82-BP59</f>
        <v>64</v>
      </c>
    </row>
    <row r="60" spans="1:69" ht="9.9499999999999993" customHeight="1" x14ac:dyDescent="0.25">
      <c r="A60" s="168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1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0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9</v>
      </c>
      <c r="BP60" s="166"/>
      <c r="BQ60" s="167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0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0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0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0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6</v>
      </c>
      <c r="BP61" s="166">
        <f t="shared" ref="BP61" si="57">BO61+BO62</f>
        <v>15</v>
      </c>
      <c r="BQ61" s="167">
        <f t="shared" ref="BQ61" si="58">82-BP61</f>
        <v>67</v>
      </c>
    </row>
    <row r="62" spans="1:69" ht="9.9499999999999993" customHeight="1" x14ac:dyDescent="0.25">
      <c r="A62" s="168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0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0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0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0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0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9</v>
      </c>
      <c r="BP62" s="166"/>
      <c r="BQ62" s="167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0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1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0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0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0</v>
      </c>
      <c r="BO63" s="30">
        <f t="shared" si="0"/>
        <v>8</v>
      </c>
      <c r="BP63" s="166">
        <f t="shared" ref="BP63" si="59">BO63+BO64</f>
        <v>16</v>
      </c>
      <c r="BQ63" s="167">
        <f t="shared" ref="BQ63" si="60">82-BP63</f>
        <v>66</v>
      </c>
    </row>
    <row r="64" spans="1:69" ht="9.9499999999999993" customHeight="1" x14ac:dyDescent="0.25">
      <c r="A64" s="168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0</v>
      </c>
      <c r="J64" s="39"/>
      <c r="K64" s="38">
        <f>COUNTIFS(DataRegularSeason20242025!$D$2:$D$1315,TotalTeamGames20242025!K$1,DataRegularSeason20242025!$E$2:$E$1315,TotalTeamGames20242025!$A63,DataRegularSeason20242025!$N$2:$N$1315,1)</f>
        <v>0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0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8</v>
      </c>
      <c r="BP64" s="166"/>
      <c r="BQ64" s="167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0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0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1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8</v>
      </c>
      <c r="BP65" s="166">
        <f t="shared" ref="BP65" si="61">BO65+BO66</f>
        <v>16</v>
      </c>
      <c r="BQ65" s="167">
        <f t="shared" ref="BQ65" si="62">82-BP65</f>
        <v>66</v>
      </c>
    </row>
    <row r="66" spans="1:69" ht="9.9499999999999993" customHeight="1" x14ac:dyDescent="0.25">
      <c r="A66" s="168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0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0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0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0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1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0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0</v>
      </c>
      <c r="BL66" s="39"/>
      <c r="BM66" s="38"/>
      <c r="BN66" s="39"/>
      <c r="BO66" s="34">
        <f t="shared" si="0"/>
        <v>8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266</v>
      </c>
      <c r="BQ67" s="27">
        <f>SUM(BQ3:BQ66)/2</f>
        <v>1046</v>
      </c>
    </row>
    <row r="68" spans="1:69" x14ac:dyDescent="0.25">
      <c r="BP68" s="43">
        <f>2*BP67/SUM(BP3:BQ66)</f>
        <v>0.2027439024390244</v>
      </c>
      <c r="BQ68" s="43">
        <f>2*BQ67/SUM(BP3:BQ66)</f>
        <v>0.7972560975609756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topLeftCell="A7" workbookViewId="0">
      <selection activeCell="AZ53" sqref="AZ53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0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0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10</v>
      </c>
      <c r="BP3" s="166">
        <f>BO3+BO4</f>
        <v>16</v>
      </c>
      <c r="BQ3" s="167">
        <f>82-BP3</f>
        <v>66</v>
      </c>
      <c r="BR3" s="174">
        <f t="shared" ref="BR3" si="0">BP3/(BP3+BQ3)</f>
        <v>0.1951219512195122</v>
      </c>
    </row>
    <row r="4" spans="1:70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0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6</v>
      </c>
      <c r="BP4" s="166"/>
      <c r="BQ4" s="167"/>
      <c r="BR4" s="174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0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11</v>
      </c>
      <c r="BP5" s="166">
        <f t="shared" ref="BP5" si="2">BO5+BO6</f>
        <v>18</v>
      </c>
      <c r="BQ5" s="167">
        <f t="shared" ref="BQ5" si="3">82-BP5</f>
        <v>64</v>
      </c>
      <c r="BR5" s="174">
        <f t="shared" ref="BR5" si="4">BP5/(BP5+BQ5)</f>
        <v>0.21951219512195122</v>
      </c>
    </row>
    <row r="6" spans="1:70" ht="9.9499999999999993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0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1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7</v>
      </c>
      <c r="BP6" s="166"/>
      <c r="BQ6" s="167"/>
      <c r="BR6" s="174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0</v>
      </c>
      <c r="AK7" s="35"/>
      <c r="AL7" s="28">
        <f>COUNTIFS(DataRegularSeason20242025!$E$2:$E$1315,AK$1,DataRegularSeason20242025!$D$2:$D$1315,$A7,DataRegularSeason20242025!$N$2:$N$1315,1)</f>
        <v>0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0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10</v>
      </c>
      <c r="BP7" s="166">
        <f t="shared" ref="BP7" si="5">BO7+BO8</f>
        <v>18</v>
      </c>
      <c r="BQ7" s="167">
        <f t="shared" ref="BQ7" si="6">82-BP7</f>
        <v>64</v>
      </c>
      <c r="BR7" s="174">
        <f t="shared" ref="BR7" si="7">BP7/(BP7+BQ7)</f>
        <v>0.21951219512195122</v>
      </c>
    </row>
    <row r="8" spans="1:70" ht="9.9499999999999993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8</v>
      </c>
      <c r="BP8" s="166"/>
      <c r="BQ8" s="167"/>
      <c r="BR8" s="174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0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0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0</v>
      </c>
      <c r="BO9" s="30">
        <f t="shared" si="1"/>
        <v>10</v>
      </c>
      <c r="BP9" s="166">
        <f t="shared" ref="BP9" si="8">BO9+BO10</f>
        <v>17</v>
      </c>
      <c r="BQ9" s="167">
        <f t="shared" ref="BQ9" si="9">82-BP9</f>
        <v>65</v>
      </c>
      <c r="BR9" s="174">
        <f t="shared" ref="BR9" si="10">BP9/(BP9+BQ9)</f>
        <v>0.2073170731707317</v>
      </c>
    </row>
    <row r="10" spans="1:70" ht="9.9499999999999993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7</v>
      </c>
      <c r="BP10" s="166"/>
      <c r="BQ10" s="167"/>
      <c r="BR10" s="174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0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8</v>
      </c>
      <c r="BP11" s="166">
        <f t="shared" ref="BP11" si="11">BO11+BO12</f>
        <v>16</v>
      </c>
      <c r="BQ11" s="167">
        <f t="shared" ref="BQ11" si="12">82-BP11</f>
        <v>66</v>
      </c>
      <c r="BR11" s="174">
        <f t="shared" ref="BR11" si="13">BP11/(BP11+BQ11)</f>
        <v>0.1951219512195122</v>
      </c>
    </row>
    <row r="12" spans="1:70" ht="9.9499999999999993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1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0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8</v>
      </c>
      <c r="BP12" s="166"/>
      <c r="BQ12" s="167"/>
      <c r="BR12" s="174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0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1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7</v>
      </c>
      <c r="BP13" s="166">
        <f t="shared" ref="BP13" si="14">BO13+BO14</f>
        <v>17</v>
      </c>
      <c r="BQ13" s="167">
        <f t="shared" ref="BQ13" si="15">82-BP13</f>
        <v>65</v>
      </c>
      <c r="BR13" s="174">
        <f t="shared" ref="BR13" si="16">BP13/(BP13+BQ13)</f>
        <v>0.2073170731707317</v>
      </c>
    </row>
    <row r="14" spans="1:70" ht="9.9499999999999993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0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10</v>
      </c>
      <c r="BP14" s="166"/>
      <c r="BQ14" s="167"/>
      <c r="BR14" s="174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0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0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0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9</v>
      </c>
      <c r="BP15" s="166">
        <f t="shared" ref="BP15" si="17">BO15+BO16</f>
        <v>18</v>
      </c>
      <c r="BQ15" s="167">
        <f t="shared" ref="BQ15" si="18">82-BP15</f>
        <v>64</v>
      </c>
      <c r="BR15" s="174">
        <f t="shared" ref="BR15" si="19">BP15/(BP15+BQ15)</f>
        <v>0.21951219512195122</v>
      </c>
    </row>
    <row r="16" spans="1:70" ht="9.9499999999999993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9</v>
      </c>
      <c r="BP16" s="166"/>
      <c r="BQ16" s="167"/>
      <c r="BR16" s="174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0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0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6</v>
      </c>
      <c r="BP17" s="166">
        <f t="shared" ref="BP17" si="20">BO17+BO18</f>
        <v>15</v>
      </c>
      <c r="BQ17" s="167">
        <f t="shared" ref="BQ17" si="21">82-BP17</f>
        <v>67</v>
      </c>
      <c r="BR17" s="174">
        <f t="shared" ref="BR17" si="22">BP17/(BP17+BQ17)</f>
        <v>0.18292682926829268</v>
      </c>
    </row>
    <row r="18" spans="1:70" ht="9.9499999999999993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0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9</v>
      </c>
      <c r="BP18" s="166"/>
      <c r="BQ18" s="167"/>
      <c r="BR18" s="174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10</v>
      </c>
      <c r="BP19" s="166">
        <f t="shared" ref="BP19" si="23">BO19+BO20</f>
        <v>16</v>
      </c>
      <c r="BQ19" s="167">
        <f t="shared" ref="BQ19" si="24">82-BP19</f>
        <v>66</v>
      </c>
      <c r="BR19" s="174">
        <f t="shared" ref="BR19" si="25">BP19/(BP19+BQ19)</f>
        <v>0.1951219512195122</v>
      </c>
    </row>
    <row r="20" spans="1:70" ht="9.9499999999999993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0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0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0</v>
      </c>
      <c r="BN20" s="39"/>
      <c r="BO20" s="34">
        <f t="shared" si="1"/>
        <v>6</v>
      </c>
      <c r="BP20" s="166"/>
      <c r="BQ20" s="167"/>
      <c r="BR20" s="174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10</v>
      </c>
      <c r="BP21" s="166">
        <f t="shared" ref="BP21" si="26">BO21+BO22</f>
        <v>17</v>
      </c>
      <c r="BQ21" s="167">
        <f t="shared" ref="BQ21" si="27">82-BP21</f>
        <v>65</v>
      </c>
      <c r="BR21" s="174">
        <f t="shared" ref="BR21" si="28">BP21/(BP21+BQ21)</f>
        <v>0.2073170731707317</v>
      </c>
    </row>
    <row r="22" spans="1:70" ht="9.9499999999999993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0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0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7</v>
      </c>
      <c r="BP22" s="166"/>
      <c r="BQ22" s="167"/>
      <c r="BR22" s="174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0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8</v>
      </c>
      <c r="BP23" s="166">
        <f t="shared" ref="BP23" si="29">BO23+BO24</f>
        <v>17</v>
      </c>
      <c r="BQ23" s="167">
        <f t="shared" ref="BQ23" si="30">82-BP23</f>
        <v>65</v>
      </c>
      <c r="BR23" s="174">
        <f t="shared" ref="BR23" si="31">BP23/(BP23+BQ23)</f>
        <v>0.2073170731707317</v>
      </c>
    </row>
    <row r="24" spans="1:70" ht="9.9499999999999993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0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0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9</v>
      </c>
      <c r="BP24" s="166"/>
      <c r="BQ24" s="167"/>
      <c r="BR24" s="174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8</v>
      </c>
      <c r="BP25" s="166">
        <f t="shared" ref="BP25" si="32">BO25+BO26</f>
        <v>18</v>
      </c>
      <c r="BQ25" s="167">
        <f t="shared" ref="BQ25" si="33">82-BP25</f>
        <v>64</v>
      </c>
      <c r="BR25" s="174">
        <f t="shared" ref="BR25" si="34">BP25/(BP25+BQ25)</f>
        <v>0.21951219512195122</v>
      </c>
    </row>
    <row r="26" spans="1:70" ht="9.9499999999999993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0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0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10</v>
      </c>
      <c r="BP26" s="166"/>
      <c r="BQ26" s="167"/>
      <c r="BR26" s="174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0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7</v>
      </c>
      <c r="BP27" s="166">
        <f t="shared" ref="BP27" si="35">BO27+BO28</f>
        <v>18</v>
      </c>
      <c r="BQ27" s="167">
        <f t="shared" ref="BQ27" si="36">82-BP27</f>
        <v>64</v>
      </c>
      <c r="BR27" s="174">
        <f t="shared" ref="BR27" si="37">BP27/(BP27+BQ27)</f>
        <v>0.21951219512195122</v>
      </c>
    </row>
    <row r="28" spans="1:70" ht="9.9499999999999993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0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11</v>
      </c>
      <c r="BP28" s="166"/>
      <c r="BQ28" s="167"/>
      <c r="BR28" s="174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0</v>
      </c>
      <c r="BO29" s="30">
        <f t="shared" si="1"/>
        <v>7</v>
      </c>
      <c r="BP29" s="166">
        <f t="shared" ref="BP29" si="38">BO29+BO30</f>
        <v>17</v>
      </c>
      <c r="BQ29" s="167">
        <f t="shared" ref="BQ29" si="39">82-BP29</f>
        <v>65</v>
      </c>
      <c r="BR29" s="174">
        <f t="shared" ref="BR29" si="40">BP29/(BP29+BQ29)</f>
        <v>0.2073170731707317</v>
      </c>
    </row>
    <row r="30" spans="1:70" ht="9.9499999999999993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0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0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10</v>
      </c>
      <c r="BP30" s="166"/>
      <c r="BQ30" s="167"/>
      <c r="BR30" s="174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0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0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11</v>
      </c>
      <c r="BP31" s="166">
        <f t="shared" ref="BP31" si="41">BO31+BO32</f>
        <v>16</v>
      </c>
      <c r="BQ31" s="167">
        <f t="shared" ref="BQ31" si="42">82-BP31</f>
        <v>66</v>
      </c>
      <c r="BR31" s="174">
        <f t="shared" ref="BR31" si="43">BP31/(BP31+BQ31)</f>
        <v>0.1951219512195122</v>
      </c>
    </row>
    <row r="32" spans="1:70" ht="9.9499999999999993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0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0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5</v>
      </c>
      <c r="BP32" s="166"/>
      <c r="BQ32" s="167"/>
      <c r="BR32" s="174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1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0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8</v>
      </c>
      <c r="BP33" s="166">
        <f t="shared" ref="BP33" si="44">BO33+BO34</f>
        <v>16</v>
      </c>
      <c r="BQ33" s="167">
        <f t="shared" ref="BQ33" si="45">82-BP33</f>
        <v>66</v>
      </c>
      <c r="BR33" s="174">
        <f t="shared" ref="BR33" si="46">BP33/(BP33+BQ33)</f>
        <v>0.1951219512195122</v>
      </c>
    </row>
    <row r="34" spans="1:70" ht="9.9499999999999993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0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8</v>
      </c>
      <c r="BP34" s="166"/>
      <c r="BQ34" s="167"/>
      <c r="BR34" s="174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1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9</v>
      </c>
      <c r="BP35" s="166">
        <f t="shared" ref="BP35" si="47">BO35+BO36</f>
        <v>16</v>
      </c>
      <c r="BQ35" s="167">
        <f t="shared" ref="BQ35" si="48">82-BP35</f>
        <v>66</v>
      </c>
      <c r="BR35" s="174">
        <f t="shared" ref="BR35" si="49">BP35/(BP35+BQ35)</f>
        <v>0.1951219512195122</v>
      </c>
    </row>
    <row r="36" spans="1:70" ht="9.9499999999999993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0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0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7</v>
      </c>
      <c r="BP36" s="166"/>
      <c r="BQ36" s="167"/>
      <c r="BR36" s="174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0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1"/>
        <v>10</v>
      </c>
      <c r="BP37" s="166">
        <f t="shared" ref="BP37" si="50">BO37+BO38</f>
        <v>16</v>
      </c>
      <c r="BQ37" s="167">
        <f t="shared" ref="BQ37" si="51">82-BP37</f>
        <v>66</v>
      </c>
      <c r="BR37" s="174">
        <f t="shared" ref="BR37" si="52">BP37/(BP37+BQ37)</f>
        <v>0.1951219512195122</v>
      </c>
    </row>
    <row r="38" spans="1:70" ht="9.9499999999999993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0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0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0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1"/>
        <v>6</v>
      </c>
      <c r="BP38" s="166"/>
      <c r="BQ38" s="167"/>
      <c r="BR38" s="174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0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0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1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8</v>
      </c>
      <c r="BP39" s="166">
        <f t="shared" ref="BP39" si="53">BO39+BO40</f>
        <v>16</v>
      </c>
      <c r="BQ39" s="167">
        <f t="shared" ref="BQ39" si="54">82-BP39</f>
        <v>66</v>
      </c>
      <c r="BR39" s="174">
        <f t="shared" ref="BR39" si="55">BP39/(BP39+BQ39)</f>
        <v>0.1951219512195122</v>
      </c>
    </row>
    <row r="40" spans="1:70" ht="9.9499999999999993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8</v>
      </c>
      <c r="BP40" s="166"/>
      <c r="BQ40" s="167"/>
      <c r="BR40" s="174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0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0</v>
      </c>
      <c r="W41" s="35"/>
      <c r="X41" s="28">
        <f>COUNTIFS(DataRegularSeason20242025!$E$2:$E$1315,W$1,DataRegularSeason20242025!$D$2:$D$1315,$A41,DataRegularSeason20242025!$N$2:$N$1315,1)</f>
        <v>0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0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8</v>
      </c>
      <c r="BP41" s="166">
        <f t="shared" ref="BP41" si="56">BO41+BO42</f>
        <v>16</v>
      </c>
      <c r="BQ41" s="167">
        <f t="shared" ref="BQ41" si="57">82-BP41</f>
        <v>66</v>
      </c>
      <c r="BR41" s="174">
        <f t="shared" ref="BR41" si="58">BP41/(BP41+BQ41)</f>
        <v>0.1951219512195122</v>
      </c>
    </row>
    <row r="42" spans="1:70" ht="9.9499999999999993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8</v>
      </c>
      <c r="BP42" s="166"/>
      <c r="BQ42" s="167"/>
      <c r="BR42" s="174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0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10</v>
      </c>
      <c r="BP43" s="166">
        <f t="shared" ref="BP43" si="59">BO43+BO44</f>
        <v>18</v>
      </c>
      <c r="BQ43" s="167">
        <f t="shared" ref="BQ43" si="60">82-BP43</f>
        <v>64</v>
      </c>
      <c r="BR43" s="174">
        <f t="shared" ref="BR43" si="61">BP43/(BP43+BQ43)</f>
        <v>0.21951219512195122</v>
      </c>
    </row>
    <row r="44" spans="1:70" ht="9.9499999999999993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0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8</v>
      </c>
      <c r="BP44" s="166"/>
      <c r="BQ44" s="167"/>
      <c r="BR44" s="174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0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0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5</v>
      </c>
      <c r="BP45" s="166">
        <f t="shared" ref="BP45" si="62">BO45+BO46</f>
        <v>16</v>
      </c>
      <c r="BQ45" s="167">
        <f t="shared" ref="BQ45" si="63">82-BP45</f>
        <v>66</v>
      </c>
      <c r="BR45" s="174">
        <f t="shared" ref="BR45" si="64">BP45/(BP45+BQ45)</f>
        <v>0.1951219512195122</v>
      </c>
    </row>
    <row r="46" spans="1:70" ht="9.9499999999999993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11</v>
      </c>
      <c r="BP46" s="166"/>
      <c r="BQ46" s="167"/>
      <c r="BR46" s="174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0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10</v>
      </c>
      <c r="BP47" s="166">
        <f t="shared" ref="BP47" si="65">BO47+BO48</f>
        <v>17</v>
      </c>
      <c r="BQ47" s="167">
        <f t="shared" ref="BQ47" si="66">82-BP47</f>
        <v>65</v>
      </c>
      <c r="BR47" s="174">
        <f t="shared" ref="BR47" si="67">BP47/(BP47+BQ47)</f>
        <v>0.2073170731707317</v>
      </c>
    </row>
    <row r="48" spans="1:70" ht="9.9499999999999993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0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1"/>
        <v>7</v>
      </c>
      <c r="BP48" s="166"/>
      <c r="BQ48" s="167"/>
      <c r="BR48" s="174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0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8</v>
      </c>
      <c r="BP49" s="166">
        <f t="shared" ref="BP49" si="68">BO49+BO50</f>
        <v>16</v>
      </c>
      <c r="BQ49" s="167">
        <f t="shared" ref="BQ49" si="69">82-BP49</f>
        <v>66</v>
      </c>
      <c r="BR49" s="174">
        <f t="shared" ref="BR49" si="70">BP49/(BP49+BQ49)</f>
        <v>0.1951219512195122</v>
      </c>
    </row>
    <row r="50" spans="1:70" ht="9.9499999999999993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0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0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1"/>
        <v>8</v>
      </c>
      <c r="BP50" s="166"/>
      <c r="BQ50" s="167"/>
      <c r="BR50" s="174"/>
    </row>
    <row r="51" spans="1:70" ht="9.9499999999999993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0</v>
      </c>
      <c r="BI51" s="35"/>
      <c r="BJ51" s="28">
        <f>COUNTIFS(DataRegularSeason20242025!$E$2:$E$1315,BI$1,DataRegularSeason20242025!$D$2:$D$1315,$A51,DataRegularSeason20242025!$N$2:$N$1315,1)</f>
        <v>1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7</v>
      </c>
      <c r="BP51" s="166">
        <f t="shared" ref="BP51" si="71">BO51+BO52</f>
        <v>18</v>
      </c>
      <c r="BQ51" s="167">
        <f t="shared" ref="BQ51" si="72">82-BP51</f>
        <v>64</v>
      </c>
      <c r="BR51" s="174">
        <f t="shared" ref="BR51" si="73">BP51/(BP51+BQ51)</f>
        <v>0.21951219512195122</v>
      </c>
    </row>
    <row r="52" spans="1:70" ht="9.9499999999999993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1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11</v>
      </c>
      <c r="BP52" s="166"/>
      <c r="BQ52" s="167"/>
      <c r="BR52" s="174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0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0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0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5</v>
      </c>
      <c r="BP53" s="166">
        <f t="shared" ref="BP53" si="74">BO53+BO54</f>
        <v>15</v>
      </c>
      <c r="BQ53" s="167">
        <f t="shared" ref="BQ53" si="75">82-BP53</f>
        <v>67</v>
      </c>
      <c r="BR53" s="174">
        <f t="shared" ref="BR53" si="76">BP53/(BP53+BQ53)</f>
        <v>0.18292682926829268</v>
      </c>
    </row>
    <row r="54" spans="1:70" ht="9.9499999999999993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0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10</v>
      </c>
      <c r="BP54" s="166"/>
      <c r="BQ54" s="167"/>
      <c r="BR54" s="174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0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8</v>
      </c>
      <c r="BP55" s="166">
        <f t="shared" ref="BP55" si="77">BO55+BO56</f>
        <v>16</v>
      </c>
      <c r="BQ55" s="167">
        <f t="shared" ref="BQ55" si="78">82-BP55</f>
        <v>66</v>
      </c>
      <c r="BR55" s="174">
        <f t="shared" ref="BR55" si="79">BP55/(BP55+BQ55)</f>
        <v>0.1951219512195122</v>
      </c>
    </row>
    <row r="56" spans="1:70" ht="9.9499999999999993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0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0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0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8</v>
      </c>
      <c r="BP56" s="166"/>
      <c r="BQ56" s="167"/>
      <c r="BR56" s="174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9</v>
      </c>
      <c r="BP57" s="166">
        <f t="shared" ref="BP57" si="80">BO57+BO58</f>
        <v>16</v>
      </c>
      <c r="BQ57" s="167">
        <f t="shared" ref="BQ57" si="81">82-BP57</f>
        <v>66</v>
      </c>
      <c r="BR57" s="174">
        <f t="shared" ref="BR57" si="82">BP57/(BP57+BQ57)</f>
        <v>0.1951219512195122</v>
      </c>
    </row>
    <row r="58" spans="1:70" ht="9.9499999999999993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0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0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0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7</v>
      </c>
      <c r="BP58" s="166"/>
      <c r="BQ58" s="167"/>
      <c r="BR58" s="174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0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8</v>
      </c>
      <c r="BP59" s="166">
        <f t="shared" ref="BP59" si="83">BO59+BO60</f>
        <v>16</v>
      </c>
      <c r="BQ59" s="167">
        <f t="shared" ref="BQ59" si="84">82-BP59</f>
        <v>66</v>
      </c>
      <c r="BR59" s="174">
        <f t="shared" ref="BR59" si="85">BP59/(BP59+BQ59)</f>
        <v>0.1951219512195122</v>
      </c>
    </row>
    <row r="60" spans="1:70" ht="9.9499999999999993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0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0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1"/>
        <v>8</v>
      </c>
      <c r="BP60" s="166"/>
      <c r="BQ60" s="167"/>
      <c r="BR60" s="174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8</v>
      </c>
      <c r="BP61" s="166">
        <f t="shared" ref="BP61" si="86">BO61+BO62</f>
        <v>17</v>
      </c>
      <c r="BQ61" s="167">
        <f t="shared" ref="BQ61" si="87">82-BP61</f>
        <v>65</v>
      </c>
      <c r="BR61" s="174">
        <f t="shared" ref="BR61" si="88">BP61/(BP61+BQ61)</f>
        <v>0.2073170731707317</v>
      </c>
    </row>
    <row r="62" spans="1:70" ht="9.9499999999999993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0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1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9</v>
      </c>
      <c r="BP62" s="166"/>
      <c r="BQ62" s="167"/>
      <c r="BR62" s="174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0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8</v>
      </c>
      <c r="BP63" s="166">
        <f t="shared" ref="BP63" si="89">BO63+BO64</f>
        <v>16</v>
      </c>
      <c r="BQ63" s="167">
        <f t="shared" ref="BQ63" si="90">82-BP63</f>
        <v>66</v>
      </c>
      <c r="BR63" s="174">
        <f t="shared" ref="BR63" si="91">BP63/(BP63+BQ63)</f>
        <v>0.1951219512195122</v>
      </c>
    </row>
    <row r="64" spans="1:70" ht="9.9499999999999993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0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1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8</v>
      </c>
      <c r="BP64" s="166"/>
      <c r="BQ64" s="167"/>
      <c r="BR64" s="174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0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5</v>
      </c>
      <c r="BP65" s="166">
        <f t="shared" ref="BP65" si="92">BO65+BO66</f>
        <v>17</v>
      </c>
      <c r="BQ65" s="167">
        <f t="shared" ref="BQ65" si="93">82-BP65</f>
        <v>65</v>
      </c>
      <c r="BR65" s="174">
        <f>BP65/(BP65+BQ65)</f>
        <v>0.2073170731707317</v>
      </c>
    </row>
    <row r="66" spans="1:70" ht="9.9499999999999993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0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0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12</v>
      </c>
      <c r="BP66" s="166"/>
      <c r="BQ66" s="167"/>
      <c r="BR66" s="174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266</v>
      </c>
      <c r="BQ67" s="27">
        <f>SUM(BQ3:BQ66)/2</f>
        <v>1046</v>
      </c>
    </row>
    <row r="68" spans="1:70" x14ac:dyDescent="0.25">
      <c r="BP68" s="43">
        <f>2*BP67/SUM(BP3:BQ66)</f>
        <v>0.2027439024390244</v>
      </c>
      <c r="BQ68" s="43">
        <f>2*BQ67/SUM(BP3:BQ66)</f>
        <v>0.7972560975609756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0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0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7</v>
      </c>
      <c r="BP3" s="166">
        <f>BO3+BO4</f>
        <v>12</v>
      </c>
      <c r="BQ3" s="167">
        <f>82-BP3</f>
        <v>70</v>
      </c>
      <c r="BR3" s="174">
        <f t="shared" ref="BR3:BR67" si="0">BP3/(BP3+BQ3)</f>
        <v>0.14634146341463414</v>
      </c>
      <c r="BT3" s="37">
        <f>DataRegularSeason20242025!$A$3:$A$8</f>
        <v>45937</v>
      </c>
    </row>
    <row r="4" spans="1:72" s="27" customFormat="1" ht="9.9499999999999993" customHeight="1" x14ac:dyDescent="0.2">
      <c r="A4" s="168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0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0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0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0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0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5</v>
      </c>
      <c r="BP4" s="166"/>
      <c r="BQ4" s="167"/>
      <c r="BR4" s="174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0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0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0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0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1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0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5</v>
      </c>
      <c r="BP5" s="166">
        <f t="shared" ref="BP5" si="2">BO5+BO6</f>
        <v>13</v>
      </c>
      <c r="BQ5" s="167">
        <f t="shared" ref="BQ5" si="3">82-BP5</f>
        <v>69</v>
      </c>
      <c r="BR5" s="174">
        <f t="shared" si="0"/>
        <v>0.15853658536585366</v>
      </c>
    </row>
    <row r="6" spans="1:72" s="27" customFormat="1" ht="9.9499999999999993" customHeight="1" x14ac:dyDescent="0.2">
      <c r="A6" s="168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1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0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0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8</v>
      </c>
      <c r="BP6" s="166"/>
      <c r="BQ6" s="167"/>
      <c r="BR6" s="174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0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0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0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0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0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4</v>
      </c>
      <c r="BP7" s="166">
        <f t="shared" ref="BP7" si="4">BO7+BO8</f>
        <v>11</v>
      </c>
      <c r="BQ7" s="167">
        <f t="shared" ref="BQ7" si="5">82-BP7</f>
        <v>71</v>
      </c>
      <c r="BR7" s="174">
        <f t="shared" si="0"/>
        <v>0.13414634146341464</v>
      </c>
    </row>
    <row r="8" spans="1:72" s="27" customFormat="1" ht="9.9499999999999993" customHeight="1" x14ac:dyDescent="0.2">
      <c r="A8" s="168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0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0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0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0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0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7</v>
      </c>
      <c r="BP8" s="166"/>
      <c r="BQ8" s="167"/>
      <c r="BR8" s="174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1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0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0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0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8</v>
      </c>
      <c r="BP9" s="166">
        <f t="shared" ref="BP9" si="6">BO9+BO10</f>
        <v>13</v>
      </c>
      <c r="BQ9" s="167">
        <f t="shared" ref="BQ9" si="7">82-BP9</f>
        <v>69</v>
      </c>
      <c r="BR9" s="174">
        <f t="shared" si="0"/>
        <v>0.15853658536585366</v>
      </c>
    </row>
    <row r="10" spans="1:72" s="27" customFormat="1" ht="9.9499999999999993" customHeight="1" x14ac:dyDescent="0.2">
      <c r="A10" s="168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0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0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0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0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0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5</v>
      </c>
      <c r="BP10" s="166"/>
      <c r="BQ10" s="167"/>
      <c r="BR10" s="174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0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0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0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7</v>
      </c>
      <c r="BP11" s="166">
        <f t="shared" ref="BP11" si="8">BO11+BO12</f>
        <v>9</v>
      </c>
      <c r="BQ11" s="167">
        <f t="shared" ref="BQ11" si="9">82-BP11</f>
        <v>73</v>
      </c>
      <c r="BR11" s="174">
        <f t="shared" si="0"/>
        <v>0.10975609756097561</v>
      </c>
    </row>
    <row r="12" spans="1:72" s="27" customFormat="1" ht="9.9499999999999993" customHeight="1" x14ac:dyDescent="0.2">
      <c r="A12" s="168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0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0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0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0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0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2</v>
      </c>
      <c r="BP12" s="166"/>
      <c r="BQ12" s="167"/>
      <c r="BR12" s="174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0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0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0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0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0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1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11</v>
      </c>
      <c r="BP13" s="166">
        <f t="shared" ref="BP13" si="10">BO13+BO14</f>
        <v>18</v>
      </c>
      <c r="BQ13" s="167">
        <f t="shared" ref="BQ13" si="11">82-BP13</f>
        <v>64</v>
      </c>
      <c r="BR13" s="174">
        <f t="shared" si="0"/>
        <v>0.21951219512195122</v>
      </c>
    </row>
    <row r="14" spans="1:72" s="27" customFormat="1" ht="9.9499999999999993" customHeight="1" x14ac:dyDescent="0.2">
      <c r="A14" s="168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0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0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1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7</v>
      </c>
      <c r="BP14" s="166"/>
      <c r="BQ14" s="167"/>
      <c r="BR14" s="174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0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9</v>
      </c>
      <c r="BP15" s="166">
        <f t="shared" ref="BP15" si="12">BO15+BO16</f>
        <v>15</v>
      </c>
      <c r="BQ15" s="167">
        <f t="shared" ref="BQ15" si="13">82-BP15</f>
        <v>67</v>
      </c>
      <c r="BR15" s="174">
        <f t="shared" si="0"/>
        <v>0.18292682926829268</v>
      </c>
    </row>
    <row r="16" spans="1:72" s="27" customFormat="1" ht="9.9499999999999993" customHeight="1" x14ac:dyDescent="0.2">
      <c r="A16" s="168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0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0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0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0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0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0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0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6</v>
      </c>
      <c r="BP16" s="166"/>
      <c r="BQ16" s="167"/>
      <c r="BR16" s="174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0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0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0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8</v>
      </c>
      <c r="BP17" s="166">
        <f t="shared" ref="BP17" si="14">BO17+BO18</f>
        <v>14</v>
      </c>
      <c r="BQ17" s="167">
        <f t="shared" ref="BQ17" si="15">82-BP17</f>
        <v>68</v>
      </c>
      <c r="BR17" s="174">
        <f t="shared" si="0"/>
        <v>0.17073170731707318</v>
      </c>
    </row>
    <row r="18" spans="1:70" s="27" customFormat="1" ht="9.9499999999999993" customHeight="1" x14ac:dyDescent="0.2">
      <c r="A18" s="168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0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0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0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0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0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6</v>
      </c>
      <c r="BP18" s="166"/>
      <c r="BQ18" s="167"/>
      <c r="BR18" s="174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0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0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0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0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0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7</v>
      </c>
      <c r="BP19" s="166">
        <f t="shared" ref="BP19" si="16">BO19+BO20</f>
        <v>11</v>
      </c>
      <c r="BQ19" s="167">
        <f t="shared" ref="BQ19" si="17">82-BP19</f>
        <v>71</v>
      </c>
      <c r="BR19" s="174">
        <f t="shared" si="0"/>
        <v>0.13414634146341464</v>
      </c>
    </row>
    <row r="20" spans="1:70" s="27" customFormat="1" ht="9.9499999999999993" customHeight="1" x14ac:dyDescent="0.2">
      <c r="A20" s="168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0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0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0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0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4</v>
      </c>
      <c r="BP20" s="166"/>
      <c r="BQ20" s="167"/>
      <c r="BR20" s="174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0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0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0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7</v>
      </c>
      <c r="BP21" s="166">
        <f t="shared" ref="BP21" si="18">BO21+BO22</f>
        <v>15</v>
      </c>
      <c r="BQ21" s="167">
        <f t="shared" ref="BQ21" si="19">82-BP21</f>
        <v>67</v>
      </c>
      <c r="BR21" s="174">
        <f t="shared" si="0"/>
        <v>0.18292682926829268</v>
      </c>
    </row>
    <row r="22" spans="1:70" s="27" customFormat="1" ht="9.9499999999999993" customHeight="1" x14ac:dyDescent="0.2">
      <c r="A22" s="168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0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0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0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0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0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0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1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8</v>
      </c>
      <c r="BP22" s="166"/>
      <c r="BQ22" s="167"/>
      <c r="BR22" s="174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0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0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0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0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1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0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0</v>
      </c>
      <c r="BO23" s="30">
        <f t="shared" si="1"/>
        <v>9</v>
      </c>
      <c r="BP23" s="166">
        <f t="shared" ref="BP23" si="20">BO23+BO24</f>
        <v>17</v>
      </c>
      <c r="BQ23" s="167">
        <f t="shared" ref="BQ23" si="21">82-BP23</f>
        <v>65</v>
      </c>
      <c r="BR23" s="174">
        <f t="shared" si="0"/>
        <v>0.2073170731707317</v>
      </c>
    </row>
    <row r="24" spans="1:70" s="27" customFormat="1" ht="9.9499999999999993" customHeight="1" x14ac:dyDescent="0.2">
      <c r="A24" s="168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0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8</v>
      </c>
      <c r="BP24" s="166"/>
      <c r="BQ24" s="167"/>
      <c r="BR24" s="174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0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8</v>
      </c>
      <c r="BP25" s="166">
        <f t="shared" ref="BP25" si="22">BO25+BO26</f>
        <v>13</v>
      </c>
      <c r="BQ25" s="167">
        <f t="shared" ref="BQ25" si="23">82-BP25</f>
        <v>69</v>
      </c>
      <c r="BR25" s="174">
        <f t="shared" si="0"/>
        <v>0.15853658536585366</v>
      </c>
    </row>
    <row r="26" spans="1:70" s="27" customFormat="1" ht="9.9499999999999993" customHeight="1" x14ac:dyDescent="0.2">
      <c r="A26" s="168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0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0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0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0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0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0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0</v>
      </c>
      <c r="BN26" s="39"/>
      <c r="BO26" s="34">
        <f t="shared" si="1"/>
        <v>5</v>
      </c>
      <c r="BP26" s="166"/>
      <c r="BQ26" s="167"/>
      <c r="BR26" s="174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0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0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0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0</v>
      </c>
      <c r="BO27" s="30">
        <f t="shared" si="1"/>
        <v>6</v>
      </c>
      <c r="BP27" s="166">
        <f t="shared" ref="BP27" si="24">BO27+BO28</f>
        <v>11</v>
      </c>
      <c r="BQ27" s="167">
        <f t="shared" ref="BQ27" si="25">82-BP27</f>
        <v>71</v>
      </c>
      <c r="BR27" s="174">
        <f t="shared" si="0"/>
        <v>0.13414634146341464</v>
      </c>
    </row>
    <row r="28" spans="1:70" s="27" customFormat="1" ht="9.9499999999999993" customHeight="1" x14ac:dyDescent="0.2">
      <c r="A28" s="168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0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0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0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5</v>
      </c>
      <c r="BP28" s="166"/>
      <c r="BQ28" s="167"/>
      <c r="BR28" s="174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0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0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0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5</v>
      </c>
      <c r="BP29" s="166">
        <f t="shared" ref="BP29" si="26">BO29+BO30</f>
        <v>10</v>
      </c>
      <c r="BQ29" s="167">
        <f t="shared" ref="BQ29" si="27">82-BP29</f>
        <v>72</v>
      </c>
      <c r="BR29" s="174">
        <f t="shared" si="0"/>
        <v>0.12195121951219512</v>
      </c>
    </row>
    <row r="30" spans="1:70" s="27" customFormat="1" ht="9.9499999999999993" customHeight="1" x14ac:dyDescent="0.2">
      <c r="A30" s="168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0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0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0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0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0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5</v>
      </c>
      <c r="BP30" s="166"/>
      <c r="BQ30" s="167"/>
      <c r="BR30" s="174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0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0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0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0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8</v>
      </c>
      <c r="BP31" s="166">
        <f t="shared" ref="BP31" si="28">BO31+BO32</f>
        <v>15</v>
      </c>
      <c r="BQ31" s="167">
        <f t="shared" ref="BQ31" si="29">82-BP31</f>
        <v>67</v>
      </c>
      <c r="BR31" s="174">
        <f t="shared" si="0"/>
        <v>0.18292682926829268</v>
      </c>
    </row>
    <row r="32" spans="1:70" s="27" customFormat="1" ht="9.9499999999999993" customHeight="1" x14ac:dyDescent="0.2">
      <c r="A32" s="168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0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0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0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0</v>
      </c>
      <c r="BN32" s="39"/>
      <c r="BO32" s="34">
        <f t="shared" si="1"/>
        <v>7</v>
      </c>
      <c r="BP32" s="166"/>
      <c r="BQ32" s="167"/>
      <c r="BR32" s="174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0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0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0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0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0</v>
      </c>
      <c r="BO33" s="30">
        <f t="shared" si="1"/>
        <v>5</v>
      </c>
      <c r="BP33" s="166">
        <f t="shared" ref="BP33" si="30">BO33+BO34</f>
        <v>12</v>
      </c>
      <c r="BQ33" s="167">
        <f t="shared" ref="BQ33" si="31">82-BP33</f>
        <v>70</v>
      </c>
      <c r="BR33" s="174">
        <f t="shared" si="0"/>
        <v>0.14634146341463414</v>
      </c>
    </row>
    <row r="34" spans="1:70" s="27" customFormat="1" ht="9.9499999999999993" customHeight="1" x14ac:dyDescent="0.2">
      <c r="A34" s="168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0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0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0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7</v>
      </c>
      <c r="BP34" s="166"/>
      <c r="BQ34" s="167"/>
      <c r="BR34" s="174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0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0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4</v>
      </c>
      <c r="BP35" s="166">
        <f t="shared" ref="BP35" si="32">BO35+BO36</f>
        <v>13</v>
      </c>
      <c r="BQ35" s="167">
        <f t="shared" ref="BQ35" si="33">82-BP35</f>
        <v>69</v>
      </c>
      <c r="BR35" s="174">
        <f t="shared" si="0"/>
        <v>0.15853658536585366</v>
      </c>
    </row>
    <row r="36" spans="1:70" s="27" customFormat="1" ht="9.9499999999999993" customHeight="1" x14ac:dyDescent="0.2">
      <c r="A36" s="168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0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0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0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0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9</v>
      </c>
      <c r="BP36" s="166"/>
      <c r="BQ36" s="167"/>
      <c r="BR36" s="174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0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0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0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0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0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6</v>
      </c>
      <c r="BP37" s="166">
        <f t="shared" ref="BP37" si="34">BO37+BO38</f>
        <v>10</v>
      </c>
      <c r="BQ37" s="167">
        <f t="shared" ref="BQ37" si="35">82-BP37</f>
        <v>72</v>
      </c>
      <c r="BR37" s="174">
        <f t="shared" si="0"/>
        <v>0.12195121951219512</v>
      </c>
    </row>
    <row r="38" spans="1:70" s="27" customFormat="1" ht="9.9499999999999993" customHeight="1" x14ac:dyDescent="0.2">
      <c r="A38" s="168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0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0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0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0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4</v>
      </c>
      <c r="BP38" s="166"/>
      <c r="BQ38" s="167"/>
      <c r="BR38" s="174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0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0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0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0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0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0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8</v>
      </c>
      <c r="BP39" s="166">
        <f t="shared" ref="BP39" si="36">BO39+BO40</f>
        <v>15</v>
      </c>
      <c r="BQ39" s="167">
        <f t="shared" ref="BQ39" si="37">82-BP39</f>
        <v>67</v>
      </c>
      <c r="BR39" s="174">
        <f t="shared" si="0"/>
        <v>0.18292682926829268</v>
      </c>
    </row>
    <row r="40" spans="1:70" s="27" customFormat="1" ht="9.9499999999999993" customHeight="1" x14ac:dyDescent="0.2">
      <c r="A40" s="168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0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0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0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7</v>
      </c>
      <c r="BP40" s="166"/>
      <c r="BQ40" s="167"/>
      <c r="BR40" s="174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0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0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0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0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0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8</v>
      </c>
      <c r="BP41" s="166">
        <f t="shared" ref="BP41" si="38">BO41+BO42</f>
        <v>16</v>
      </c>
      <c r="BQ41" s="167">
        <f t="shared" ref="BQ41" si="39">82-BP41</f>
        <v>66</v>
      </c>
      <c r="BR41" s="174">
        <f t="shared" si="0"/>
        <v>0.1951219512195122</v>
      </c>
    </row>
    <row r="42" spans="1:70" s="27" customFormat="1" ht="9.9499999999999993" customHeight="1" x14ac:dyDescent="0.2">
      <c r="A42" s="168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1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0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8</v>
      </c>
      <c r="BP42" s="166"/>
      <c r="BQ42" s="167"/>
      <c r="BR42" s="174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0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0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0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0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0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0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2</v>
      </c>
      <c r="BP43" s="166">
        <f t="shared" ref="BP43" si="40">BO43+BO44</f>
        <v>10</v>
      </c>
      <c r="BQ43" s="167">
        <f t="shared" ref="BQ43" si="41">82-BP43</f>
        <v>72</v>
      </c>
      <c r="BR43" s="174">
        <f t="shared" si="0"/>
        <v>0.12195121951219512</v>
      </c>
    </row>
    <row r="44" spans="1:70" s="27" customFormat="1" ht="9.9499999999999993" customHeight="1" x14ac:dyDescent="0.2">
      <c r="A44" s="168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0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8</v>
      </c>
      <c r="BP44" s="166"/>
      <c r="BQ44" s="167"/>
      <c r="BR44" s="174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0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0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9</v>
      </c>
      <c r="BP45" s="166">
        <f t="shared" ref="BP45" si="42">BO45+BO46</f>
        <v>14</v>
      </c>
      <c r="BQ45" s="167">
        <f t="shared" ref="BQ45" si="43">82-BP45</f>
        <v>68</v>
      </c>
      <c r="BR45" s="174">
        <f t="shared" si="0"/>
        <v>0.17073170731707318</v>
      </c>
    </row>
    <row r="46" spans="1:70" s="27" customFormat="1" ht="9.9499999999999993" customHeight="1" x14ac:dyDescent="0.2">
      <c r="A46" s="168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0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0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0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0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5</v>
      </c>
      <c r="BP46" s="166"/>
      <c r="BQ46" s="167"/>
      <c r="BR46" s="174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0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0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0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0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7</v>
      </c>
      <c r="BP47" s="166">
        <f t="shared" ref="BP47" si="44">BO47+BO48</f>
        <v>13</v>
      </c>
      <c r="BQ47" s="167">
        <f t="shared" ref="BQ47" si="45">82-BP47</f>
        <v>69</v>
      </c>
      <c r="BR47" s="174">
        <f t="shared" si="0"/>
        <v>0.15853658536585366</v>
      </c>
    </row>
    <row r="48" spans="1:70" s="27" customFormat="1" ht="9.9499999999999993" customHeight="1" x14ac:dyDescent="0.2">
      <c r="A48" s="168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0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1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0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0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6</v>
      </c>
      <c r="BP48" s="166"/>
      <c r="BQ48" s="167"/>
      <c r="BR48" s="174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0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0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0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0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5</v>
      </c>
      <c r="BP49" s="166">
        <f t="shared" ref="BP49" si="46">BO49+BO50</f>
        <v>12</v>
      </c>
      <c r="BQ49" s="167">
        <f t="shared" ref="BQ49" si="47">82-BP49</f>
        <v>70</v>
      </c>
      <c r="BR49" s="174">
        <f t="shared" si="0"/>
        <v>0.14634146341463414</v>
      </c>
    </row>
    <row r="50" spans="1:70" s="27" customFormat="1" ht="9.9499999999999993" customHeight="1" x14ac:dyDescent="0.2">
      <c r="A50" s="168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0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0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0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0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7</v>
      </c>
      <c r="BP50" s="166"/>
      <c r="BQ50" s="167"/>
      <c r="BR50" s="174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0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0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0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0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4</v>
      </c>
      <c r="BP51" s="166">
        <f t="shared" ref="BP51" si="48">BO51+BO52</f>
        <v>13</v>
      </c>
      <c r="BQ51" s="167">
        <f t="shared" ref="BQ51" si="49">82-BP51</f>
        <v>69</v>
      </c>
      <c r="BR51" s="174">
        <f t="shared" si="0"/>
        <v>0.15853658536585366</v>
      </c>
    </row>
    <row r="52" spans="1:70" s="27" customFormat="1" ht="9.9499999999999993" customHeight="1" x14ac:dyDescent="0.2">
      <c r="A52" s="168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0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0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1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0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9</v>
      </c>
      <c r="BP52" s="166"/>
      <c r="BQ52" s="167"/>
      <c r="BR52" s="174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1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0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0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1</v>
      </c>
      <c r="BO53" s="30">
        <f t="shared" si="1"/>
        <v>7</v>
      </c>
      <c r="BP53" s="166">
        <f t="shared" ref="BP53" si="50">BO53+BO54</f>
        <v>12</v>
      </c>
      <c r="BQ53" s="167">
        <f t="shared" ref="BQ53" si="51">82-BP53</f>
        <v>70</v>
      </c>
      <c r="BR53" s="174">
        <f t="shared" si="0"/>
        <v>0.14634146341463414</v>
      </c>
    </row>
    <row r="54" spans="1:70" s="27" customFormat="1" ht="9.9499999999999993" customHeight="1" x14ac:dyDescent="0.2">
      <c r="A54" s="168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0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0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0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0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5</v>
      </c>
      <c r="BP54" s="166"/>
      <c r="BQ54" s="167"/>
      <c r="BR54" s="174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0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0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0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0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0</v>
      </c>
      <c r="BO55" s="30">
        <f t="shared" si="1"/>
        <v>4</v>
      </c>
      <c r="BP55" s="166">
        <f t="shared" ref="BP55" si="52">BO55+BO56</f>
        <v>15</v>
      </c>
      <c r="BQ55" s="167">
        <f t="shared" ref="BQ55" si="53">82-BP55</f>
        <v>67</v>
      </c>
      <c r="BR55" s="174">
        <f t="shared" si="0"/>
        <v>0.18292682926829268</v>
      </c>
    </row>
    <row r="56" spans="1:70" s="27" customFormat="1" ht="9.9499999999999993" customHeight="1" x14ac:dyDescent="0.2">
      <c r="A56" s="168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0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0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0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11</v>
      </c>
      <c r="BP56" s="166"/>
      <c r="BQ56" s="167"/>
      <c r="BR56" s="174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0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0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0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1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8</v>
      </c>
      <c r="BP57" s="166">
        <f t="shared" ref="BP57" si="54">BO57+BO58</f>
        <v>13</v>
      </c>
      <c r="BQ57" s="167">
        <f t="shared" ref="BQ57" si="55">82-BP57</f>
        <v>69</v>
      </c>
      <c r="BR57" s="174">
        <f t="shared" si="0"/>
        <v>0.15853658536585366</v>
      </c>
    </row>
    <row r="58" spans="1:70" s="27" customFormat="1" ht="9.9499999999999993" customHeight="1" x14ac:dyDescent="0.2">
      <c r="A58" s="168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0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0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0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0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0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5</v>
      </c>
      <c r="BP58" s="166"/>
      <c r="BQ58" s="167"/>
      <c r="BR58" s="174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0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0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0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0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0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0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7</v>
      </c>
      <c r="BP59" s="166">
        <f t="shared" ref="BP59" si="56">BO59+BO60</f>
        <v>15</v>
      </c>
      <c r="BQ59" s="167">
        <f t="shared" ref="BQ59" si="57">82-BP59</f>
        <v>67</v>
      </c>
      <c r="BR59" s="174">
        <f t="shared" si="0"/>
        <v>0.18292682926829268</v>
      </c>
    </row>
    <row r="60" spans="1:70" s="27" customFormat="1" ht="9.9499999999999993" customHeight="1" x14ac:dyDescent="0.2">
      <c r="A60" s="168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1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0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8</v>
      </c>
      <c r="BP60" s="166"/>
      <c r="BQ60" s="167"/>
      <c r="BR60" s="174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0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0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0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0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3</v>
      </c>
      <c r="BP61" s="166">
        <f t="shared" ref="BP61" si="58">BO61+BO62</f>
        <v>10</v>
      </c>
      <c r="BQ61" s="167">
        <f t="shared" ref="BQ61" si="59">82-BP61</f>
        <v>72</v>
      </c>
      <c r="BR61" s="174">
        <f t="shared" si="0"/>
        <v>0.12195121951219512</v>
      </c>
    </row>
    <row r="62" spans="1:70" s="27" customFormat="1" ht="9.9499999999999993" customHeight="1" x14ac:dyDescent="0.2">
      <c r="A62" s="168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0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0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0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0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0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7</v>
      </c>
      <c r="BP62" s="166"/>
      <c r="BQ62" s="167"/>
      <c r="BR62" s="174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0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1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0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0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0</v>
      </c>
      <c r="BO63" s="30">
        <f t="shared" si="1"/>
        <v>4</v>
      </c>
      <c r="BP63" s="166">
        <f t="shared" ref="BP63" si="60">BO63+BO64</f>
        <v>11</v>
      </c>
      <c r="BQ63" s="167">
        <f t="shared" ref="BQ63" si="61">82-BP63</f>
        <v>71</v>
      </c>
      <c r="BR63" s="174">
        <f t="shared" si="0"/>
        <v>0.13414634146341464</v>
      </c>
    </row>
    <row r="64" spans="1:70" s="27" customFormat="1" ht="9.9499999999999993" customHeight="1" x14ac:dyDescent="0.2">
      <c r="A64" s="168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0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0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0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7</v>
      </c>
      <c r="BP64" s="166"/>
      <c r="BQ64" s="167"/>
      <c r="BR64" s="174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0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0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6</v>
      </c>
      <c r="BP65" s="166">
        <f t="shared" ref="BP65" si="62">BO65+BO66</f>
        <v>11</v>
      </c>
      <c r="BQ65" s="167">
        <f t="shared" ref="BQ65" si="63">82-BP65</f>
        <v>71</v>
      </c>
      <c r="BR65" s="174">
        <f t="shared" si="0"/>
        <v>0.13414634146341464</v>
      </c>
    </row>
    <row r="66" spans="1:70" s="27" customFormat="1" ht="9.9499999999999993" customHeight="1" x14ac:dyDescent="0.2">
      <c r="A66" s="168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0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0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0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1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0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0</v>
      </c>
      <c r="BL66" s="39"/>
      <c r="BM66" s="38"/>
      <c r="BN66" s="39"/>
      <c r="BO66" s="34">
        <f t="shared" si="1"/>
        <v>5</v>
      </c>
      <c r="BP66" s="166"/>
      <c r="BQ66" s="167"/>
      <c r="BR66" s="174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206</v>
      </c>
      <c r="BQ67" s="26">
        <f>SUM(BQ3:BQ66)/2</f>
        <v>1106</v>
      </c>
      <c r="BR67" s="135">
        <f t="shared" si="0"/>
        <v>0.15701219512195122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workbookViewId="0">
      <pane xSplit="1" topLeftCell="B1" activePane="topRight" state="frozen"/>
      <selection pane="topRight" activeCell="AQ9" sqref="AQ9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14</v>
      </c>
      <c r="E2" s="10">
        <f>Table3[[#This Row],[Watched]]/Table3[[#This Row],[GP]]</f>
        <v>0.82352941176470584</v>
      </c>
      <c r="F2">
        <f>COUNTIFS(DataRegularSeason20242025!$N$3:$N$1315,1,DataRegularSeason20242025!$D$3:$D$1315,$A2)</f>
        <v>10</v>
      </c>
      <c r="G2">
        <f>41-Table3[[#This Row],[GP_A]]</f>
        <v>31</v>
      </c>
      <c r="H2">
        <f>COUNTIFS(DataRegularSeason20242025!$E$3:$E$1315,$A2,DataRegularSeason20242025!$N$3:$N$1315,1)</f>
        <v>7</v>
      </c>
      <c r="I2">
        <f>41-Table3[[#This Row],[GP_H]]</f>
        <v>34</v>
      </c>
      <c r="J2">
        <f>F2+H2</f>
        <v>17</v>
      </c>
      <c r="K2">
        <f>82-Table3[[#This Row],[GP]]</f>
        <v>65</v>
      </c>
      <c r="L2">
        <f>COUNTIFS(DataRegularSeason20242025!$D$3:$D$1315,$A2, DataRegularSeason20242025!$L$3:$L$1315, $A2,DataRegularSeason20242025!$N$3:$N$1315,1)</f>
        <v>6</v>
      </c>
      <c r="M2">
        <f>COUNTIFS(DataRegularSeason20242025!$D$3:$D$1315,$A2, DataRegularSeason20242025!$L$3:$L$1315, $A2,DataRegularSeason20242025!$N$3:$N$1315,1,DataRegularSeason20242025!$M$3:$M$1315,"REG")</f>
        <v>5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4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0</v>
      </c>
      <c r="T2">
        <f>COUNTIFS(DataRegularSeason20242025!$E$3:$E$1315,$A2, DataRegularSeason20242025!$L$3:$L$1315, $A2, DataRegularSeason20242025!$N$3:$N$1315,1)</f>
        <v>5</v>
      </c>
      <c r="U2">
        <f>COUNTIFS(DataRegularSeason20242025!$E$3:$E$1315,$A2, DataRegularSeason20242025!$L$3:$L$1315, $A2,DataRegularSeason20242025!$N$3:$N$1315,1,DataRegularSeason20242025!$M$3:$M$1315,"REG")</f>
        <v>5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0.6470588235294118</v>
      </c>
      <c r="AC2">
        <f>Table3[[#This Row],[W_A]]+Table3[[#This Row],[W_H]]</f>
        <v>11</v>
      </c>
      <c r="AD2">
        <f>Table3[[#This Row],[L_A]]+Table3[[#This Row],[L_H]]</f>
        <v>6</v>
      </c>
      <c r="AE2">
        <f>Table3[[#This Row],[RW_A]]+Table3[[#This Row],[RW_H]]</f>
        <v>10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2</v>
      </c>
      <c r="AK2" s="15" t="str">
        <f>_xlfn.CONCAT(TEXT(Table3[[#This Row],[OTW]]+Table3[[#This Row],[SOW]], "0"), "-", TEXT(Table3[[#This Row],[OTL]]+Table3[[#This Row],[SOL]],"0"))</f>
        <v>1-5</v>
      </c>
      <c r="AL2">
        <f>SUM(Table3[[#This Row],[OTW]],Table3[[#This Row],[OTL]],Table3[[#This Row],[SOW]],Table3[[#This Row],[SOL]])</f>
        <v>6</v>
      </c>
      <c r="AM2">
        <f>(Table3[[#This Row],[OTW]]+Table3[[#This Row],[SOW]])/IF(Table3[[#This Row],[Total_ExtraTimes]]=0,1,Table3[[#This Row],[Total_ExtraTimes]])</f>
        <v>0.16666666666666666</v>
      </c>
      <c r="AN2">
        <f>Table3[[#This Row],[Total_ExtraTimes]]/MAX(1,Table3[[#This Row],[GP]])</f>
        <v>0.35294117647058826</v>
      </c>
      <c r="AO2">
        <f>(2*(Table3[[#This Row],[W_A]]+Table3[[#This Row],[W_H]]))+Table3[[#This Row],[OTL_A]]+Table3[[#This Row],[SOL_A]]+Table3[[#This Row],[OTL_H]]+Table3[[#This Row],[SOL_H]]</f>
        <v>27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" s="10">
        <f>Table3[[#This Row],[PTS]]/(2*Table3[[#This Row],[GP]])</f>
        <v>0.79411764705882348</v>
      </c>
      <c r="AR2" s="10">
        <f>Table3[[#This Row],[PTS2]]/(3*Table3[[#This Row],[GP]])</f>
        <v>0.72549019607843135</v>
      </c>
      <c r="AS2">
        <f>(2*Table3[[#This Row],[GR]])+Table3[[#This Row],[PTS]]</f>
        <v>157</v>
      </c>
      <c r="AT2">
        <f>(3*Table3[[#This Row],[GR]])+Table3[[#This Row],[PTS2]]</f>
        <v>232</v>
      </c>
      <c r="AU2">
        <f>Table3[[#This Row],[PTS]]+(2 * Table3[[#This Row],[GR]] * Table3[[#This Row],[PTS%]])</f>
        <v>130.23529411764707</v>
      </c>
      <c r="AV2">
        <f>Table3[[#This Row],[PTS2]]+(3 * Table3[[#This Row],[GR]] * Table3[[#This Row],[PTS%2]])</f>
        <v>178.47058823529412</v>
      </c>
      <c r="AW2" s="15" t="str">
        <f>_xlfn.CONCAT(TEXT(Table3[[#This Row],[W]], "0"), "-", TEXT(Table3[[#This Row],[RL]],"0"), "-", TEXT(Table3[[#This Row],[OTL]]+Table3[[#This Row],[SOL]], "0"))</f>
        <v>11-1-5</v>
      </c>
      <c r="AX2">
        <f>COUNTIFS(DataRegularSeason20242025!$D$3:$D$1315,Table3[[#This Row],[Teams]],DataRegularSeason20242025!$K$3:$K$1315,0)</f>
        <v>0</v>
      </c>
      <c r="AY2">
        <f>SUMIF(DataRegularSeason20242025!$D$3:$D$1315,$A2, DataRegularSeason20242025!$J$3:$J$1315)</f>
        <v>39</v>
      </c>
      <c r="AZ2">
        <f>SUMIF(DataRegularSeason20242025!$D$3:$D$1315,$A2, DataRegularSeason20242025!$K$3:$K$1315)</f>
        <v>24</v>
      </c>
      <c r="BA2">
        <f>AY2-AZ2</f>
        <v>15</v>
      </c>
      <c r="BB2">
        <f>COUNTIFS(DataRegularSeason20242025!$E$3:$E$1315,Table3[[#This Row],[Teams]],DataRegularSeason20242025!$J$3:$J$1315,0)</f>
        <v>0</v>
      </c>
      <c r="BC2">
        <f>SUMIF(DataRegularSeason20242025!$E$3:$E$1315,$A2,DataRegularSeason20242025!$K$3:$K$1315)</f>
        <v>29</v>
      </c>
      <c r="BD2">
        <f>SUMIF(DataRegularSeason20242025!$E$3:$E$1315,$A2,DataRegularSeason20242025!$J$3:$J$1315)</f>
        <v>19</v>
      </c>
      <c r="BE2">
        <f>BC2-BD2</f>
        <v>10</v>
      </c>
      <c r="BF2">
        <f>AY2+BC2</f>
        <v>68</v>
      </c>
      <c r="BG2">
        <f>AZ2+BD2</f>
        <v>43</v>
      </c>
      <c r="BH2">
        <f>BF2-BG2</f>
        <v>25</v>
      </c>
      <c r="BI2" s="12">
        <f>Table3[[#This Row],[GF]]/Table3[[#This Row],[GP]]</f>
        <v>4</v>
      </c>
      <c r="BJ2" s="12">
        <f>Table3[[#This Row],[GA]]/Table3[[#This Row],[GP]]</f>
        <v>2.5294117647058822</v>
      </c>
      <c r="BK2" s="12">
        <f>(Table3[[#This Row],[GF]]-Table3[[#This Row],[GA]])/Table3[[#This Row],[GP]]</f>
        <v>1.4705882352941178</v>
      </c>
      <c r="BL2" s="42" t="str">
        <f>_xlfn.CONCAT(TEXT(Table3[[#This Row],[W_H]], "0"), "-", TEXT(Table3[[#This Row],[RL_H]],"0"), "-", TEXT(Table3[[#This Row],[OTL_H]]+Table3[[#This Row],[SOL_H]], "0"))</f>
        <v>5-0-2</v>
      </c>
      <c r="BM2" s="42" t="str">
        <f>_xlfn.CONCAT(TEXT(Table3[[#This Row],[W_A]], "0"), "-", TEXT(Table3[[#This Row],[RL_A]],"0"), "-", TEXT(Table3[[#This Row],[OTL_A]]+Table3[[#This Row],[SOL_A]], "0"))</f>
        <v>6-1-3</v>
      </c>
      <c r="BN2" s="42">
        <f>((2*(Table3[[#This Row],[W_H]]))+Table3[[#This Row],[OTL_H]]+Table3[[#This Row],[SOL_H]])/(2*Table3[[#This Row],[GP_H]])</f>
        <v>0.8571428571428571</v>
      </c>
      <c r="BO2" s="42">
        <f>((2*(Table3[[#This Row],[W_A]]))+Table3[[#This Row],[OTL_A]]+Table3[[#This Row],[SOL_A]])/(2*Table3[[#This Row],[GP_A]])</f>
        <v>0.75</v>
      </c>
      <c r="BP2" s="16">
        <f>(Table3[[#This Row],[W]]*$CX$3)+(Table3[[#This Row],[L]]*$CX$4)+(Table3[[#This Row],[GF]]*$CX$5)+(Table3[[#This Row],[GA]]*$CX$6)</f>
        <v>21.8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93.954325259515556</v>
      </c>
      <c r="BR2" s="16">
        <f>(Table3[[#This Row],[W]]*0.7) + ((Table3[[#This Row],[GF]] - Table3[[#This Row],[GA]])*0.25)+(Table3[[#This Row],[GF]]*0.1)+(Table3[[#This Row],[GA]]*0.05)+(Table3[[#This Row],[L]]*0.3)</f>
        <v>24.7</v>
      </c>
      <c r="BS2" s="16">
        <f>Table3[[#This Row],[TeamCost83]]/Table3[[#This Row],[GP]]</f>
        <v>1.4529411764705882</v>
      </c>
      <c r="BT2">
        <f>COUNTIFS(Table2[AwayTeam],$A2,Table2[PredictedWinner], $A2, Table2[GameIsOver], 1)</f>
        <v>9</v>
      </c>
      <c r="BU2">
        <f>COUNTIFS(Table2[HomeTeam],$A2,Table2[PredictedWinner], $A2, Table2[GameIsOver], 1)</f>
        <v>6</v>
      </c>
      <c r="BV2">
        <f>BT2+BU2</f>
        <v>15</v>
      </c>
      <c r="BW2">
        <f>F2-BT2</f>
        <v>1</v>
      </c>
      <c r="BX2">
        <f>H2-BU2</f>
        <v>1</v>
      </c>
      <c r="BY2">
        <f>BW2+BX2</f>
        <v>2</v>
      </c>
      <c r="BZ2">
        <f>Table3[[#This Row],[TimesPredictedWinner]]/Table3[[#This Row],[GP]]</f>
        <v>0.88235294117647056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5.9</v>
      </c>
      <c r="CJ2">
        <f>SUMIFS(Table2[GamePredictionScore], Table2[HomeTeam], Table3[[#This Row],[Teams]])</f>
        <v>3.3000000000000003</v>
      </c>
      <c r="CK2">
        <f>Table3[[#This Row],[Column4]]+Table3[[#This Row],[Column3]]</f>
        <v>9.2000000000000011</v>
      </c>
      <c r="CL2">
        <f>Table3[[#This Row],[Column5]]/Table3[[#This Row],[GP]]</f>
        <v>0.54117647058823537</v>
      </c>
      <c r="CR2" t="s">
        <v>139</v>
      </c>
      <c r="CS2">
        <f>SUM($J$2:$J$33)/2</f>
        <v>266</v>
      </c>
      <c r="CW2" t="s">
        <v>57</v>
      </c>
      <c r="CX2" s="14" t="s">
        <v>150</v>
      </c>
      <c r="CY2">
        <f>INDEX($J$2:$J$33,MATCH("CGY",$A$2:$A$33,0),1)</f>
        <v>18</v>
      </c>
    </row>
    <row r="3" spans="1:144" x14ac:dyDescent="0.25">
      <c r="A3" t="s">
        <v>44</v>
      </c>
      <c r="B3" t="s">
        <v>90</v>
      </c>
      <c r="C3" t="s">
        <v>93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12</v>
      </c>
      <c r="E3" s="10">
        <f>Table3[[#This Row],[Watched]]/Table3[[#This Row],[GP]]</f>
        <v>0.75</v>
      </c>
      <c r="F3">
        <f>COUNTIFS(DataRegularSeason20242025!$N$3:$N$1315,1,DataRegularSeason20242025!$D$3:$D$1315,$A3)</f>
        <v>10</v>
      </c>
      <c r="G3">
        <f>41-Table3[[#This Row],[GP_A]]</f>
        <v>31</v>
      </c>
      <c r="H3">
        <f>COUNTIFS(DataRegularSeason20242025!$E$3:$E$1315,$A3,DataRegularSeason20242025!$N$3:$N$1315,1)</f>
        <v>6</v>
      </c>
      <c r="I3">
        <f>41-Table3[[#This Row],[GP_H]]</f>
        <v>35</v>
      </c>
      <c r="J3">
        <f>F3+H3</f>
        <v>16</v>
      </c>
      <c r="K3">
        <f>82-Table3[[#This Row],[GP]]</f>
        <v>66</v>
      </c>
      <c r="L3">
        <f>COUNTIFS(DataRegularSeason20242025!$D$3:$D$1315,$A3, DataRegularSeason20242025!$L$3:$L$1315, $A3,DataRegularSeason20242025!$N$3:$N$1315,1)</f>
        <v>6</v>
      </c>
      <c r="M3">
        <f>COUNTIFS(DataRegularSeason20242025!$D$3:$D$1315,$A3, DataRegularSeason20242025!$L$3:$L$1315, $A3,DataRegularSeason20242025!$N$3:$N$1315,1,DataRegularSeason20242025!$M$3:$M$1315,"REG")</f>
        <v>3</v>
      </c>
      <c r="N3">
        <f>COUNTIFS(DataRegularSeason20242025!$D$3:$D$1315,$A3, DataRegularSeason20242025!$L$3:$L$1315, $A3,DataRegularSeason20242025!$N$3:$N$1315,1,DataRegularSeason20242025!$M$3:$M$1315,"OT")</f>
        <v>2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4</v>
      </c>
      <c r="Q3">
        <f>COUNTIFS(DataRegularSeason20242025!$D$3:$D$1315,$A3, DataRegularSeason20242025!$S$3:$S$1315, $A3,DataRegularSeason20242025!$M$3:$M$1315,"REG")</f>
        <v>3</v>
      </c>
      <c r="R3">
        <f>COUNTIFS(DataRegularSeason20242025!$D$3:$D$1315,$A3, DataRegularSeason20242025!$S$3:$S$1315, $A3,DataRegularSeason20242025!$M$3:$M$1315,"OT")</f>
        <v>1</v>
      </c>
      <c r="S3">
        <f>COUNTIFS(DataRegularSeason20242025!$D$3:$D$1315,$A3, DataRegularSeason20242025!$S$3:$S$1315, $A3,DataRegularSeason20242025!$M$3:$M$1315,"SO")</f>
        <v>0</v>
      </c>
      <c r="T3">
        <f>COUNTIFS(DataRegularSeason20242025!$E$3:$E$1315,$A3, DataRegularSeason20242025!$L$3:$L$1315, $A3, DataRegularSeason20242025!$N$3:$N$1315,1)</f>
        <v>5</v>
      </c>
      <c r="U3">
        <f>COUNTIFS(DataRegularSeason20242025!$E$3:$E$1315,$A3, DataRegularSeason20242025!$L$3:$L$1315, $A3,DataRegularSeason20242025!$N$3:$N$1315,1,DataRegularSeason20242025!$M$3:$M$1315,"REG")</f>
        <v>5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0</v>
      </c>
      <c r="X3">
        <f>H3-T3</f>
        <v>1</v>
      </c>
      <c r="Y3">
        <f>COUNTIFS(DataRegularSeason20242025!$E$3:$E$1315,$A3, DataRegularSeason20242025!$S$3:$S$1315, $A3,DataRegularSeason20242025!$M$3:$M$1315,"REG")</f>
        <v>1</v>
      </c>
      <c r="Z3">
        <f>COUNTIFS(DataRegularSeason20242025!$E$3:$E$1315,$A3, DataRegularSeason20242025!$S$3:$S$1315, $A3,DataRegularSeason20242025!$M$3:$M$1315,"OT")</f>
        <v>0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0.6875</v>
      </c>
      <c r="AC3">
        <f>Table3[[#This Row],[W_A]]+Table3[[#This Row],[W_H]]</f>
        <v>11</v>
      </c>
      <c r="AD3">
        <f>Table3[[#This Row],[L_A]]+Table3[[#This Row],[L_H]]</f>
        <v>5</v>
      </c>
      <c r="AE3">
        <f>Table3[[#This Row],[RW_A]]+Table3[[#This Row],[RW_H]]</f>
        <v>8</v>
      </c>
      <c r="AF3">
        <f>Table3[[#This Row],[RL_A]]+Table3[[#This Row],[RL_H]]</f>
        <v>4</v>
      </c>
      <c r="AG3">
        <f>Table3[[#This Row],[OTW_A]]+Table3[[#This Row],[OTW_H]]</f>
        <v>2</v>
      </c>
      <c r="AH3">
        <f>Table3[[#This Row],[OTL_A]]+Table3[[#This Row],[OTL_H]]</f>
        <v>1</v>
      </c>
      <c r="AI3">
        <f>Table3[[#This Row],[SOW_A]]+Table3[[#This Row],[SOW_H]]</f>
        <v>1</v>
      </c>
      <c r="AJ3">
        <f>Table3[[#This Row],[SOL_A]]+Table3[[#This Row],[SOL_H]]</f>
        <v>0</v>
      </c>
      <c r="AK3" s="15" t="str">
        <f>_xlfn.CONCAT(TEXT(Table3[[#This Row],[OTW]]+Table3[[#This Row],[SOW]], "0"), "-", TEXT(Table3[[#This Row],[OTL]]+Table3[[#This Row],[SOL]],"0"))</f>
        <v>3-1</v>
      </c>
      <c r="AL3">
        <f>SUM(Table3[[#This Row],[OTW]],Table3[[#This Row],[OTL]],Table3[[#This Row],[SOW]],Table3[[#This Row],[SOL]])</f>
        <v>4</v>
      </c>
      <c r="AM3">
        <f>(Table3[[#This Row],[OTW]]+Table3[[#This Row],[SOW]])/IF(Table3[[#This Row],[Total_ExtraTimes]]=0,1,Table3[[#This Row],[Total_ExtraTimes]])</f>
        <v>0.75</v>
      </c>
      <c r="AN3">
        <f>Table3[[#This Row],[Total_ExtraTimes]]/MAX(1,Table3[[#This Row],[GP]])</f>
        <v>0.25</v>
      </c>
      <c r="AO3">
        <f>(2*(Table3[[#This Row],[W_A]]+Table3[[#This Row],[W_H]]))+Table3[[#This Row],[OTL_A]]+Table3[[#This Row],[SOL_A]]+Table3[[#This Row],[OTL_H]]+Table3[[#This Row],[SOL_H]]</f>
        <v>23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3" s="10">
        <f>Table3[[#This Row],[PTS]]/(2*Table3[[#This Row],[GP]])</f>
        <v>0.71875</v>
      </c>
      <c r="AR3" s="10">
        <f>Table3[[#This Row],[PTS2]]/(3*Table3[[#This Row],[GP]])</f>
        <v>0.64583333333333337</v>
      </c>
      <c r="AS3">
        <f>(2*Table3[[#This Row],[GR]])+Table3[[#This Row],[PTS]]</f>
        <v>155</v>
      </c>
      <c r="AT3">
        <f>(3*Table3[[#This Row],[GR]])+Table3[[#This Row],[PTS2]]</f>
        <v>229</v>
      </c>
      <c r="AU3">
        <f>Table3[[#This Row],[PTS]]+(2 * Table3[[#This Row],[GR]] * Table3[[#This Row],[PTS%]])</f>
        <v>117.875</v>
      </c>
      <c r="AV3">
        <f>Table3[[#This Row],[PTS2]]+(3 * Table3[[#This Row],[GR]] * Table3[[#This Row],[PTS%2]])</f>
        <v>158.875</v>
      </c>
      <c r="AW3" s="15" t="str">
        <f>_xlfn.CONCAT(TEXT(Table3[[#This Row],[W]], "0"), "-", TEXT(Table3[[#This Row],[RL]],"0"), "-", TEXT(Table3[[#This Row],[OTL]]+Table3[[#This Row],[SOL]], "0"))</f>
        <v>11-4-1</v>
      </c>
      <c r="AX3">
        <f>COUNTIFS(DataRegularSeason20242025!$D$3:$D$1315,Table3[[#This Row],[Teams]],DataRegularSeason20242025!$K$3:$K$1315,0)</f>
        <v>0</v>
      </c>
      <c r="AY3">
        <f>SUMIF(DataRegularSeason20242025!$D$3:$D$1315,$A3, DataRegularSeason20242025!$J$3:$J$1315)</f>
        <v>39</v>
      </c>
      <c r="AZ3">
        <f>SUMIF(DataRegularSeason20242025!$D$3:$D$1315,$A3, DataRegularSeason20242025!$K$3:$K$1315)</f>
        <v>36</v>
      </c>
      <c r="BA3">
        <f>AY3-AZ3</f>
        <v>3</v>
      </c>
      <c r="BB3">
        <f>COUNTIFS(DataRegularSeason20242025!$E$3:$E$1315,Table3[[#This Row],[Teams]],DataRegularSeason20242025!$J$3:$J$1315,0)</f>
        <v>0</v>
      </c>
      <c r="BC3">
        <f>SUMIF(DataRegularSeason20242025!$E$3:$E$1315,$A3,DataRegularSeason20242025!$K$3:$K$1315)</f>
        <v>25</v>
      </c>
      <c r="BD3">
        <f>SUMIF(DataRegularSeason20242025!$E$3:$E$1315,$A3,DataRegularSeason20242025!$J$3:$J$1315)</f>
        <v>14</v>
      </c>
      <c r="BE3">
        <f>BC3-BD3</f>
        <v>11</v>
      </c>
      <c r="BF3">
        <f>AY3+BC3</f>
        <v>64</v>
      </c>
      <c r="BG3">
        <f>AZ3+BD3</f>
        <v>50</v>
      </c>
      <c r="BH3">
        <f>BF3-BG3</f>
        <v>14</v>
      </c>
      <c r="BI3" s="12">
        <f>Table3[[#This Row],[GF]]/Table3[[#This Row],[GP]]</f>
        <v>4</v>
      </c>
      <c r="BJ3" s="12">
        <f>Table3[[#This Row],[GA]]/Table3[[#This Row],[GP]]</f>
        <v>3.125</v>
      </c>
      <c r="BK3" s="12">
        <f>(Table3[[#This Row],[GF]]-Table3[[#This Row],[GA]])/Table3[[#This Row],[GP]]</f>
        <v>0.875</v>
      </c>
      <c r="BL3" s="42" t="str">
        <f>_xlfn.CONCAT(TEXT(Table3[[#This Row],[W_H]], "0"), "-", TEXT(Table3[[#This Row],[RL_H]],"0"), "-", TEXT(Table3[[#This Row],[OTL_H]]+Table3[[#This Row],[SOL_H]], "0"))</f>
        <v>5-1-0</v>
      </c>
      <c r="BM3" s="42" t="str">
        <f>_xlfn.CONCAT(TEXT(Table3[[#This Row],[W_A]], "0"), "-", TEXT(Table3[[#This Row],[RL_A]],"0"), "-", TEXT(Table3[[#This Row],[OTL_A]]+Table3[[#This Row],[SOL_A]], "0"))</f>
        <v>6-3-1</v>
      </c>
      <c r="BN3" s="42">
        <f>((2*(Table3[[#This Row],[W_H]]))+Table3[[#This Row],[OTL_H]]+Table3[[#This Row],[SOL_H]])/(2*Table3[[#This Row],[GP_H]])</f>
        <v>0.83333333333333337</v>
      </c>
      <c r="BO3" s="42">
        <f>((2*(Table3[[#This Row],[W_A]]))+Table3[[#This Row],[OTL_A]]+Table3[[#This Row],[SOL_A]])/(2*Table3[[#This Row],[GP_A]])</f>
        <v>0.65</v>
      </c>
      <c r="BP3" s="16">
        <f>(Table3[[#This Row],[W]]*$CX$3)+(Table3[[#This Row],[L]]*$CX$4)+(Table3[[#This Row],[GF]]*$CX$5)+(Table3[[#This Row],[GA]]*$CX$6)</f>
        <v>21.6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98.699218749999986</v>
      </c>
      <c r="BR3" s="16">
        <f>(Table3[[#This Row],[W]]*0.7) + ((Table3[[#This Row],[GF]] - Table3[[#This Row],[GA]])*0.25)+(Table3[[#This Row],[GF]]*0.1)+(Table3[[#This Row],[GA]]*0.05)+(Table3[[#This Row],[L]]*0.3)</f>
        <v>21.6</v>
      </c>
      <c r="BS3" s="16">
        <f>Table3[[#This Row],[TeamCost83]]/Table3[[#This Row],[GP]]</f>
        <v>1.35</v>
      </c>
      <c r="BT3">
        <f>COUNTIFS(Table2[AwayTeam],$A3,Table2[PredictedWinner], $A3, Table2[GameIsOver], 1)</f>
        <v>6</v>
      </c>
      <c r="BU3">
        <f>COUNTIFS(Table2[HomeTeam],$A3,Table2[PredictedWinner], $A3, Table2[GameIsOver], 1)</f>
        <v>2</v>
      </c>
      <c r="BV3">
        <f>BT3+BU3</f>
        <v>8</v>
      </c>
      <c r="BW3">
        <f>F3-BT3</f>
        <v>4</v>
      </c>
      <c r="BX3">
        <f>H3-BU3</f>
        <v>4</v>
      </c>
      <c r="BY3">
        <f>BW3+BX3</f>
        <v>8</v>
      </c>
      <c r="BZ3">
        <f>Table3[[#This Row],[TimesPredictedWinner]]/Table3[[#This Row],[GP]]</f>
        <v>0.5</v>
      </c>
      <c r="CA3" s="4"/>
      <c r="CB3">
        <v>2007</v>
      </c>
      <c r="CC3" s="1">
        <v>45750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5.2000000000000011</v>
      </c>
      <c r="CJ3">
        <f>SUMIFS(Table2[GamePredictionScore], Table2[HomeTeam], Table3[[#This Row],[Teams]])</f>
        <v>0.8</v>
      </c>
      <c r="CK3">
        <f>Table3[[#This Row],[Column4]]+Table3[[#This Row],[Column3]]</f>
        <v>6.0000000000000009</v>
      </c>
      <c r="CL3">
        <f>Table3[[#This Row],[Column5]]/Table3[[#This Row],[GP]]</f>
        <v>0.37500000000000006</v>
      </c>
      <c r="CR3" t="s">
        <v>137</v>
      </c>
      <c r="CS3">
        <f>SUM($D$2:$D$33)/2</f>
        <v>206</v>
      </c>
      <c r="CW3" t="s">
        <v>90</v>
      </c>
      <c r="CX3" s="16">
        <v>0.5</v>
      </c>
      <c r="CY3">
        <f>INDEX($AC$2:$AC$33,MATCH("CGY",$A$2:$A$33,0),1)</f>
        <v>4</v>
      </c>
      <c r="DA3" s="16">
        <f>CX3*CY3</f>
        <v>2</v>
      </c>
      <c r="DB3" s="10">
        <f>DA3/$DA$7</f>
        <v>0.11299435028248586</v>
      </c>
    </row>
    <row r="4" spans="1:144" x14ac:dyDescent="0.25">
      <c r="A4" t="s">
        <v>31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12</v>
      </c>
      <c r="E4" s="10">
        <f>Table3[[#This Row],[Watched]]/Table3[[#This Row],[GP]]</f>
        <v>0.75</v>
      </c>
      <c r="F4">
        <f>COUNTIFS(DataRegularSeason20242025!$N$3:$N$1315,1,DataRegularSeason20242025!$D$3:$D$1315,$A4)</f>
        <v>8</v>
      </c>
      <c r="G4">
        <f>41-Table3[[#This Row],[GP_A]]</f>
        <v>33</v>
      </c>
      <c r="H4">
        <f>COUNTIFS(DataRegularSeason20242025!$E$3:$E$1315,$A4,DataRegularSeason20242025!$N$3:$N$1315,1)</f>
        <v>8</v>
      </c>
      <c r="I4">
        <f>41-Table3[[#This Row],[GP_H]]</f>
        <v>33</v>
      </c>
      <c r="J4">
        <f>F4+H4</f>
        <v>16</v>
      </c>
      <c r="K4">
        <f>82-Table3[[#This Row],[GP]]</f>
        <v>66</v>
      </c>
      <c r="L4">
        <f>COUNTIFS(DataRegularSeason20242025!$D$3:$D$1315,$A4, DataRegularSeason20242025!$L$3:$L$1315, $A4,DataRegularSeason20242025!$N$3:$N$1315,1)</f>
        <v>4</v>
      </c>
      <c r="M4">
        <f>COUNTIFS(DataRegularSeason20242025!$D$3:$D$1315,$A4, DataRegularSeason20242025!$L$3:$L$1315, $A4,DataRegularSeason20242025!$N$3:$N$1315,1,DataRegularSeason20242025!$M$3:$M$1315,"REG")</f>
        <v>4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>F4-L4</f>
        <v>4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0</v>
      </c>
      <c r="T4">
        <f>COUNTIFS(DataRegularSeason20242025!$E$3:$E$1315,$A4, DataRegularSeason20242025!$L$3:$L$1315, $A4, DataRegularSeason20242025!$N$3:$N$1315,1)</f>
        <v>7</v>
      </c>
      <c r="U4">
        <f>COUNTIFS(DataRegularSeason20242025!$E$3:$E$1315,$A4, DataRegularSeason20242025!$L$3:$L$1315, $A4,DataRegularSeason20242025!$N$3:$N$1315,1,DataRegularSeason20242025!$M$3:$M$1315,"REG")</f>
        <v>4</v>
      </c>
      <c r="V4">
        <f>COUNTIFS(DataRegularSeason20242025!$E$3:$E$1315,$A4, DataRegularSeason20242025!$L$3:$L$1315, $A4,DataRegularSeason20242025!$N$3:$N$1315,1,DataRegularSeason20242025!$M$3:$M$1315,"OT")</f>
        <v>2</v>
      </c>
      <c r="W4">
        <f>COUNTIFS(DataRegularSeason20242025!$E$3:$E$1315,$A4, DataRegularSeason20242025!$L$3:$L$1315, $A4,DataRegularSeason20242025!$N$3:$N$1315,1,DataRegularSeason20242025!$M$3:$M$1315,"SO")</f>
        <v>1</v>
      </c>
      <c r="X4">
        <f>H4-T4</f>
        <v>1</v>
      </c>
      <c r="Y4">
        <f>COUNTIFS(DataRegularSeason20242025!$E$3:$E$1315,$A4, DataRegularSeason20242025!$S$3:$S$1315, $A4,DataRegularSeason20242025!$M$3:$M$1315,"REG")</f>
        <v>0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0.6875</v>
      </c>
      <c r="AC4">
        <f>Table3[[#This Row],[W_A]]+Table3[[#This Row],[W_H]]</f>
        <v>11</v>
      </c>
      <c r="AD4">
        <f>Table3[[#This Row],[L_A]]+Table3[[#This Row],[L_H]]</f>
        <v>5</v>
      </c>
      <c r="AE4">
        <f>Table3[[#This Row],[RW_A]]+Table3[[#This Row],[RW_H]]</f>
        <v>8</v>
      </c>
      <c r="AF4">
        <f>Table3[[#This Row],[RL_A]]+Table3[[#This Row],[RL_H]]</f>
        <v>4</v>
      </c>
      <c r="AG4">
        <f>Table3[[#This Row],[OTW_A]]+Table3[[#This Row],[OTW_H]]</f>
        <v>2</v>
      </c>
      <c r="AH4">
        <f>Table3[[#This Row],[OTL_A]]+Table3[[#This Row],[OTL_H]]</f>
        <v>1</v>
      </c>
      <c r="AI4">
        <f>Table3[[#This Row],[SOW_A]]+Table3[[#This Row],[SOW_H]]</f>
        <v>1</v>
      </c>
      <c r="AJ4">
        <f>Table3[[#This Row],[SOL_A]]+Table3[[#This Row],[SOL_H]]</f>
        <v>0</v>
      </c>
      <c r="AK4" s="15" t="str">
        <f>_xlfn.CONCAT(TEXT(Table3[[#This Row],[OTW]]+Table3[[#This Row],[SOW]], "0"), "-", TEXT(Table3[[#This Row],[OTL]]+Table3[[#This Row],[SOL]],"0"))</f>
        <v>3-1</v>
      </c>
      <c r="AL4">
        <f>SUM(Table3[[#This Row],[OTW]],Table3[[#This Row],[OTL]],Table3[[#This Row],[SOW]],Table3[[#This Row],[SOL]])</f>
        <v>4</v>
      </c>
      <c r="AM4">
        <f>(Table3[[#This Row],[OTW]]+Table3[[#This Row],[SOW]])/IF(Table3[[#This Row],[Total_ExtraTimes]]=0,1,Table3[[#This Row],[Total_ExtraTimes]])</f>
        <v>0.75</v>
      </c>
      <c r="AN4">
        <f>Table3[[#This Row],[Total_ExtraTimes]]/MAX(1,Table3[[#This Row],[GP]])</f>
        <v>0.25</v>
      </c>
      <c r="AO4">
        <f>(2*(Table3[[#This Row],[W_A]]+Table3[[#This Row],[W_H]]))+Table3[[#This Row],[OTL_A]]+Table3[[#This Row],[SOL_A]]+Table3[[#This Row],[OTL_H]]+Table3[[#This Row],[SOL_H]]</f>
        <v>23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4" s="10">
        <f>Table3[[#This Row],[PTS]]/(2*Table3[[#This Row],[GP]])</f>
        <v>0.71875</v>
      </c>
      <c r="AR4" s="10">
        <f>Table3[[#This Row],[PTS2]]/(3*Table3[[#This Row],[GP]])</f>
        <v>0.64583333333333337</v>
      </c>
      <c r="AS4">
        <f>(2*Table3[[#This Row],[GR]])+Table3[[#This Row],[PTS]]</f>
        <v>155</v>
      </c>
      <c r="AT4">
        <f>(3*Table3[[#This Row],[GR]])+Table3[[#This Row],[PTS2]]</f>
        <v>229</v>
      </c>
      <c r="AU4">
        <f>Table3[[#This Row],[PTS]]+(2 * Table3[[#This Row],[GR]] * Table3[[#This Row],[PTS%]])</f>
        <v>117.875</v>
      </c>
      <c r="AV4">
        <f>Table3[[#This Row],[PTS2]]+(3 * Table3[[#This Row],[GR]] * Table3[[#This Row],[PTS%2]])</f>
        <v>158.875</v>
      </c>
      <c r="AW4" s="15" t="str">
        <f>_xlfn.CONCAT(TEXT(Table3[[#This Row],[W]], "0"), "-", TEXT(Table3[[#This Row],[RL]],"0"), "-", TEXT(Table3[[#This Row],[OTL]]+Table3[[#This Row],[SOL]], "0"))</f>
        <v>11-4-1</v>
      </c>
      <c r="AX4">
        <f>COUNTIFS(DataRegularSeason20242025!$D$3:$D$1315,Table3[[#This Row],[Teams]],DataRegularSeason20242025!$K$3:$K$1315,0)</f>
        <v>0</v>
      </c>
      <c r="AY4">
        <f>SUMIF(DataRegularSeason20242025!$D$3:$D$1315,$A4, DataRegularSeason20242025!$J$3:$J$1315)</f>
        <v>28</v>
      </c>
      <c r="AZ4">
        <f>SUMIF(DataRegularSeason20242025!$D$3:$D$1315,$A4, DataRegularSeason20242025!$K$3:$K$1315)</f>
        <v>32</v>
      </c>
      <c r="BA4">
        <f>AY4-AZ4</f>
        <v>-4</v>
      </c>
      <c r="BB4">
        <f>COUNTIFS(DataRegularSeason20242025!$E$3:$E$1315,Table3[[#This Row],[Teams]],DataRegularSeason20242025!$J$3:$J$1315,0)</f>
        <v>0</v>
      </c>
      <c r="BC4">
        <f>SUMIF(DataRegularSeason20242025!$E$3:$E$1315,$A4,DataRegularSeason20242025!$K$3:$K$1315)</f>
        <v>27</v>
      </c>
      <c r="BD4">
        <f>SUMIF(DataRegularSeason20242025!$E$3:$E$1315,$A4,DataRegularSeason20242025!$J$3:$J$1315)</f>
        <v>16</v>
      </c>
      <c r="BE4">
        <f>BC4-BD4</f>
        <v>11</v>
      </c>
      <c r="BF4">
        <f>AY4+BC4</f>
        <v>55</v>
      </c>
      <c r="BG4">
        <f>AZ4+BD4</f>
        <v>48</v>
      </c>
      <c r="BH4">
        <f>BF4-BG4</f>
        <v>7</v>
      </c>
      <c r="BI4" s="12">
        <f>Table3[[#This Row],[GF]]/Table3[[#This Row],[GP]]</f>
        <v>3.4375</v>
      </c>
      <c r="BJ4" s="12">
        <f>Table3[[#This Row],[GA]]/Table3[[#This Row],[GP]]</f>
        <v>3</v>
      </c>
      <c r="BK4" s="12">
        <f>(Table3[[#This Row],[GF]]-Table3[[#This Row],[GA]])/Table3[[#This Row],[GP]]</f>
        <v>0.4375</v>
      </c>
      <c r="BL4" s="42" t="str">
        <f>_xlfn.CONCAT(TEXT(Table3[[#This Row],[W_H]], "0"), "-", TEXT(Table3[[#This Row],[RL_H]],"0"), "-", TEXT(Table3[[#This Row],[OTL_H]]+Table3[[#This Row],[SOL_H]], "0"))</f>
        <v>7-0-1</v>
      </c>
      <c r="BM4" s="42" t="str">
        <f>_xlfn.CONCAT(TEXT(Table3[[#This Row],[W_A]], "0"), "-", TEXT(Table3[[#This Row],[RL_A]],"0"), "-", TEXT(Table3[[#This Row],[OTL_A]]+Table3[[#This Row],[SOL_A]], "0"))</f>
        <v>4-4-0</v>
      </c>
      <c r="BN4" s="42">
        <f>((2*(Table3[[#This Row],[W_H]]))+Table3[[#This Row],[OTL_H]]+Table3[[#This Row],[SOL_H]])/(2*Table3[[#This Row],[GP_H]])</f>
        <v>0.9375</v>
      </c>
      <c r="BO4" s="42">
        <f>((2*(Table3[[#This Row],[W_A]]))+Table3[[#This Row],[OTL_A]]+Table3[[#This Row],[SOL_A]])/(2*Table3[[#This Row],[GP_A]])</f>
        <v>0.5</v>
      </c>
      <c r="BP4" s="16">
        <f>(Table3[[#This Row],[W]]*$CX$3)+(Table3[[#This Row],[L]]*$CX$4)+(Table3[[#This Row],[GF]]*$CX$5)+(Table3[[#This Row],[GA]]*$CX$6)</f>
        <v>20.05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89.205468749999994</v>
      </c>
      <c r="BR4" s="16">
        <f>(Table3[[#This Row],[W]]*0.7) + ((Table3[[#This Row],[GF]] - Table3[[#This Row],[GA]])*0.25)+(Table3[[#This Row],[GF]]*0.1)+(Table3[[#This Row],[GA]]*0.05)+(Table3[[#This Row],[L]]*0.3)</f>
        <v>18.850000000000001</v>
      </c>
      <c r="BS4" s="16">
        <f>Table3[[#This Row],[TeamCost83]]/Table3[[#This Row],[GP]]</f>
        <v>1.1781250000000001</v>
      </c>
      <c r="BT4">
        <f>COUNTIFS(Table2[AwayTeam],$A4,Table2[PredictedWinner], $A4, Table2[GameIsOver], 1)</f>
        <v>4</v>
      </c>
      <c r="BU4">
        <f>COUNTIFS(Table2[HomeTeam],$A4,Table2[PredictedWinner], $A4, Table2[GameIsOver], 1)</f>
        <v>8</v>
      </c>
      <c r="BV4">
        <f>BT4+BU4</f>
        <v>12</v>
      </c>
      <c r="BW4">
        <f>F4-BT4</f>
        <v>4</v>
      </c>
      <c r="BX4">
        <f>H4-BU4</f>
        <v>0</v>
      </c>
      <c r="BY4">
        <f>BW4+BX4</f>
        <v>4</v>
      </c>
      <c r="BZ4">
        <f>Table3[[#This Row],[TimesPredictedWinner]]/Table3[[#This Row],[GP]]</f>
        <v>0.75</v>
      </c>
      <c r="CB4">
        <v>2003</v>
      </c>
      <c r="CD4" s="1">
        <v>45755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3.5</v>
      </c>
      <c r="CJ4">
        <f>SUMIFS(Table2[GamePredictionScore], Table2[HomeTeam], Table3[[#This Row],[Teams]])</f>
        <v>6.1</v>
      </c>
      <c r="CK4">
        <f>Table3[[#This Row],[Column4]]+Table3[[#This Row],[Column3]]</f>
        <v>9.6</v>
      </c>
      <c r="CL4">
        <f>Table3[[#This Row],[Column5]]/Table3[[#This Row],[GP]]</f>
        <v>0.6</v>
      </c>
      <c r="CR4" t="s">
        <v>138</v>
      </c>
      <c r="CS4">
        <f>$CS$2-$CS$3</f>
        <v>60</v>
      </c>
      <c r="CW4" t="s">
        <v>119</v>
      </c>
      <c r="CX4" s="16">
        <v>0.3</v>
      </c>
      <c r="CY4">
        <f>INDEX($AD$2:$AD$33,MATCH("CGY",$A$2:$A$33,0),1)</f>
        <v>14</v>
      </c>
      <c r="DA4" s="16">
        <f>CX4*CY4</f>
        <v>4.2</v>
      </c>
      <c r="DB4" s="10">
        <f>DA4/$DA$7</f>
        <v>0.23728813559322032</v>
      </c>
    </row>
    <row r="5" spans="1:144" x14ac:dyDescent="0.25">
      <c r="A5" t="s">
        <v>18</v>
      </c>
      <c r="B5" t="s">
        <v>91</v>
      </c>
      <c r="C5" t="s">
        <v>74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15</v>
      </c>
      <c r="E5" s="10">
        <f>Table3[[#This Row],[Watched]]/Table3[[#This Row],[GP]]</f>
        <v>0.9375</v>
      </c>
      <c r="F5">
        <f>COUNTIFS(DataRegularSeason20242025!$N$3:$N$1315,1,DataRegularSeason20242025!$D$3:$D$1315,$A5)</f>
        <v>8</v>
      </c>
      <c r="G5">
        <f>41-Table3[[#This Row],[GP_A]]</f>
        <v>33</v>
      </c>
      <c r="H5">
        <f>COUNTIFS(DataRegularSeason20242025!$E$3:$E$1315,$A5,DataRegularSeason20242025!$N$3:$N$1315,1)</f>
        <v>8</v>
      </c>
      <c r="I5">
        <f>41-Table3[[#This Row],[GP_H]]</f>
        <v>33</v>
      </c>
      <c r="J5">
        <f>F5+H5</f>
        <v>16</v>
      </c>
      <c r="K5">
        <f>82-Table3[[#This Row],[GP]]</f>
        <v>66</v>
      </c>
      <c r="L5">
        <f>COUNTIFS(DataRegularSeason20242025!$D$3:$D$1315,$A5, DataRegularSeason20242025!$L$3:$L$1315, $A5,DataRegularSeason20242025!$N$3:$N$1315,1)</f>
        <v>5</v>
      </c>
      <c r="M5">
        <f>COUNTIFS(DataRegularSeason20242025!$D$3:$D$1315,$A5, DataRegularSeason20242025!$L$3:$L$1315, $A5,DataRegularSeason20242025!$N$3:$N$1315,1,DataRegularSeason20242025!$M$3:$M$1315,"REG")</f>
        <v>3</v>
      </c>
      <c r="N5">
        <f>COUNTIFS(DataRegularSeason20242025!$D$3:$D$1315,$A5, DataRegularSeason20242025!$L$3:$L$1315, $A5,DataRegularSeason20242025!$N$3:$N$1315,1,DataRegularSeason20242025!$M$3:$M$1315,"OT")</f>
        <v>2</v>
      </c>
      <c r="O5">
        <f>COUNTIFS(DataRegularSeason20242025!$D$3:$D$1315,$A5, DataRegularSeason20242025!$L$3:$L$1315, $A5,DataRegularSeason20242025!$N$3:$N$1315,1,DataRegularSeason20242025!$M$3:$M$1315,"SO")</f>
        <v>0</v>
      </c>
      <c r="P5">
        <f>F5-L5</f>
        <v>3</v>
      </c>
      <c r="Q5">
        <f>COUNTIFS(DataRegularSeason20242025!$D$3:$D$1315,$A5, DataRegularSeason20242025!$S$3:$S$1315, $A5,DataRegularSeason20242025!$M$3:$M$1315,"REG")</f>
        <v>2</v>
      </c>
      <c r="R5">
        <f>COUNTIFS(DataRegularSeason20242025!$D$3:$D$1315,$A5, DataRegularSeason20242025!$S$3:$S$1315, $A5,DataRegularSeason20242025!$M$3:$M$1315,"OT")</f>
        <v>1</v>
      </c>
      <c r="S5">
        <f>COUNTIFS(DataRegularSeason20242025!$D$3:$D$1315,$A5, DataRegularSeason20242025!$S$3:$S$1315, $A5,DataRegularSeason20242025!$M$3:$M$1315,"SO")</f>
        <v>0</v>
      </c>
      <c r="T5">
        <f>COUNTIFS(DataRegularSeason20242025!$E$3:$E$1315,$A5, DataRegularSeason20242025!$L$3:$L$1315, $A5, DataRegularSeason20242025!$N$3:$N$1315,1)</f>
        <v>5</v>
      </c>
      <c r="U5">
        <f>COUNTIFS(DataRegularSeason20242025!$E$3:$E$1315,$A5, DataRegularSeason20242025!$L$3:$L$1315, $A5,DataRegularSeason20242025!$N$3:$N$1315,1,DataRegularSeason20242025!$M$3:$M$1315,"REG")</f>
        <v>2</v>
      </c>
      <c r="V5">
        <f>COUNTIFS(DataRegularSeason20242025!$E$3:$E$1315,$A5, DataRegularSeason20242025!$L$3:$L$1315, $A5,DataRegularSeason20242025!$N$3:$N$1315,1,DataRegularSeason20242025!$M$3:$M$1315,"OT")</f>
        <v>3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>H5-T5</f>
        <v>3</v>
      </c>
      <c r="Y5">
        <f>COUNTIFS(DataRegularSeason20242025!$E$3:$E$1315,$A5, DataRegularSeason20242025!$S$3:$S$1315, $A5,DataRegularSeason20242025!$M$3:$M$1315,"REG")</f>
        <v>2</v>
      </c>
      <c r="Z5">
        <f>COUNTIFS(DataRegularSeason20242025!$E$3:$E$1315,$A5, DataRegularSeason20242025!$S$3:$S$1315, $A5,DataRegularSeason20242025!$M$3:$M$1315,"OT")</f>
        <v>0</v>
      </c>
      <c r="AA5">
        <f>COUNTIFS(DataRegularSeason20242025!$E$3:$E$1315,$A5, DataRegularSeason20242025!$S$3:$S$1315, $A5,DataRegularSeason20242025!$M$3:$M$1315,"SO")</f>
        <v>1</v>
      </c>
      <c r="AB5">
        <f>Table3[[#This Row],[W]]/MAX(1,Table3[[#This Row],[W]]+Table3[[#This Row],[L]])</f>
        <v>0.625</v>
      </c>
      <c r="AC5">
        <f>Table3[[#This Row],[W_A]]+Table3[[#This Row],[W_H]]</f>
        <v>10</v>
      </c>
      <c r="AD5">
        <f>Table3[[#This Row],[L_A]]+Table3[[#This Row],[L_H]]</f>
        <v>6</v>
      </c>
      <c r="AE5">
        <f>Table3[[#This Row],[RW_A]]+Table3[[#This Row],[RW_H]]</f>
        <v>5</v>
      </c>
      <c r="AF5">
        <f>Table3[[#This Row],[RL_A]]+Table3[[#This Row],[RL_H]]</f>
        <v>4</v>
      </c>
      <c r="AG5">
        <f>Table3[[#This Row],[OTW_A]]+Table3[[#This Row],[OTW_H]]</f>
        <v>5</v>
      </c>
      <c r="AH5">
        <f>Table3[[#This Row],[OTL_A]]+Table3[[#This Row],[OTL_H]]</f>
        <v>1</v>
      </c>
      <c r="AI5">
        <f>Table3[[#This Row],[SOW_A]]+Table3[[#This Row],[SOW_H]]</f>
        <v>0</v>
      </c>
      <c r="AJ5">
        <f>Table3[[#This Row],[SOL_A]]+Table3[[#This Row],[SOL_H]]</f>
        <v>1</v>
      </c>
      <c r="AK5" s="15" t="str">
        <f>_xlfn.CONCAT(TEXT(Table3[[#This Row],[OTW]]+Table3[[#This Row],[SOW]], "0"), "-", TEXT(Table3[[#This Row],[OTL]]+Table3[[#This Row],[SOL]],"0"))</f>
        <v>5-2</v>
      </c>
      <c r="AL5">
        <f>SUM(Table3[[#This Row],[OTW]],Table3[[#This Row],[OTL]],Table3[[#This Row],[SOW]],Table3[[#This Row],[SOL]])</f>
        <v>7</v>
      </c>
      <c r="AM5">
        <f>(Table3[[#This Row],[OTW]]+Table3[[#This Row],[SOW]])/IF(Table3[[#This Row],[Total_ExtraTimes]]=0,1,Table3[[#This Row],[Total_ExtraTimes]])</f>
        <v>0.7142857142857143</v>
      </c>
      <c r="AN5">
        <f>Table3[[#This Row],[Total_ExtraTimes]]/MAX(1,Table3[[#This Row],[GP]])</f>
        <v>0.4375</v>
      </c>
      <c r="AO5">
        <f>(2*(Table3[[#This Row],[W_A]]+Table3[[#This Row],[W_H]]))+Table3[[#This Row],[OTL_A]]+Table3[[#This Row],[SOL_A]]+Table3[[#This Row],[OTL_H]]+Table3[[#This Row],[SOL_H]]</f>
        <v>22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27</v>
      </c>
      <c r="AQ5" s="10">
        <f>Table3[[#This Row],[PTS]]/(2*Table3[[#This Row],[GP]])</f>
        <v>0.6875</v>
      </c>
      <c r="AR5" s="10">
        <f>Table3[[#This Row],[PTS2]]/(3*Table3[[#This Row],[GP]])</f>
        <v>0.5625</v>
      </c>
      <c r="AS5">
        <f>(2*Table3[[#This Row],[GR]])+Table3[[#This Row],[PTS]]</f>
        <v>154</v>
      </c>
      <c r="AT5">
        <f>(3*Table3[[#This Row],[GR]])+Table3[[#This Row],[PTS2]]</f>
        <v>225</v>
      </c>
      <c r="AU5">
        <f>Table3[[#This Row],[PTS]]+(2 * Table3[[#This Row],[GR]] * Table3[[#This Row],[PTS%]])</f>
        <v>112.75</v>
      </c>
      <c r="AV5">
        <f>Table3[[#This Row],[PTS2]]+(3 * Table3[[#This Row],[GR]] * Table3[[#This Row],[PTS%2]])</f>
        <v>138.375</v>
      </c>
      <c r="AW5" s="15" t="str">
        <f>_xlfn.CONCAT(TEXT(Table3[[#This Row],[W]], "0"), "-", TEXT(Table3[[#This Row],[RL]],"0"), "-", TEXT(Table3[[#This Row],[OTL]]+Table3[[#This Row],[SOL]], "0"))</f>
        <v>10-4-2</v>
      </c>
      <c r="AX5">
        <f>COUNTIFS(DataRegularSeason20242025!$D$3:$D$1315,Table3[[#This Row],[Teams]],DataRegularSeason20242025!$K$3:$K$1315,0)</f>
        <v>0</v>
      </c>
      <c r="AY5">
        <f>SUMIF(DataRegularSeason20242025!$D$3:$D$1315,$A5, DataRegularSeason20242025!$J$3:$J$1315)</f>
        <v>28</v>
      </c>
      <c r="AZ5">
        <f>SUMIF(DataRegularSeason20242025!$D$3:$D$1315,$A5, DataRegularSeason20242025!$K$3:$K$1315)</f>
        <v>25</v>
      </c>
      <c r="BA5">
        <f>AY5-AZ5</f>
        <v>3</v>
      </c>
      <c r="BB5">
        <f>COUNTIFS(DataRegularSeason20242025!$E$3:$E$1315,Table3[[#This Row],[Teams]],DataRegularSeason20242025!$J$3:$J$1315,0)</f>
        <v>0</v>
      </c>
      <c r="BC5">
        <f>SUMIF(DataRegularSeason20242025!$E$3:$E$1315,$A5,DataRegularSeason20242025!$K$3:$K$1315)</f>
        <v>30</v>
      </c>
      <c r="BD5">
        <f>SUMIF(DataRegularSeason20242025!$E$3:$E$1315,$A5,DataRegularSeason20242025!$J$3:$J$1315)</f>
        <v>27</v>
      </c>
      <c r="BE5">
        <f>BC5-BD5</f>
        <v>3</v>
      </c>
      <c r="BF5">
        <f>AY5+BC5</f>
        <v>58</v>
      </c>
      <c r="BG5">
        <f>AZ5+BD5</f>
        <v>52</v>
      </c>
      <c r="BH5">
        <f>BF5-BG5</f>
        <v>6</v>
      </c>
      <c r="BI5" s="12">
        <f>Table3[[#This Row],[GF]]/Table3[[#This Row],[GP]]</f>
        <v>3.625</v>
      </c>
      <c r="BJ5" s="12">
        <f>Table3[[#This Row],[GA]]/Table3[[#This Row],[GP]]</f>
        <v>3.25</v>
      </c>
      <c r="BK5" s="12">
        <f>(Table3[[#This Row],[GF]]-Table3[[#This Row],[GA]])/Table3[[#This Row],[GP]]</f>
        <v>0.375</v>
      </c>
      <c r="BL5" s="42" t="str">
        <f>_xlfn.CONCAT(TEXT(Table3[[#This Row],[W_H]], "0"), "-", TEXT(Table3[[#This Row],[RL_H]],"0"), "-", TEXT(Table3[[#This Row],[OTL_H]]+Table3[[#This Row],[SOL_H]], "0"))</f>
        <v>5-2-1</v>
      </c>
      <c r="BM5" s="42" t="str">
        <f>_xlfn.CONCAT(TEXT(Table3[[#This Row],[W_A]], "0"), "-", TEXT(Table3[[#This Row],[RL_A]],"0"), "-", TEXT(Table3[[#This Row],[OTL_A]]+Table3[[#This Row],[SOL_A]], "0"))</f>
        <v>5-2-1</v>
      </c>
      <c r="BN5" s="42">
        <f>((2*(Table3[[#This Row],[W_H]]))+Table3[[#This Row],[OTL_H]]+Table3[[#This Row],[SOL_H]])/(2*Table3[[#This Row],[GP_H]])</f>
        <v>0.6875</v>
      </c>
      <c r="BO5" s="42">
        <f>((2*(Table3[[#This Row],[W_A]]))+Table3[[#This Row],[OTL_A]]+Table3[[#This Row],[SOL_A]])/(2*Table3[[#This Row],[GP_A]])</f>
        <v>0.6875</v>
      </c>
      <c r="BP5" s="16">
        <f>(Table3[[#This Row],[W]]*$CX$3)+(Table3[[#This Row],[L]]*$CX$4)+(Table3[[#This Row],[GF]]*$CX$5)+(Table3[[#This Row],[GA]]*$CX$6)</f>
        <v>20.7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94.1796875</v>
      </c>
      <c r="BR5" s="16">
        <f>(Table3[[#This Row],[W]]*0.7) + ((Table3[[#This Row],[GF]] - Table3[[#This Row],[GA]])*0.25)+(Table3[[#This Row],[GF]]*0.1)+(Table3[[#This Row],[GA]]*0.05)+(Table3[[#This Row],[L]]*0.3)</f>
        <v>18.700000000000003</v>
      </c>
      <c r="BS5" s="16">
        <f>Table3[[#This Row],[TeamCost83]]/Table3[[#This Row],[GP]]</f>
        <v>1.1687500000000002</v>
      </c>
      <c r="BT5">
        <f>COUNTIFS(Table2[AwayTeam],$A5,Table2[PredictedWinner], $A5, Table2[GameIsOver], 1)</f>
        <v>3</v>
      </c>
      <c r="BU5">
        <f>COUNTIFS(Table2[HomeTeam],$A5,Table2[PredictedWinner], $A5, Table2[GameIsOver], 1)</f>
        <v>8</v>
      </c>
      <c r="BV5">
        <f>BT5+BU5</f>
        <v>11</v>
      </c>
      <c r="BW5">
        <f>F5-BT5</f>
        <v>5</v>
      </c>
      <c r="BX5">
        <f>H5-BU5</f>
        <v>0</v>
      </c>
      <c r="BY5">
        <f>BW5+BX5</f>
        <v>5</v>
      </c>
      <c r="BZ5">
        <f>Table3[[#This Row],[TimesPredictedWinner]]/Table3[[#This Row],[GP]]</f>
        <v>0.6875</v>
      </c>
      <c r="CB5">
        <v>1993</v>
      </c>
      <c r="CD5" s="1">
        <v>45763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5.1000000000000005</v>
      </c>
      <c r="CJ5">
        <f>SUMIFS(Table2[GamePredictionScore], Table2[HomeTeam], Table3[[#This Row],[Teams]])</f>
        <v>4.0999999999999996</v>
      </c>
      <c r="CK5">
        <f>Table3[[#This Row],[Column4]]+Table3[[#This Row],[Column3]]</f>
        <v>9.1999999999999993</v>
      </c>
      <c r="CL5">
        <f>Table3[[#This Row],[Column5]]/Table3[[#This Row],[GP]]</f>
        <v>0.57499999999999996</v>
      </c>
      <c r="CR5" t="s">
        <v>140</v>
      </c>
      <c r="CS5">
        <f>SUM($BF$2:$BF$33)</f>
        <v>1661</v>
      </c>
      <c r="CW5" t="s">
        <v>67</v>
      </c>
      <c r="CX5" s="16">
        <v>0.15</v>
      </c>
      <c r="CY5">
        <f>INDEX($BF$2:$BF$33,MATCH("CGY",$A$2:$A$33,0),1)</f>
        <v>38</v>
      </c>
      <c r="CZ5">
        <f>CY5/CY2</f>
        <v>2.1111111111111112</v>
      </c>
      <c r="DA5" s="16">
        <f>CX5*CY5</f>
        <v>5.7</v>
      </c>
      <c r="DB5" s="10">
        <f>DA5/$DA$7</f>
        <v>0.32203389830508472</v>
      </c>
    </row>
    <row r="6" spans="1:144" ht="15.75" thickBot="1" x14ac:dyDescent="0.3">
      <c r="A6" t="s">
        <v>41</v>
      </c>
      <c r="B6" t="s">
        <v>91</v>
      </c>
      <c r="C6" t="s">
        <v>92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13</v>
      </c>
      <c r="E6" s="10">
        <f>Table3[[#This Row],[Watched]]/Table3[[#This Row],[GP]]</f>
        <v>0.8125</v>
      </c>
      <c r="F6">
        <f>COUNTIFS(DataRegularSeason20242025!$N$3:$N$1315,1,DataRegularSeason20242025!$D$3:$D$1315,$A6)</f>
        <v>9</v>
      </c>
      <c r="G6">
        <f>41-Table3[[#This Row],[GP_A]]</f>
        <v>32</v>
      </c>
      <c r="H6">
        <f>COUNTIFS(DataRegularSeason20242025!$E$3:$E$1315,$A6,DataRegularSeason20242025!$N$3:$N$1315,1)</f>
        <v>7</v>
      </c>
      <c r="I6">
        <f>41-Table3[[#This Row],[GP_H]]</f>
        <v>34</v>
      </c>
      <c r="J6">
        <f>F6+H6</f>
        <v>16</v>
      </c>
      <c r="K6">
        <f>82-Table3[[#This Row],[GP]]</f>
        <v>66</v>
      </c>
      <c r="L6">
        <f>COUNTIFS(DataRegularSeason20242025!$D$3:$D$1315,$A6, DataRegularSeason20242025!$L$3:$L$1315, $A6,DataRegularSeason20242025!$N$3:$N$1315,1)</f>
        <v>6</v>
      </c>
      <c r="M6">
        <f>COUNTIFS(DataRegularSeason20242025!$D$3:$D$1315,$A6, DataRegularSeason20242025!$L$3:$L$1315, $A6,DataRegularSeason20242025!$N$3:$N$1315,1,DataRegularSeason20242025!$M$3:$M$1315,"REG")</f>
        <v>4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1</v>
      </c>
      <c r="P6">
        <f>F6-L6</f>
        <v>3</v>
      </c>
      <c r="Q6">
        <f>COUNTIFS(DataRegularSeason20242025!$D$3:$D$1315,$A6, DataRegularSeason20242025!$S$3:$S$1315, $A6,DataRegularSeason20242025!$M$3:$M$1315,"REG")</f>
        <v>3</v>
      </c>
      <c r="R6">
        <f>COUNTIFS(DataRegularSeason20242025!$D$3:$D$1315,$A6, DataRegularSeason20242025!$S$3:$S$1315, $A6,DataRegularSeason20242025!$M$3:$M$1315,"OT")</f>
        <v>0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5</v>
      </c>
      <c r="U6">
        <f>COUNTIFS(DataRegularSeason20242025!$E$3:$E$1315,$A6, DataRegularSeason20242025!$L$3:$L$1315, $A6,DataRegularSeason20242025!$N$3:$N$1315,1,DataRegularSeason20242025!$M$3:$M$1315,"REG")</f>
        <v>4</v>
      </c>
      <c r="V6">
        <f>COUNTIFS(DataRegularSeason20242025!$E$3:$E$1315,$A6, DataRegularSeason20242025!$L$3:$L$1315, $A6,DataRegularSeason20242025!$N$3:$N$1315,1,DataRegularSeason20242025!$M$3:$M$1315,"OT")</f>
        <v>1</v>
      </c>
      <c r="W6">
        <f>COUNTIFS(DataRegularSeason20242025!$E$3:$E$1315,$A6, DataRegularSeason20242025!$L$3:$L$1315, $A6,DataRegularSeason20242025!$N$3:$N$1315,1,DataRegularSeason20242025!$M$3:$M$1315,"SO")</f>
        <v>0</v>
      </c>
      <c r="X6">
        <f>H6-T6</f>
        <v>2</v>
      </c>
      <c r="Y6">
        <f>COUNTIFS(DataRegularSeason20242025!$E$3:$E$1315,$A6, DataRegularSeason20242025!$S$3:$S$1315, $A6,DataRegularSeason20242025!$M$3:$M$1315,"REG")</f>
        <v>2</v>
      </c>
      <c r="Z6">
        <f>COUNTIFS(DataRegularSeason20242025!$E$3:$E$1315,$A6, DataRegularSeason20242025!$S$3:$S$1315, $A6,DataRegularSeason20242025!$M$3:$M$1315,"OT")</f>
        <v>0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0.6875</v>
      </c>
      <c r="AC6">
        <f>Table3[[#This Row],[W_A]]+Table3[[#This Row],[W_H]]</f>
        <v>11</v>
      </c>
      <c r="AD6">
        <f>Table3[[#This Row],[L_A]]+Table3[[#This Row],[L_H]]</f>
        <v>5</v>
      </c>
      <c r="AE6">
        <f>Table3[[#This Row],[RW_A]]+Table3[[#This Row],[RW_H]]</f>
        <v>8</v>
      </c>
      <c r="AF6">
        <f>Table3[[#This Row],[RL_A]]+Table3[[#This Row],[RL_H]]</f>
        <v>5</v>
      </c>
      <c r="AG6">
        <f>Table3[[#This Row],[OTW_A]]+Table3[[#This Row],[OTW_H]]</f>
        <v>2</v>
      </c>
      <c r="AH6">
        <f>Table3[[#This Row],[OTL_A]]+Table3[[#This Row],[OTL_H]]</f>
        <v>0</v>
      </c>
      <c r="AI6">
        <f>Table3[[#This Row],[SOW_A]]+Table3[[#This Row],[SOW_H]]</f>
        <v>1</v>
      </c>
      <c r="AJ6">
        <f>Table3[[#This Row],[SOL_A]]+Table3[[#This Row],[SOL_H]]</f>
        <v>0</v>
      </c>
      <c r="AK6" s="15" t="str">
        <f>_xlfn.CONCAT(TEXT(Table3[[#This Row],[OTW]]+Table3[[#This Row],[SOW]], "0"), "-", TEXT(Table3[[#This Row],[OTL]]+Table3[[#This Row],[SOL]],"0"))</f>
        <v>3-0</v>
      </c>
      <c r="AL6">
        <f>SUM(Table3[[#This Row],[OTW]],Table3[[#This Row],[OTL]],Table3[[#This Row],[SOW]],Table3[[#This Row],[SOL]])</f>
        <v>3</v>
      </c>
      <c r="AM6">
        <f>(Table3[[#This Row],[OTW]]+Table3[[#This Row],[SOW]])/IF(Table3[[#This Row],[Total_ExtraTimes]]=0,1,Table3[[#This Row],[Total_ExtraTimes]])</f>
        <v>1</v>
      </c>
      <c r="AN6">
        <f>Table3[[#This Row],[Total_ExtraTimes]]/MAX(1,Table3[[#This Row],[GP]])</f>
        <v>0.1875</v>
      </c>
      <c r="AO6">
        <f>(2*(Table3[[#This Row],[W_A]]+Table3[[#This Row],[W_H]]))+Table3[[#This Row],[OTL_A]]+Table3[[#This Row],[SOL_A]]+Table3[[#This Row],[OTL_H]]+Table3[[#This Row],[SOL_H]]</f>
        <v>22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6" s="10">
        <f>Table3[[#This Row],[PTS]]/(2*Table3[[#This Row],[GP]])</f>
        <v>0.6875</v>
      </c>
      <c r="AR6" s="10">
        <f>Table3[[#This Row],[PTS2]]/(3*Table3[[#This Row],[GP]])</f>
        <v>0.625</v>
      </c>
      <c r="AS6">
        <f>(2*Table3[[#This Row],[GR]])+Table3[[#This Row],[PTS]]</f>
        <v>154</v>
      </c>
      <c r="AT6">
        <f>(3*Table3[[#This Row],[GR]])+Table3[[#This Row],[PTS2]]</f>
        <v>228</v>
      </c>
      <c r="AU6">
        <f>Table3[[#This Row],[PTS]]+(2 * Table3[[#This Row],[GR]] * Table3[[#This Row],[PTS%]])</f>
        <v>112.75</v>
      </c>
      <c r="AV6">
        <f>Table3[[#This Row],[PTS2]]+(3 * Table3[[#This Row],[GR]] * Table3[[#This Row],[PTS%2]])</f>
        <v>153.75</v>
      </c>
      <c r="AW6" s="15" t="str">
        <f>_xlfn.CONCAT(TEXT(Table3[[#This Row],[W]], "0"), "-", TEXT(Table3[[#This Row],[RL]],"0"), "-", TEXT(Table3[[#This Row],[OTL]]+Table3[[#This Row],[SOL]], "0"))</f>
        <v>11-5-0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30</v>
      </c>
      <c r="AZ6">
        <f>SUMIF(DataRegularSeason20242025!$D$3:$D$1315,$A6, DataRegularSeason20242025!$K$3:$K$1315)</f>
        <v>22</v>
      </c>
      <c r="BA6">
        <f>AY6-AZ6</f>
        <v>8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30</v>
      </c>
      <c r="BD6">
        <f>SUMIF(DataRegularSeason20242025!$E$3:$E$1315,$A6,DataRegularSeason20242025!$J$3:$J$1315)</f>
        <v>24</v>
      </c>
      <c r="BE6">
        <f>BC6-BD6</f>
        <v>6</v>
      </c>
      <c r="BF6">
        <f>AY6+BC6</f>
        <v>60</v>
      </c>
      <c r="BG6">
        <f>AZ6+BD6</f>
        <v>46</v>
      </c>
      <c r="BH6">
        <f>BF6-BG6</f>
        <v>14</v>
      </c>
      <c r="BI6" s="12">
        <f>Table3[[#This Row],[GF]]/Table3[[#This Row],[GP]]</f>
        <v>3.75</v>
      </c>
      <c r="BJ6" s="12">
        <f>Table3[[#This Row],[GA]]/Table3[[#This Row],[GP]]</f>
        <v>2.875</v>
      </c>
      <c r="BK6" s="12">
        <f>(Table3[[#This Row],[GF]]-Table3[[#This Row],[GA]])/Table3[[#This Row],[GP]]</f>
        <v>0.875</v>
      </c>
      <c r="BL6" s="42" t="str">
        <f>_xlfn.CONCAT(TEXT(Table3[[#This Row],[W_H]], "0"), "-", TEXT(Table3[[#This Row],[RL_H]],"0"), "-", TEXT(Table3[[#This Row],[OTL_H]]+Table3[[#This Row],[SOL_H]], "0"))</f>
        <v>5-2-0</v>
      </c>
      <c r="BM6" s="42" t="str">
        <f>_xlfn.CONCAT(TEXT(Table3[[#This Row],[W_A]], "0"), "-", TEXT(Table3[[#This Row],[RL_A]],"0"), "-", TEXT(Table3[[#This Row],[OTL_A]]+Table3[[#This Row],[SOL_A]], "0"))</f>
        <v>6-3-0</v>
      </c>
      <c r="BN6" s="42">
        <f>((2*(Table3[[#This Row],[W_H]]))+Table3[[#This Row],[OTL_H]]+Table3[[#This Row],[SOL_H]])/(2*Table3[[#This Row],[GP_H]])</f>
        <v>0.7142857142857143</v>
      </c>
      <c r="BO6" s="42">
        <f>((2*(Table3[[#This Row],[W_A]]))+Table3[[#This Row],[OTL_A]]+Table3[[#This Row],[SOL_A]])/(2*Table3[[#This Row],[GP_A]])</f>
        <v>0.66666666666666663</v>
      </c>
      <c r="BP6" s="16">
        <f>(Table3[[#This Row],[W]]*$CX$3)+(Table3[[#This Row],[L]]*$CX$4)+(Table3[[#This Row],[GF]]*$CX$5)+(Table3[[#This Row],[GA]]*$CX$6)</f>
        <v>20.6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92.542187499999997</v>
      </c>
      <c r="BR6" s="16">
        <f>(Table3[[#This Row],[W]]*0.7) + ((Table3[[#This Row],[GF]] - Table3[[#This Row],[GA]])*0.25)+(Table3[[#This Row],[GF]]*0.1)+(Table3[[#This Row],[GA]]*0.05)+(Table3[[#This Row],[L]]*0.3)</f>
        <v>21</v>
      </c>
      <c r="BS6" s="16">
        <f>Table3[[#This Row],[TeamCost83]]/Table3[[#This Row],[GP]]</f>
        <v>1.3125</v>
      </c>
      <c r="BT6">
        <f>COUNTIFS(Table2[AwayTeam],$A6,Table2[PredictedWinner], $A6, Table2[GameIsOver], 1)</f>
        <v>6</v>
      </c>
      <c r="BU6">
        <f>COUNTIFS(Table2[HomeTeam],$A6,Table2[PredictedWinner], $A6, Table2[GameIsOver], 1)</f>
        <v>7</v>
      </c>
      <c r="BV6">
        <f>BT6+BU6</f>
        <v>13</v>
      </c>
      <c r="BW6">
        <f>F6-BT6</f>
        <v>3</v>
      </c>
      <c r="BX6">
        <f>H6-BU6</f>
        <v>0</v>
      </c>
      <c r="BY6">
        <f>BW6+BX6</f>
        <v>3</v>
      </c>
      <c r="BZ6">
        <f>Table3[[#This Row],[TimesPredictedWinner]]/Table3[[#This Row],[GP]]</f>
        <v>0.8125</v>
      </c>
      <c r="CB6">
        <v>2006</v>
      </c>
      <c r="CD6" s="1">
        <v>45749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4.4000000000000004</v>
      </c>
      <c r="CJ6">
        <f>SUMIFS(Table2[GamePredictionScore], Table2[HomeTeam], Table3[[#This Row],[Teams]])</f>
        <v>4.0999999999999996</v>
      </c>
      <c r="CK6">
        <f>Table3[[#This Row],[Column4]]+Table3[[#This Row],[Column3]]</f>
        <v>8.5</v>
      </c>
      <c r="CL6">
        <f>Table3[[#This Row],[Column5]]/Table3[[#This Row],[GP]]</f>
        <v>0.53125</v>
      </c>
      <c r="CR6" t="s">
        <v>141</v>
      </c>
      <c r="CS6">
        <f>SUM($AX$2:$AX$33)+SUM($BB$2:$BB$33)</f>
        <v>18</v>
      </c>
      <c r="CW6" t="s">
        <v>68</v>
      </c>
      <c r="CX6" s="16">
        <v>0.1</v>
      </c>
      <c r="CY6">
        <f>INDEX($BG$2:$BG$33,MATCH("CGY",$A$2:$A$33,0),1)</f>
        <v>58</v>
      </c>
      <c r="CZ6">
        <f>CY6/CY2</f>
        <v>3.2222222222222223</v>
      </c>
      <c r="DA6" s="16">
        <f>CX6*CY6</f>
        <v>5.8000000000000007</v>
      </c>
      <c r="DB6" s="10">
        <f>DA6/$DA$7</f>
        <v>0.32768361581920902</v>
      </c>
    </row>
    <row r="7" spans="1:144" ht="16.5" thickTop="1" thickBot="1" x14ac:dyDescent="0.3">
      <c r="A7" t="s">
        <v>33</v>
      </c>
      <c r="B7" t="s">
        <v>90</v>
      </c>
      <c r="C7" t="s">
        <v>88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11</v>
      </c>
      <c r="E7" s="10">
        <f>Table3[[#This Row],[Watched]]/Table3[[#This Row],[GP]]</f>
        <v>0.6470588235294118</v>
      </c>
      <c r="F7">
        <f>COUNTIFS(DataRegularSeason20242025!$N$3:$N$1315,1,DataRegularSeason20242025!$D$3:$D$1315,$A7)</f>
        <v>8</v>
      </c>
      <c r="G7">
        <f>41-Table3[[#This Row],[GP_A]]</f>
        <v>33</v>
      </c>
      <c r="H7">
        <f>COUNTIFS(DataRegularSeason20242025!$E$3:$E$1315,$A7,DataRegularSeason20242025!$N$3:$N$1315,1)</f>
        <v>9</v>
      </c>
      <c r="I7">
        <f>41-Table3[[#This Row],[GP_H]]</f>
        <v>32</v>
      </c>
      <c r="J7">
        <f>F7+H7</f>
        <v>17</v>
      </c>
      <c r="K7">
        <f>82-Table3[[#This Row],[GP]]</f>
        <v>65</v>
      </c>
      <c r="L7">
        <f>COUNTIFS(DataRegularSeason20242025!$D$3:$D$1315,$A7, DataRegularSeason20242025!$L$3:$L$1315, $A7,DataRegularSeason20242025!$N$3:$N$1315,1)</f>
        <v>5</v>
      </c>
      <c r="M7">
        <f>COUNTIFS(DataRegularSeason20242025!$D$3:$D$1315,$A7, DataRegularSeason20242025!$L$3:$L$1315, $A7,DataRegularSeason20242025!$N$3:$N$1315,1,DataRegularSeason20242025!$M$3:$M$1315,"REG")</f>
        <v>3</v>
      </c>
      <c r="N7">
        <f>COUNTIFS(DataRegularSeason20242025!$D$3:$D$1315,$A7, DataRegularSeason20242025!$L$3:$L$1315, $A7,DataRegularSeason20242025!$N$3:$N$1315,1,DataRegularSeason20242025!$M$3:$M$1315,"OT")</f>
        <v>1</v>
      </c>
      <c r="O7">
        <f>COUNTIFS(DataRegularSeason20242025!$D$3:$D$1315,$A7, DataRegularSeason20242025!$L$3:$L$1315, $A7,DataRegularSeason20242025!$N$3:$N$1315,1,DataRegularSeason20242025!$M$3:$M$1315,"SO")</f>
        <v>1</v>
      </c>
      <c r="P7">
        <f>F7-L7</f>
        <v>3</v>
      </c>
      <c r="Q7">
        <f>COUNTIFS(DataRegularSeason20242025!$D$3:$D$1315,$A7, DataRegularSeason20242025!$S$3:$S$1315, $A7,DataRegularSeason20242025!$M$3:$M$1315,"REG")</f>
        <v>1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1</v>
      </c>
      <c r="T7">
        <f>COUNTIFS(DataRegularSeason20242025!$E$3:$E$1315,$A7, DataRegularSeason20242025!$L$3:$L$1315, $A7, DataRegularSeason20242025!$N$3:$N$1315,1)</f>
        <v>5</v>
      </c>
      <c r="U7">
        <f>COUNTIFS(DataRegularSeason20242025!$E$3:$E$1315,$A7, DataRegularSeason20242025!$L$3:$L$1315, $A7,DataRegularSeason20242025!$N$3:$N$1315,1,DataRegularSeason20242025!$M$3:$M$1315,"REG")</f>
        <v>4</v>
      </c>
      <c r="V7">
        <f>COUNTIFS(DataRegularSeason20242025!$E$3:$E$1315,$A7, DataRegularSeason20242025!$L$3:$L$1315, $A7,DataRegularSeason20242025!$N$3:$N$1315,1,DataRegularSeason20242025!$M$3:$M$1315,"OT")</f>
        <v>0</v>
      </c>
      <c r="W7">
        <f>COUNTIFS(DataRegularSeason20242025!$E$3:$E$1315,$A7, DataRegularSeason20242025!$L$3:$L$1315, $A7,DataRegularSeason20242025!$N$3:$N$1315,1,DataRegularSeason20242025!$M$3:$M$1315,"SO")</f>
        <v>1</v>
      </c>
      <c r="X7">
        <f>H7-T7</f>
        <v>4</v>
      </c>
      <c r="Y7">
        <f>COUNTIFS(DataRegularSeason20242025!$E$3:$E$1315,$A7, DataRegularSeason20242025!$S$3:$S$1315, $A7,DataRegularSeason20242025!$M$3:$M$1315,"REG")</f>
        <v>3</v>
      </c>
      <c r="Z7">
        <f>COUNTIFS(DataRegularSeason20242025!$E$3:$E$1315,$A7, DataRegularSeason20242025!$S$3:$S$1315, $A7,DataRegularSeason20242025!$M$3:$M$1315,"OT")</f>
        <v>1</v>
      </c>
      <c r="AA7">
        <f>COUNTIFS(DataRegularSeason20242025!$E$3:$E$1315,$A7, DataRegularSeason20242025!$S$3:$S$1315, $A7,DataRegularSeason20242025!$M$3:$M$1315,"SO")</f>
        <v>0</v>
      </c>
      <c r="AB7">
        <f>Table3[[#This Row],[W]]/MAX(1,Table3[[#This Row],[W]]+Table3[[#This Row],[L]])</f>
        <v>0.58823529411764708</v>
      </c>
      <c r="AC7">
        <f>Table3[[#This Row],[W_A]]+Table3[[#This Row],[W_H]]</f>
        <v>10</v>
      </c>
      <c r="AD7">
        <f>Table3[[#This Row],[L_A]]+Table3[[#This Row],[L_H]]</f>
        <v>7</v>
      </c>
      <c r="AE7">
        <f>Table3[[#This Row],[RW_A]]+Table3[[#This Row],[RW_H]]</f>
        <v>7</v>
      </c>
      <c r="AF7">
        <f>Table3[[#This Row],[RL_A]]+Table3[[#This Row],[RL_H]]</f>
        <v>4</v>
      </c>
      <c r="AG7">
        <f>Table3[[#This Row],[OTW_A]]+Table3[[#This Row],[OTW_H]]</f>
        <v>1</v>
      </c>
      <c r="AH7">
        <f>Table3[[#This Row],[OTL_A]]+Table3[[#This Row],[OTL_H]]</f>
        <v>2</v>
      </c>
      <c r="AI7">
        <f>Table3[[#This Row],[SOW_A]]+Table3[[#This Row],[SOW_H]]</f>
        <v>2</v>
      </c>
      <c r="AJ7">
        <f>Table3[[#This Row],[SOL_A]]+Table3[[#This Row],[SOL_H]]</f>
        <v>1</v>
      </c>
      <c r="AK7" s="15" t="str">
        <f>_xlfn.CONCAT(TEXT(Table3[[#This Row],[OTW]]+Table3[[#This Row],[SOW]], "0"), "-", TEXT(Table3[[#This Row],[OTL]]+Table3[[#This Row],[SOL]],"0"))</f>
        <v>3-3</v>
      </c>
      <c r="AL7">
        <f>SUM(Table3[[#This Row],[OTW]],Table3[[#This Row],[OTL]],Table3[[#This Row],[SOW]],Table3[[#This Row],[SOL]])</f>
        <v>6</v>
      </c>
      <c r="AM7">
        <f>(Table3[[#This Row],[OTW]]+Table3[[#This Row],[SOW]])/IF(Table3[[#This Row],[Total_ExtraTimes]]=0,1,Table3[[#This Row],[Total_ExtraTimes]])</f>
        <v>0.5</v>
      </c>
      <c r="AN7">
        <f>Table3[[#This Row],[Total_ExtraTimes]]/MAX(1,Table3[[#This Row],[GP]])</f>
        <v>0.35294117647058826</v>
      </c>
      <c r="AO7">
        <f>(2*(Table3[[#This Row],[W_A]]+Table3[[#This Row],[W_H]]))+Table3[[#This Row],[OTL_A]]+Table3[[#This Row],[SOL_A]]+Table3[[#This Row],[OTL_H]]+Table3[[#This Row],[SOL_H]]</f>
        <v>23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7" s="10">
        <f>Table3[[#This Row],[PTS]]/(2*Table3[[#This Row],[GP]])</f>
        <v>0.67647058823529416</v>
      </c>
      <c r="AR7" s="10">
        <f>Table3[[#This Row],[PTS2]]/(3*Table3[[#This Row],[GP]])</f>
        <v>0.58823529411764708</v>
      </c>
      <c r="AS7">
        <f>(2*Table3[[#This Row],[GR]])+Table3[[#This Row],[PTS]]</f>
        <v>153</v>
      </c>
      <c r="AT7">
        <f>(3*Table3[[#This Row],[GR]])+Table3[[#This Row],[PTS2]]</f>
        <v>225</v>
      </c>
      <c r="AU7">
        <f>Table3[[#This Row],[PTS]]+(2 * Table3[[#This Row],[GR]] * Table3[[#This Row],[PTS%]])</f>
        <v>110.94117647058825</v>
      </c>
      <c r="AV7">
        <f>Table3[[#This Row],[PTS2]]+(3 * Table3[[#This Row],[GR]] * Table3[[#This Row],[PTS%2]])</f>
        <v>144.70588235294116</v>
      </c>
      <c r="AW7" s="15" t="str">
        <f>_xlfn.CONCAT(TEXT(Table3[[#This Row],[W]], "0"), "-", TEXT(Table3[[#This Row],[RL]],"0"), "-", TEXT(Table3[[#This Row],[OTL]]+Table3[[#This Row],[SOL]], "0"))</f>
        <v>10-4-3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26</v>
      </c>
      <c r="AZ7">
        <f>SUMIF(DataRegularSeason20242025!$D$3:$D$1315,$A7, DataRegularSeason20242025!$K$3:$K$1315)</f>
        <v>25</v>
      </c>
      <c r="BA7">
        <f>AY7-AZ7</f>
        <v>1</v>
      </c>
      <c r="BB7">
        <f>COUNTIFS(DataRegularSeason20242025!$E$3:$E$1315,Table3[[#This Row],[Teams]],DataRegularSeason20242025!$J$3:$J$1315,0)</f>
        <v>1</v>
      </c>
      <c r="BC7">
        <f>SUMIF(DataRegularSeason20242025!$E$3:$E$1315,$A7,DataRegularSeason20242025!$K$3:$K$1315)</f>
        <v>26</v>
      </c>
      <c r="BD7">
        <f>SUMIF(DataRegularSeason20242025!$E$3:$E$1315,$A7,DataRegularSeason20242025!$J$3:$J$1315)</f>
        <v>28</v>
      </c>
      <c r="BE7">
        <f>BC7-BD7</f>
        <v>-2</v>
      </c>
      <c r="BF7">
        <f>AY7+BC7</f>
        <v>52</v>
      </c>
      <c r="BG7">
        <f>AZ7+BD7</f>
        <v>53</v>
      </c>
      <c r="BH7">
        <f>BF7-BG7</f>
        <v>-1</v>
      </c>
      <c r="BI7" s="12">
        <f>Table3[[#This Row],[GF]]/Table3[[#This Row],[GP]]</f>
        <v>3.0588235294117645</v>
      </c>
      <c r="BJ7" s="12">
        <f>Table3[[#This Row],[GA]]/Table3[[#This Row],[GP]]</f>
        <v>3.1176470588235294</v>
      </c>
      <c r="BK7" s="12">
        <f>(Table3[[#This Row],[GF]]-Table3[[#This Row],[GA]])/Table3[[#This Row],[GP]]</f>
        <v>-5.8823529411764705E-2</v>
      </c>
      <c r="BL7" s="42" t="str">
        <f>_xlfn.CONCAT(TEXT(Table3[[#This Row],[W_H]], "0"), "-", TEXT(Table3[[#This Row],[RL_H]],"0"), "-", TEXT(Table3[[#This Row],[OTL_H]]+Table3[[#This Row],[SOL_H]], "0"))</f>
        <v>5-3-1</v>
      </c>
      <c r="BM7" s="42" t="str">
        <f>_xlfn.CONCAT(TEXT(Table3[[#This Row],[W_A]], "0"), "-", TEXT(Table3[[#This Row],[RL_A]],"0"), "-", TEXT(Table3[[#This Row],[OTL_A]]+Table3[[#This Row],[SOL_A]], "0"))</f>
        <v>5-1-2</v>
      </c>
      <c r="BN7" s="42">
        <f>((2*(Table3[[#This Row],[W_H]]))+Table3[[#This Row],[OTL_H]]+Table3[[#This Row],[SOL_H]])/(2*Table3[[#This Row],[GP_H]])</f>
        <v>0.61111111111111116</v>
      </c>
      <c r="BO7" s="42">
        <f>((2*(Table3[[#This Row],[W_A]]))+Table3[[#This Row],[OTL_A]]+Table3[[#This Row],[SOL_A]])/(2*Table3[[#This Row],[GP_A]])</f>
        <v>0.75</v>
      </c>
      <c r="BP7" s="16">
        <f>(Table3[[#This Row],[W]]*$CX$3)+(Table3[[#This Row],[L]]*$CX$4)+(Table3[[#This Row],[GF]]*$CX$5)+(Table3[[#This Row],[GA]]*$CX$6)</f>
        <v>20.2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85.487889273356387</v>
      </c>
      <c r="BR7" s="16">
        <f>(Table3[[#This Row],[W]]*0.7) + ((Table3[[#This Row],[GF]] - Table3[[#This Row],[GA]])*0.25)+(Table3[[#This Row],[GF]]*0.1)+(Table3[[#This Row],[GA]]*0.05)+(Table3[[#This Row],[L]]*0.3)</f>
        <v>16.7</v>
      </c>
      <c r="BS7" s="16">
        <f>Table3[[#This Row],[TeamCost83]]/Table3[[#This Row],[GP]]</f>
        <v>0.98235294117647054</v>
      </c>
      <c r="BT7">
        <f>COUNTIFS(Table2[AwayTeam],$A7,Table2[PredictedWinner], $A7, Table2[GameIsOver], 1)</f>
        <v>5</v>
      </c>
      <c r="BU7">
        <f>COUNTIFS(Table2[HomeTeam],$A7,Table2[PredictedWinner], $A7, Table2[GameIsOver], 1)</f>
        <v>7</v>
      </c>
      <c r="BV7">
        <f>BT7+BU7</f>
        <v>12</v>
      </c>
      <c r="BW7">
        <f>F7-BT7</f>
        <v>3</v>
      </c>
      <c r="BX7">
        <f>H7-BU7</f>
        <v>2</v>
      </c>
      <c r="BY7">
        <f>BW7+BX7</f>
        <v>5</v>
      </c>
      <c r="BZ7">
        <f>Table3[[#This Row],[TimesPredictedWinner]]/Table3[[#This Row],[GP]]</f>
        <v>0.70588235294117652</v>
      </c>
      <c r="CB7">
        <v>1999</v>
      </c>
      <c r="CD7" s="1">
        <v>45745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5</v>
      </c>
      <c r="CJ7">
        <f>SUMIFS(Table2[GamePredictionScore], Table2[HomeTeam], Table3[[#This Row],[Teams]])</f>
        <v>4.3999999999999995</v>
      </c>
      <c r="CK7">
        <f>Table3[[#This Row],[Column4]]+Table3[[#This Row],[Column3]]</f>
        <v>9.3999999999999986</v>
      </c>
      <c r="CL7">
        <f>Table3[[#This Row],[Column5]]/Table3[[#This Row],[GP]]</f>
        <v>0.55294117647058816</v>
      </c>
      <c r="CR7" t="s">
        <v>142</v>
      </c>
      <c r="CS7">
        <f>SUM($AG$2:$AG$33)</f>
        <v>50</v>
      </c>
      <c r="CW7" t="s">
        <v>543</v>
      </c>
      <c r="CX7">
        <f>INDEX($AQ$2:$AQ$33,MATCH("CGY",$A$2:$A$33,0),1)</f>
        <v>0.27777777777777779</v>
      </c>
      <c r="CZ7" s="17">
        <f>(CX4+(ABS(CX3-CX4)*CX7))+(CX5*CZ5)+(CX6*CZ6)</f>
        <v>0.99444444444444446</v>
      </c>
      <c r="DA7" s="88">
        <f>SUM(DA3:DA6)</f>
        <v>17.700000000000003</v>
      </c>
    </row>
    <row r="8" spans="1:144" ht="15.75" thickTop="1" x14ac:dyDescent="0.25">
      <c r="A8" t="s">
        <v>21</v>
      </c>
      <c r="B8" t="s">
        <v>90</v>
      </c>
      <c r="C8" t="s">
        <v>88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11</v>
      </c>
      <c r="E8" s="10">
        <f>Table3[[#This Row],[Watched]]/Table3[[#This Row],[GP]]</f>
        <v>0.6875</v>
      </c>
      <c r="F8">
        <f>COUNTIFS(DataRegularSeason20242025!$N$3:$N$1315,1,DataRegularSeason20242025!$D$3:$D$1315,$A8)</f>
        <v>8</v>
      </c>
      <c r="G8">
        <f>41-Table3[[#This Row],[GP_A]]</f>
        <v>33</v>
      </c>
      <c r="H8">
        <f>COUNTIFS(DataRegularSeason20242025!$E$3:$E$1315,$A8,DataRegularSeason20242025!$N$3:$N$1315,1)</f>
        <v>8</v>
      </c>
      <c r="I8">
        <f>41-Table3[[#This Row],[GP_H]]</f>
        <v>33</v>
      </c>
      <c r="J8">
        <f>F8+H8</f>
        <v>16</v>
      </c>
      <c r="K8">
        <f>82-Table3[[#This Row],[GP]]</f>
        <v>66</v>
      </c>
      <c r="L8">
        <f>COUNTIFS(DataRegularSeason20242025!$D$3:$D$1315,$A8, DataRegularSeason20242025!$L$3:$L$1315, $A8,DataRegularSeason20242025!$N$3:$N$1315,1)</f>
        <v>5</v>
      </c>
      <c r="M8">
        <f>COUNTIFS(DataRegularSeason20242025!$D$3:$D$1315,$A8, DataRegularSeason20242025!$L$3:$L$1315, $A8,DataRegularSeason20242025!$N$3:$N$1315,1,DataRegularSeason20242025!$M$3:$M$1315,"REG")</f>
        <v>4</v>
      </c>
      <c r="N8">
        <f>COUNTIFS(DataRegularSeason20242025!$D$3:$D$1315,$A8, DataRegularSeason20242025!$L$3:$L$1315, $A8,DataRegularSeason20242025!$N$3:$N$1315,1,DataRegularSeason20242025!$M$3:$M$1315,"OT")</f>
        <v>1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>F8-L8</f>
        <v>3</v>
      </c>
      <c r="Q8">
        <f>COUNTIFS(DataRegularSeason20242025!$D$3:$D$1315,$A8, DataRegularSeason20242025!$S$3:$S$1315, $A8,DataRegularSeason20242025!$M$3:$M$1315,"REG")</f>
        <v>3</v>
      </c>
      <c r="R8">
        <f>COUNTIFS(DataRegularSeason20242025!$D$3:$D$1315,$A8, DataRegularSeason20242025!$S$3:$S$1315, $A8,DataRegularSeason20242025!$M$3:$M$1315,"OT")</f>
        <v>0</v>
      </c>
      <c r="S8">
        <f>COUNTIFS(DataRegularSeason20242025!$D$3:$D$1315,$A8, DataRegularSeason20242025!$S$3:$S$1315, $A8,DataRegularSeason20242025!$M$3:$M$1315,"SO")</f>
        <v>0</v>
      </c>
      <c r="T8">
        <f>COUNTIFS(DataRegularSeason20242025!$E$3:$E$1315,$A8, DataRegularSeason20242025!$L$3:$L$1315, $A8, DataRegularSeason20242025!$N$3:$N$1315,1)</f>
        <v>5</v>
      </c>
      <c r="U8">
        <f>COUNTIFS(DataRegularSeason20242025!$E$3:$E$1315,$A8, DataRegularSeason20242025!$L$3:$L$1315, $A8,DataRegularSeason20242025!$N$3:$N$1315,1,DataRegularSeason20242025!$M$3:$M$1315,"REG")</f>
        <v>5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>H8-T8</f>
        <v>3</v>
      </c>
      <c r="Y8">
        <f>COUNTIFS(DataRegularSeason20242025!$E$3:$E$1315,$A8, DataRegularSeason20242025!$S$3:$S$1315, $A8,DataRegularSeason20242025!$M$3:$M$1315,"REG")</f>
        <v>3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0</v>
      </c>
      <c r="AB8">
        <f>Table3[[#This Row],[W]]/MAX(1,Table3[[#This Row],[W]]+Table3[[#This Row],[L]])</f>
        <v>0.625</v>
      </c>
      <c r="AC8">
        <f>Table3[[#This Row],[W_A]]+Table3[[#This Row],[W_H]]</f>
        <v>10</v>
      </c>
      <c r="AD8">
        <f>Table3[[#This Row],[L_A]]+Table3[[#This Row],[L_H]]</f>
        <v>6</v>
      </c>
      <c r="AE8">
        <f>Table3[[#This Row],[RW_A]]+Table3[[#This Row],[RW_H]]</f>
        <v>9</v>
      </c>
      <c r="AF8">
        <f>Table3[[#This Row],[RL_A]]+Table3[[#This Row],[RL_H]]</f>
        <v>6</v>
      </c>
      <c r="AG8">
        <f>Table3[[#This Row],[OTW_A]]+Table3[[#This Row],[OTW_H]]</f>
        <v>1</v>
      </c>
      <c r="AH8">
        <f>Table3[[#This Row],[OTL_A]]+Table3[[#This Row],[OTL_H]]</f>
        <v>0</v>
      </c>
      <c r="AI8">
        <f>Table3[[#This Row],[SOW_A]]+Table3[[#This Row],[SOW_H]]</f>
        <v>0</v>
      </c>
      <c r="AJ8">
        <f>Table3[[#This Row],[SOL_A]]+Table3[[#This Row],[SOL_H]]</f>
        <v>0</v>
      </c>
      <c r="AK8" s="15" t="str">
        <f>_xlfn.CONCAT(TEXT(Table3[[#This Row],[OTW]]+Table3[[#This Row],[SOW]], "0"), "-", TEXT(Table3[[#This Row],[OTL]]+Table3[[#This Row],[SOL]],"0"))</f>
        <v>1-0</v>
      </c>
      <c r="AL8">
        <f>SUM(Table3[[#This Row],[OTW]],Table3[[#This Row],[OTL]],Table3[[#This Row],[SOW]],Table3[[#This Row],[SOL]])</f>
        <v>1</v>
      </c>
      <c r="AM8">
        <f>(Table3[[#This Row],[OTW]]+Table3[[#This Row],[SOW]])/IF(Table3[[#This Row],[Total_ExtraTimes]]=0,1,Table3[[#This Row],[Total_ExtraTimes]])</f>
        <v>1</v>
      </c>
      <c r="AN8">
        <f>Table3[[#This Row],[Total_ExtraTimes]]/MAX(1,Table3[[#This Row],[GP]])</f>
        <v>6.25E-2</v>
      </c>
      <c r="AO8">
        <f>(2*(Table3[[#This Row],[W_A]]+Table3[[#This Row],[W_H]]))+Table3[[#This Row],[OTL_A]]+Table3[[#This Row],[SOL_A]]+Table3[[#This Row],[OTL_H]]+Table3[[#This Row],[SOL_H]]</f>
        <v>20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8" s="10">
        <f>Table3[[#This Row],[PTS]]/(2*Table3[[#This Row],[GP]])</f>
        <v>0.625</v>
      </c>
      <c r="AR8" s="10">
        <f>Table3[[#This Row],[PTS2]]/(3*Table3[[#This Row],[GP]])</f>
        <v>0.60416666666666663</v>
      </c>
      <c r="AS8">
        <f>(2*Table3[[#This Row],[GR]])+Table3[[#This Row],[PTS]]</f>
        <v>152</v>
      </c>
      <c r="AT8">
        <f>(3*Table3[[#This Row],[GR]])+Table3[[#This Row],[PTS2]]</f>
        <v>227</v>
      </c>
      <c r="AU8">
        <f>Table3[[#This Row],[PTS]]+(2 * Table3[[#This Row],[GR]] * Table3[[#This Row],[PTS%]])</f>
        <v>102.5</v>
      </c>
      <c r="AV8">
        <f>Table3[[#This Row],[PTS2]]+(3 * Table3[[#This Row],[GR]] * Table3[[#This Row],[PTS%2]])</f>
        <v>148.625</v>
      </c>
      <c r="AW8" s="15" t="str">
        <f>_xlfn.CONCAT(TEXT(Table3[[#This Row],[W]], "0"), "-", TEXT(Table3[[#This Row],[RL]],"0"), "-", TEXT(Table3[[#This Row],[OTL]]+Table3[[#This Row],[SOL]], "0"))</f>
        <v>10-6-0</v>
      </c>
      <c r="AX8">
        <f>COUNTIFS(DataRegularSeason20242025!$D$3:$D$1315,Table3[[#This Row],[Teams]],DataRegularSeason20242025!$K$3:$K$1315,0)</f>
        <v>0</v>
      </c>
      <c r="AY8">
        <f>SUMIF(DataRegularSeason20242025!$D$3:$D$1315,$A8, DataRegularSeason20242025!$J$3:$J$1315)</f>
        <v>23</v>
      </c>
      <c r="AZ8">
        <f>SUMIF(DataRegularSeason20242025!$D$3:$D$1315,$A8, DataRegularSeason20242025!$K$3:$K$1315)</f>
        <v>20</v>
      </c>
      <c r="BA8">
        <f>AY8-AZ8</f>
        <v>3</v>
      </c>
      <c r="BB8">
        <f>COUNTIFS(DataRegularSeason20242025!$E$3:$E$1315,Table3[[#This Row],[Teams]],DataRegularSeason20242025!$J$3:$J$1315,0)</f>
        <v>0</v>
      </c>
      <c r="BC8">
        <f>SUMIF(DataRegularSeason20242025!$E$3:$E$1315,$A8,DataRegularSeason20242025!$K$3:$K$1315)</f>
        <v>29</v>
      </c>
      <c r="BD8">
        <f>SUMIF(DataRegularSeason20242025!$E$3:$E$1315,$A8,DataRegularSeason20242025!$J$3:$J$1315)</f>
        <v>22</v>
      </c>
      <c r="BE8">
        <f>BC8-BD8</f>
        <v>7</v>
      </c>
      <c r="BF8">
        <f>AY8+BC8</f>
        <v>52</v>
      </c>
      <c r="BG8">
        <f>AZ8+BD8</f>
        <v>42</v>
      </c>
      <c r="BH8">
        <f>BF8-BG8</f>
        <v>10</v>
      </c>
      <c r="BI8" s="12">
        <f>Table3[[#This Row],[GF]]/Table3[[#This Row],[GP]]</f>
        <v>3.25</v>
      </c>
      <c r="BJ8" s="12">
        <f>Table3[[#This Row],[GA]]/Table3[[#This Row],[GP]]</f>
        <v>2.625</v>
      </c>
      <c r="BK8" s="12">
        <f>(Table3[[#This Row],[GF]]-Table3[[#This Row],[GA]])/Table3[[#This Row],[GP]]</f>
        <v>0.625</v>
      </c>
      <c r="BL8" s="42" t="str">
        <f>_xlfn.CONCAT(TEXT(Table3[[#This Row],[W_H]], "0"), "-", TEXT(Table3[[#This Row],[RL_H]],"0"), "-", TEXT(Table3[[#This Row],[OTL_H]]+Table3[[#This Row],[SOL_H]], "0"))</f>
        <v>5-3-0</v>
      </c>
      <c r="BM8" s="42" t="str">
        <f>_xlfn.CONCAT(TEXT(Table3[[#This Row],[W_A]], "0"), "-", TEXT(Table3[[#This Row],[RL_A]],"0"), "-", TEXT(Table3[[#This Row],[OTL_A]]+Table3[[#This Row],[SOL_A]], "0"))</f>
        <v>5-3-0</v>
      </c>
      <c r="BN8" s="42">
        <f>((2*(Table3[[#This Row],[W_H]]))+Table3[[#This Row],[OTL_H]]+Table3[[#This Row],[SOL_H]])/(2*Table3[[#This Row],[GP_H]])</f>
        <v>0.625</v>
      </c>
      <c r="BO8" s="42">
        <f>((2*(Table3[[#This Row],[W_A]]))+Table3[[#This Row],[OTL_A]]+Table3[[#This Row],[SOL_A]])/(2*Table3[[#This Row],[GP_A]])</f>
        <v>0.625</v>
      </c>
      <c r="BP8" s="16">
        <f>(Table3[[#This Row],[W]]*$CX$3)+(Table3[[#This Row],[L]]*$CX$4)+(Table3[[#This Row],[GF]]*$CX$5)+(Table3[[#This Row],[GA]]*$CX$6)</f>
        <v>18.8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82.478124999999991</v>
      </c>
      <c r="BR8" s="16">
        <f>(Table3[[#This Row],[W]]*0.7) + ((Table3[[#This Row],[GF]] - Table3[[#This Row],[GA]])*0.25)+(Table3[[#This Row],[GF]]*0.1)+(Table3[[#This Row],[GA]]*0.05)+(Table3[[#This Row],[L]]*0.3)</f>
        <v>18.600000000000001</v>
      </c>
      <c r="BS8" s="16">
        <f>Table3[[#This Row],[TeamCost83]]/Table3[[#This Row],[GP]]</f>
        <v>1.1625000000000001</v>
      </c>
      <c r="BT8">
        <f>COUNTIFS(Table2[AwayTeam],$A8,Table2[PredictedWinner], $A8, Table2[GameIsOver], 1)</f>
        <v>5</v>
      </c>
      <c r="BU8">
        <f>COUNTIFS(Table2[HomeTeam],$A8,Table2[PredictedWinner], $A8, Table2[GameIsOver], 1)</f>
        <v>6</v>
      </c>
      <c r="BV8">
        <f>BT8+BU8</f>
        <v>11</v>
      </c>
      <c r="BW8">
        <f>F8-BT8</f>
        <v>3</v>
      </c>
      <c r="BX8">
        <f>H8-BU8</f>
        <v>2</v>
      </c>
      <c r="BY8">
        <f>BW8+BX8</f>
        <v>5</v>
      </c>
      <c r="BZ8">
        <f>Table3[[#This Row],[TimesPredictedWinner]]/Table3[[#This Row],[GP]]</f>
        <v>0.6875</v>
      </c>
      <c r="CD8" s="1">
        <v>45741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2.1</v>
      </c>
      <c r="CJ8">
        <f>SUMIFS(Table2[GamePredictionScore], Table2[HomeTeam], Table3[[#This Row],[Teams]])</f>
        <v>4.5000000000000009</v>
      </c>
      <c r="CK8">
        <f>Table3[[#This Row],[Column4]]+Table3[[#This Row],[Column3]]</f>
        <v>6.6000000000000014</v>
      </c>
      <c r="CL8">
        <f>Table3[[#This Row],[Column5]]/Table3[[#This Row],[GP]]</f>
        <v>0.41250000000000009</v>
      </c>
      <c r="CR8" t="s">
        <v>143</v>
      </c>
      <c r="CS8">
        <f>SUM($AI$2:$AI$33)</f>
        <v>23</v>
      </c>
      <c r="CY8" t="s">
        <v>153</v>
      </c>
      <c r="CZ8" s="17">
        <f>CZ7*82</f>
        <v>81.544444444444451</v>
      </c>
      <c r="DA8" s="16">
        <f>DA7+((82-CY2)*CZ7)</f>
        <v>81.344444444444449</v>
      </c>
    </row>
    <row r="9" spans="1:144" x14ac:dyDescent="0.25">
      <c r="A9" t="s">
        <v>20</v>
      </c>
      <c r="B9" t="s">
        <v>91</v>
      </c>
      <c r="C9" t="s">
        <v>92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14</v>
      </c>
      <c r="E9" s="10">
        <f>Table3[[#This Row],[Watched]]/Table3[[#This Row],[GP]]</f>
        <v>0.82352941176470584</v>
      </c>
      <c r="F9">
        <f>COUNTIFS(DataRegularSeason20242025!$N$3:$N$1315,1,DataRegularSeason20242025!$D$3:$D$1315,$A9)</f>
        <v>10</v>
      </c>
      <c r="G9">
        <f>41-Table3[[#This Row],[GP_A]]</f>
        <v>31</v>
      </c>
      <c r="H9">
        <f>COUNTIFS(DataRegularSeason20242025!$E$3:$E$1315,$A9,DataRegularSeason20242025!$N$3:$N$1315,1)</f>
        <v>7</v>
      </c>
      <c r="I9">
        <f>41-Table3[[#This Row],[GP_H]]</f>
        <v>34</v>
      </c>
      <c r="J9">
        <f>F9+H9</f>
        <v>17</v>
      </c>
      <c r="K9">
        <f>82-Table3[[#This Row],[GP]]</f>
        <v>65</v>
      </c>
      <c r="L9">
        <f>COUNTIFS(DataRegularSeason20242025!$D$3:$D$1315,$A9, DataRegularSeason20242025!$L$3:$L$1315, $A9,DataRegularSeason20242025!$N$3:$N$1315,1)</f>
        <v>5</v>
      </c>
      <c r="M9">
        <f>COUNTIFS(DataRegularSeason20242025!$D$3:$D$1315,$A9, DataRegularSeason20242025!$L$3:$L$1315, $A9,DataRegularSeason20242025!$N$3:$N$1315,1,DataRegularSeason20242025!$M$3:$M$1315,"REG")</f>
        <v>5</v>
      </c>
      <c r="N9">
        <f>COUNTIFS(DataRegularSeason20242025!$D$3:$D$1315,$A9, DataRegularSeason20242025!$L$3:$L$1315, $A9,DataRegularSeason20242025!$N$3:$N$1315,1,DataRegularSeason20242025!$M$3:$M$1315,"OT")</f>
        <v>0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>F9-L9</f>
        <v>5</v>
      </c>
      <c r="Q9">
        <f>COUNTIFS(DataRegularSeason20242025!$D$3:$D$1315,$A9, DataRegularSeason20242025!$S$3:$S$1315, $A9,DataRegularSeason20242025!$M$3:$M$1315,"REG")</f>
        <v>3</v>
      </c>
      <c r="R9">
        <f>COUNTIFS(DataRegularSeason20242025!$D$3:$D$1315,$A9, DataRegularSeason20242025!$S$3:$S$1315, $A9,DataRegularSeason20242025!$M$3:$M$1315,"OT")</f>
        <v>0</v>
      </c>
      <c r="S9">
        <f>COUNTIFS(DataRegularSeason20242025!$D$3:$D$1315,$A9, DataRegularSeason20242025!$S$3:$S$1315, $A9,DataRegularSeason20242025!$M$3:$M$1315,"SO")</f>
        <v>2</v>
      </c>
      <c r="T9">
        <f>COUNTIFS(DataRegularSeason20242025!$E$3:$E$1315,$A9, DataRegularSeason20242025!$L$3:$L$1315, $A9, DataRegularSeason20242025!$N$3:$N$1315,1)</f>
        <v>4</v>
      </c>
      <c r="U9">
        <f>COUNTIFS(DataRegularSeason20242025!$E$3:$E$1315,$A9, DataRegularSeason20242025!$L$3:$L$1315, $A9,DataRegularSeason20242025!$N$3:$N$1315,1,DataRegularSeason20242025!$M$3:$M$1315,"REG")</f>
        <v>4</v>
      </c>
      <c r="V9">
        <f>COUNTIFS(DataRegularSeason20242025!$E$3:$E$1315,$A9, DataRegularSeason20242025!$L$3:$L$1315, $A9,DataRegularSeason20242025!$N$3:$N$1315,1,DataRegularSeason20242025!$M$3:$M$1315,"OT")</f>
        <v>0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>H9-T9</f>
        <v>3</v>
      </c>
      <c r="Y9">
        <f>COUNTIFS(DataRegularSeason20242025!$E$3:$E$1315,$A9, DataRegularSeason20242025!$S$3:$S$1315, $A9,DataRegularSeason20242025!$M$3:$M$1315,"REG")</f>
        <v>2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1</v>
      </c>
      <c r="AB9">
        <f>Table3[[#This Row],[W]]/MAX(1,Table3[[#This Row],[W]]+Table3[[#This Row],[L]])</f>
        <v>0.52941176470588236</v>
      </c>
      <c r="AC9">
        <f>Table3[[#This Row],[W_A]]+Table3[[#This Row],[W_H]]</f>
        <v>9</v>
      </c>
      <c r="AD9">
        <f>Table3[[#This Row],[L_A]]+Table3[[#This Row],[L_H]]</f>
        <v>8</v>
      </c>
      <c r="AE9">
        <f>Table3[[#This Row],[RW_A]]+Table3[[#This Row],[RW_H]]</f>
        <v>9</v>
      </c>
      <c r="AF9">
        <f>Table3[[#This Row],[RL_A]]+Table3[[#This Row],[RL_H]]</f>
        <v>5</v>
      </c>
      <c r="AG9">
        <f>Table3[[#This Row],[OTW_A]]+Table3[[#This Row],[OTW_H]]</f>
        <v>0</v>
      </c>
      <c r="AH9">
        <f>Table3[[#This Row],[OTL_A]]+Table3[[#This Row],[OTL_H]]</f>
        <v>0</v>
      </c>
      <c r="AI9">
        <f>Table3[[#This Row],[SOW_A]]+Table3[[#This Row],[SOW_H]]</f>
        <v>0</v>
      </c>
      <c r="AJ9">
        <f>Table3[[#This Row],[SOL_A]]+Table3[[#This Row],[SOL_H]]</f>
        <v>3</v>
      </c>
      <c r="AK9" s="15" t="str">
        <f>_xlfn.CONCAT(TEXT(Table3[[#This Row],[OTW]]+Table3[[#This Row],[SOW]], "0"), "-", TEXT(Table3[[#This Row],[OTL]]+Table3[[#This Row],[SOL]],"0"))</f>
        <v>0-3</v>
      </c>
      <c r="AL9">
        <f>SUM(Table3[[#This Row],[OTW]],Table3[[#This Row],[OTL]],Table3[[#This Row],[SOW]],Table3[[#This Row],[SOL]])</f>
        <v>3</v>
      </c>
      <c r="AM9">
        <f>(Table3[[#This Row],[OTW]]+Table3[[#This Row],[SOW]])/IF(Table3[[#This Row],[Total_ExtraTimes]]=0,1,Table3[[#This Row],[Total_ExtraTimes]])</f>
        <v>0</v>
      </c>
      <c r="AN9">
        <f>Table3[[#This Row],[Total_ExtraTimes]]/MAX(1,Table3[[#This Row],[GP]])</f>
        <v>0.17647058823529413</v>
      </c>
      <c r="AO9">
        <f>(2*(Table3[[#This Row],[W_A]]+Table3[[#This Row],[W_H]]))+Table3[[#This Row],[OTL_A]]+Table3[[#This Row],[SOL_A]]+Table3[[#This Row],[OTL_H]]+Table3[[#This Row],[SOL_H]]</f>
        <v>21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9" s="10">
        <f>Table3[[#This Row],[PTS]]/(2*Table3[[#This Row],[GP]])</f>
        <v>0.61764705882352944</v>
      </c>
      <c r="AR9" s="10">
        <f>Table3[[#This Row],[PTS2]]/(3*Table3[[#This Row],[GP]])</f>
        <v>0.58823529411764708</v>
      </c>
      <c r="AS9">
        <f>(2*Table3[[#This Row],[GR]])+Table3[[#This Row],[PTS]]</f>
        <v>151</v>
      </c>
      <c r="AT9">
        <f>(3*Table3[[#This Row],[GR]])+Table3[[#This Row],[PTS2]]</f>
        <v>225</v>
      </c>
      <c r="AU9">
        <f>Table3[[#This Row],[PTS]]+(2 * Table3[[#This Row],[GR]] * Table3[[#This Row],[PTS%]])</f>
        <v>101.29411764705883</v>
      </c>
      <c r="AV9">
        <f>Table3[[#This Row],[PTS2]]+(3 * Table3[[#This Row],[GR]] * Table3[[#This Row],[PTS%2]])</f>
        <v>144.70588235294116</v>
      </c>
      <c r="AW9" s="15" t="str">
        <f>_xlfn.CONCAT(TEXT(Table3[[#This Row],[W]], "0"), "-", TEXT(Table3[[#This Row],[RL]],"0"), "-", TEXT(Table3[[#This Row],[OTL]]+Table3[[#This Row],[SOL]], "0"))</f>
        <v>9-5-3</v>
      </c>
      <c r="AX9">
        <f>COUNTIFS(DataRegularSeason20242025!$D$3:$D$1315,Table3[[#This Row],[Teams]],DataRegularSeason20242025!$K$3:$K$1315,0)</f>
        <v>2</v>
      </c>
      <c r="AY9">
        <f>SUMIF(DataRegularSeason20242025!$D$3:$D$1315,$A9, DataRegularSeason20242025!$J$3:$J$1315)</f>
        <v>30</v>
      </c>
      <c r="AZ9">
        <f>SUMIF(DataRegularSeason20242025!$D$3:$D$1315,$A9, DataRegularSeason20242025!$K$3:$K$1315)</f>
        <v>24</v>
      </c>
      <c r="BA9">
        <f>AY9-AZ9</f>
        <v>6</v>
      </c>
      <c r="BB9">
        <f>COUNTIFS(DataRegularSeason20242025!$E$3:$E$1315,Table3[[#This Row],[Teams]],DataRegularSeason20242025!$J$3:$J$1315,0)</f>
        <v>0</v>
      </c>
      <c r="BC9">
        <f>SUMIF(DataRegularSeason20242025!$E$3:$E$1315,$A9,DataRegularSeason20242025!$K$3:$K$1315)</f>
        <v>27</v>
      </c>
      <c r="BD9">
        <f>SUMIF(DataRegularSeason20242025!$E$3:$E$1315,$A9,DataRegularSeason20242025!$J$3:$J$1315)</f>
        <v>24</v>
      </c>
      <c r="BE9">
        <f>BC9-BD9</f>
        <v>3</v>
      </c>
      <c r="BF9">
        <f>AY9+BC9</f>
        <v>57</v>
      </c>
      <c r="BG9">
        <f>AZ9+BD9</f>
        <v>48</v>
      </c>
      <c r="BH9">
        <f>BF9-BG9</f>
        <v>9</v>
      </c>
      <c r="BI9" s="12">
        <f>Table3[[#This Row],[GF]]/Table3[[#This Row],[GP]]</f>
        <v>3.3529411764705883</v>
      </c>
      <c r="BJ9" s="12">
        <f>Table3[[#This Row],[GA]]/Table3[[#This Row],[GP]]</f>
        <v>2.8235294117647061</v>
      </c>
      <c r="BK9" s="12">
        <f>(Table3[[#This Row],[GF]]-Table3[[#This Row],[GA]])/Table3[[#This Row],[GP]]</f>
        <v>0.52941176470588236</v>
      </c>
      <c r="BL9" s="42" t="str">
        <f>_xlfn.CONCAT(TEXT(Table3[[#This Row],[W_H]], "0"), "-", TEXT(Table3[[#This Row],[RL_H]],"0"), "-", TEXT(Table3[[#This Row],[OTL_H]]+Table3[[#This Row],[SOL_H]], "0"))</f>
        <v>4-2-1</v>
      </c>
      <c r="BM9" s="42" t="str">
        <f>_xlfn.CONCAT(TEXT(Table3[[#This Row],[W_A]], "0"), "-", TEXT(Table3[[#This Row],[RL_A]],"0"), "-", TEXT(Table3[[#This Row],[OTL_A]]+Table3[[#This Row],[SOL_A]], "0"))</f>
        <v>5-3-2</v>
      </c>
      <c r="BN9" s="42">
        <f>((2*(Table3[[#This Row],[W_H]]))+Table3[[#This Row],[OTL_H]]+Table3[[#This Row],[SOL_H]])/(2*Table3[[#This Row],[GP_H]])</f>
        <v>0.6428571428571429</v>
      </c>
      <c r="BO9" s="42">
        <f>((2*(Table3[[#This Row],[W_A]]))+Table3[[#This Row],[OTL_A]]+Table3[[#This Row],[SOL_A]])/(2*Table3[[#This Row],[GP_A]])</f>
        <v>0.6</v>
      </c>
      <c r="BP9" s="16">
        <f>(Table3[[#This Row],[W]]*$CX$3)+(Table3[[#This Row],[L]]*$CX$4)+(Table3[[#This Row],[GF]]*$CX$5)+(Table3[[#This Row],[GA]]*$CX$6)</f>
        <v>20.25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86.687024221453285</v>
      </c>
      <c r="BR9" s="16">
        <f>(Table3[[#This Row],[W]]*0.7) + ((Table3[[#This Row],[GF]] - Table3[[#This Row],[GA]])*0.25)+(Table3[[#This Row],[GF]]*0.1)+(Table3[[#This Row],[GA]]*0.05)+(Table3[[#This Row],[L]]*0.3)</f>
        <v>19.049999999999997</v>
      </c>
      <c r="BS9" s="16">
        <f>Table3[[#This Row],[TeamCost83]]/Table3[[#This Row],[GP]]</f>
        <v>1.1205882352941174</v>
      </c>
      <c r="BT9">
        <f>COUNTIFS(Table2[AwayTeam],$A9,Table2[PredictedWinner], $A9, Table2[GameIsOver], 1)</f>
        <v>4</v>
      </c>
      <c r="BU9">
        <f>COUNTIFS(Table2[HomeTeam],$A9,Table2[PredictedWinner], $A9, Table2[GameIsOver], 1)</f>
        <v>7</v>
      </c>
      <c r="BV9">
        <f>BT9+BU9</f>
        <v>11</v>
      </c>
      <c r="BW9">
        <f>F9-BT9</f>
        <v>6</v>
      </c>
      <c r="BX9">
        <f>H9-BU9</f>
        <v>0</v>
      </c>
      <c r="BY9">
        <f>BW9+BX9</f>
        <v>6</v>
      </c>
      <c r="BZ9">
        <f>Table3[[#This Row],[TimesPredictedWinner]]/Table3[[#This Row],[GP]]</f>
        <v>0.6470588235294118</v>
      </c>
      <c r="CB9">
        <v>2017</v>
      </c>
      <c r="CC9" s="1">
        <v>45753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2.8</v>
      </c>
      <c r="CJ9">
        <f>SUMIFS(Table2[GamePredictionScore], Table2[HomeTeam], Table3[[#This Row],[Teams]])</f>
        <v>3.4000000000000004</v>
      </c>
      <c r="CK9">
        <f>Table3[[#This Row],[Column4]]+Table3[[#This Row],[Column3]]</f>
        <v>6.2</v>
      </c>
      <c r="CL9">
        <f>Table3[[#This Row],[Column5]]/Table3[[#This Row],[GP]]</f>
        <v>0.36470588235294121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0.99444444444444446</v>
      </c>
    </row>
    <row r="10" spans="1:144" x14ac:dyDescent="0.25">
      <c r="A10" t="s">
        <v>15</v>
      </c>
      <c r="B10" t="s">
        <v>91</v>
      </c>
      <c r="C10" t="s">
        <v>74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13</v>
      </c>
      <c r="E10" s="10">
        <f>Table3[[#This Row],[Watched]]/Table3[[#This Row],[GP]]</f>
        <v>0.72222222222222221</v>
      </c>
      <c r="F10">
        <f>COUNTIFS(DataRegularSeason20242025!$N$3:$N$1315,1,DataRegularSeason20242025!$D$3:$D$1315,$A10)</f>
        <v>7</v>
      </c>
      <c r="G10">
        <f>41-Table3[[#This Row],[GP_A]]</f>
        <v>34</v>
      </c>
      <c r="H10">
        <f>COUNTIFS(DataRegularSeason20242025!$E$3:$E$1315,$A10,DataRegularSeason20242025!$N$3:$N$1315,1)</f>
        <v>11</v>
      </c>
      <c r="I10">
        <f>41-Table3[[#This Row],[GP_H]]</f>
        <v>30</v>
      </c>
      <c r="J10">
        <f>F10+H10</f>
        <v>18</v>
      </c>
      <c r="K10">
        <f>82-Table3[[#This Row],[GP]]</f>
        <v>64</v>
      </c>
      <c r="L10">
        <f>COUNTIFS(DataRegularSeason20242025!$D$3:$D$1315,$A10, DataRegularSeason20242025!$L$3:$L$1315, $A10,DataRegularSeason20242025!$N$3:$N$1315,1)</f>
        <v>3</v>
      </c>
      <c r="M10">
        <f>COUNTIFS(DataRegularSeason20242025!$D$3:$D$1315,$A10, DataRegularSeason20242025!$L$3:$L$1315, $A10,DataRegularSeason20242025!$N$3:$N$1315,1,DataRegularSeason20242025!$M$3:$M$1315,"REG")</f>
        <v>2</v>
      </c>
      <c r="N10">
        <f>COUNTIFS(DataRegularSeason20242025!$D$3:$D$1315,$A10, DataRegularSeason20242025!$L$3:$L$1315, $A10,DataRegularSeason20242025!$N$3:$N$1315,1,DataRegularSeason20242025!$M$3:$M$1315,"OT")</f>
        <v>0</v>
      </c>
      <c r="O10">
        <f>COUNTIFS(DataRegularSeason20242025!$D$3:$D$1315,$A10, DataRegularSeason20242025!$L$3:$L$1315, $A10,DataRegularSeason20242025!$N$3:$N$1315,1,DataRegularSeason20242025!$M$3:$M$1315,"SO")</f>
        <v>1</v>
      </c>
      <c r="P10">
        <f>F10-L10</f>
        <v>4</v>
      </c>
      <c r="Q10">
        <f>COUNTIFS(DataRegularSeason20242025!$D$3:$D$1315,$A10, DataRegularSeason20242025!$S$3:$S$1315, $A10,DataRegularSeason20242025!$M$3:$M$1315,"REG")</f>
        <v>4</v>
      </c>
      <c r="R10">
        <f>COUNTIFS(DataRegularSeason20242025!$D$3:$D$1315,$A10, DataRegularSeason20242025!$S$3:$S$1315, $A10,DataRegularSeason20242025!$M$3:$M$1315,"OT")</f>
        <v>0</v>
      </c>
      <c r="S10">
        <f>COUNTIFS(DataRegularSeason20242025!$D$3:$D$1315,$A10, DataRegularSeason20242025!$S$3:$S$1315, $A10,DataRegularSeason20242025!$M$3:$M$1315,"SO")</f>
        <v>0</v>
      </c>
      <c r="T10">
        <f>COUNTIFS(DataRegularSeason20242025!$E$3:$E$1315,$A10, DataRegularSeason20242025!$L$3:$L$1315, $A10, DataRegularSeason20242025!$N$3:$N$1315,1)</f>
        <v>8</v>
      </c>
      <c r="U10">
        <f>COUNTIFS(DataRegularSeason20242025!$E$3:$E$1315,$A10, DataRegularSeason20242025!$L$3:$L$1315, $A10,DataRegularSeason20242025!$N$3:$N$1315,1,DataRegularSeason20242025!$M$3:$M$1315,"REG")</f>
        <v>5</v>
      </c>
      <c r="V10">
        <f>COUNTIFS(DataRegularSeason20242025!$E$3:$E$1315,$A10, DataRegularSeason20242025!$L$3:$L$1315, $A10,DataRegularSeason20242025!$N$3:$N$1315,1,DataRegularSeason20242025!$M$3:$M$1315,"OT")</f>
        <v>3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>H10-T10</f>
        <v>3</v>
      </c>
      <c r="Y10">
        <f>COUNTIFS(DataRegularSeason20242025!$E$3:$E$1315,$A10, DataRegularSeason20242025!$S$3:$S$1315, $A10,DataRegularSeason20242025!$M$3:$M$1315,"REG")</f>
        <v>3</v>
      </c>
      <c r="Z10">
        <f>COUNTIFS(DataRegularSeason20242025!$E$3:$E$1315,$A10, DataRegularSeason20242025!$S$3:$S$1315, $A10,DataRegularSeason20242025!$M$3:$M$1315,"OT")</f>
        <v>0</v>
      </c>
      <c r="AA10">
        <f>COUNTIFS(DataRegularSeason20242025!$E$3:$E$1315,$A10, DataRegularSeason20242025!$S$3:$S$1315, $A10,DataRegularSeason20242025!$M$3:$M$1315,"SO")</f>
        <v>0</v>
      </c>
      <c r="AB10">
        <f>Table3[[#This Row],[W]]/MAX(1,Table3[[#This Row],[W]]+Table3[[#This Row],[L]])</f>
        <v>0.61111111111111116</v>
      </c>
      <c r="AC10">
        <f>Table3[[#This Row],[W_A]]+Table3[[#This Row],[W_H]]</f>
        <v>11</v>
      </c>
      <c r="AD10">
        <f>Table3[[#This Row],[L_A]]+Table3[[#This Row],[L_H]]</f>
        <v>7</v>
      </c>
      <c r="AE10">
        <f>Table3[[#This Row],[RW_A]]+Table3[[#This Row],[RW_H]]</f>
        <v>7</v>
      </c>
      <c r="AF10">
        <f>Table3[[#This Row],[RL_A]]+Table3[[#This Row],[RL_H]]</f>
        <v>7</v>
      </c>
      <c r="AG10">
        <f>Table3[[#This Row],[OTW_A]]+Table3[[#This Row],[OTW_H]]</f>
        <v>3</v>
      </c>
      <c r="AH10">
        <f>Table3[[#This Row],[OTL_A]]+Table3[[#This Row],[OTL_H]]</f>
        <v>0</v>
      </c>
      <c r="AI10">
        <f>Table3[[#This Row],[SOW_A]]+Table3[[#This Row],[SOW_H]]</f>
        <v>1</v>
      </c>
      <c r="AJ10">
        <f>Table3[[#This Row],[SOL_A]]+Table3[[#This Row],[SOL_H]]</f>
        <v>0</v>
      </c>
      <c r="AK10" s="15" t="str">
        <f>_xlfn.CONCAT(TEXT(Table3[[#This Row],[OTW]]+Table3[[#This Row],[SOW]], "0"), "-", TEXT(Table3[[#This Row],[OTL]]+Table3[[#This Row],[SOL]],"0"))</f>
        <v>4-0</v>
      </c>
      <c r="AL10">
        <f>SUM(Table3[[#This Row],[OTW]],Table3[[#This Row],[OTL]],Table3[[#This Row],[SOW]],Table3[[#This Row],[SOL]])</f>
        <v>4</v>
      </c>
      <c r="AM10">
        <f>(Table3[[#This Row],[OTW]]+Table3[[#This Row],[SOW]])/IF(Table3[[#This Row],[Total_ExtraTimes]]=0,1,Table3[[#This Row],[Total_ExtraTimes]])</f>
        <v>1</v>
      </c>
      <c r="AN10">
        <f>Table3[[#This Row],[Total_ExtraTimes]]/MAX(1,Table3[[#This Row],[GP]])</f>
        <v>0.22222222222222221</v>
      </c>
      <c r="AO10">
        <f>(2*(Table3[[#This Row],[W_A]]+Table3[[#This Row],[W_H]]))+Table3[[#This Row],[OTL_A]]+Table3[[#This Row],[SOL_A]]+Table3[[#This Row],[OTL_H]]+Table3[[#This Row],[SOL_H]]</f>
        <v>22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10" s="10">
        <f>Table3[[#This Row],[PTS]]/(2*Table3[[#This Row],[GP]])</f>
        <v>0.61111111111111116</v>
      </c>
      <c r="AR10" s="10">
        <f>Table3[[#This Row],[PTS2]]/(3*Table3[[#This Row],[GP]])</f>
        <v>0.53703703703703709</v>
      </c>
      <c r="AS10">
        <f>(2*Table3[[#This Row],[GR]])+Table3[[#This Row],[PTS]]</f>
        <v>150</v>
      </c>
      <c r="AT10">
        <f>(3*Table3[[#This Row],[GR]])+Table3[[#This Row],[PTS2]]</f>
        <v>221</v>
      </c>
      <c r="AU10">
        <f>Table3[[#This Row],[PTS]]+(2 * Table3[[#This Row],[GR]] * Table3[[#This Row],[PTS%]])</f>
        <v>100.22222222222223</v>
      </c>
      <c r="AV10">
        <f>Table3[[#This Row],[PTS2]]+(3 * Table3[[#This Row],[GR]] * Table3[[#This Row],[PTS%2]])</f>
        <v>132.11111111111111</v>
      </c>
      <c r="AW10" s="15" t="str">
        <f>_xlfn.CONCAT(TEXT(Table3[[#This Row],[W]], "0"), "-", TEXT(Table3[[#This Row],[RL]],"0"), "-", TEXT(Table3[[#This Row],[OTL]]+Table3[[#This Row],[SOL]], "0"))</f>
        <v>11-7-0</v>
      </c>
      <c r="AX10">
        <f>COUNTIFS(DataRegularSeason20242025!$D$3:$D$1315,Table3[[#This Row],[Teams]],DataRegularSeason20242025!$K$3:$K$1315,0)</f>
        <v>0</v>
      </c>
      <c r="AY10">
        <f>SUMIF(DataRegularSeason20242025!$D$3:$D$1315,$A10, DataRegularSeason20242025!$J$3:$J$1315)</f>
        <v>22</v>
      </c>
      <c r="AZ10">
        <f>SUMIF(DataRegularSeason20242025!$D$3:$D$1315,$A10, DataRegularSeason20242025!$K$3:$K$1315)</f>
        <v>27</v>
      </c>
      <c r="BA10">
        <f>AY10-AZ10</f>
        <v>-5</v>
      </c>
      <c r="BB10">
        <f>COUNTIFS(DataRegularSeason20242025!$E$3:$E$1315,Table3[[#This Row],[Teams]],DataRegularSeason20242025!$J$3:$J$1315,0)</f>
        <v>0</v>
      </c>
      <c r="BC10">
        <f>SUMIF(DataRegularSeason20242025!$E$3:$E$1315,$A10,DataRegularSeason20242025!$K$3:$K$1315)</f>
        <v>40</v>
      </c>
      <c r="BD10">
        <f>SUMIF(DataRegularSeason20242025!$E$3:$E$1315,$A10,DataRegularSeason20242025!$J$3:$J$1315)</f>
        <v>32</v>
      </c>
      <c r="BE10">
        <f>BC10-BD10</f>
        <v>8</v>
      </c>
      <c r="BF10">
        <f>AY10+BC10</f>
        <v>62</v>
      </c>
      <c r="BG10">
        <f>AZ10+BD10</f>
        <v>59</v>
      </c>
      <c r="BH10">
        <f>BF10-BG10</f>
        <v>3</v>
      </c>
      <c r="BI10" s="12">
        <f>Table3[[#This Row],[GF]]/Table3[[#This Row],[GP]]</f>
        <v>3.4444444444444446</v>
      </c>
      <c r="BJ10" s="12">
        <f>Table3[[#This Row],[GA]]/Table3[[#This Row],[GP]]</f>
        <v>3.2777777777777777</v>
      </c>
      <c r="BK10" s="12">
        <f>(Table3[[#This Row],[GF]]-Table3[[#This Row],[GA]])/Table3[[#This Row],[GP]]</f>
        <v>0.16666666666666666</v>
      </c>
      <c r="BL10" s="42" t="str">
        <f>_xlfn.CONCAT(TEXT(Table3[[#This Row],[W_H]], "0"), "-", TEXT(Table3[[#This Row],[RL_H]],"0"), "-", TEXT(Table3[[#This Row],[OTL_H]]+Table3[[#This Row],[SOL_H]], "0"))</f>
        <v>8-3-0</v>
      </c>
      <c r="BM10" s="42" t="str">
        <f>_xlfn.CONCAT(TEXT(Table3[[#This Row],[W_A]], "0"), "-", TEXT(Table3[[#This Row],[RL_A]],"0"), "-", TEXT(Table3[[#This Row],[OTL_A]]+Table3[[#This Row],[SOL_A]], "0"))</f>
        <v>3-4-0</v>
      </c>
      <c r="BN10" s="42">
        <f>((2*(Table3[[#This Row],[W_H]]))+Table3[[#This Row],[OTL_H]]+Table3[[#This Row],[SOL_H]])/(2*Table3[[#This Row],[GP_H]])</f>
        <v>0.72727272727272729</v>
      </c>
      <c r="BO10" s="42">
        <f>((2*(Table3[[#This Row],[W_A]]))+Table3[[#This Row],[OTL_A]]+Table3[[#This Row],[SOL_A]])/(2*Table3[[#This Row],[GP_A]])</f>
        <v>0.42857142857142855</v>
      </c>
      <c r="BP10" s="16">
        <f>(Table3[[#This Row],[W]]*$CX$3)+(Table3[[#This Row],[L]]*$CX$4)+(Table3[[#This Row],[GF]]*$CX$5)+(Table3[[#This Row],[GA]]*$CX$6)</f>
        <v>22.799999999999997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93.967901234567904</v>
      </c>
      <c r="BR10" s="16">
        <f>(Table3[[#This Row],[W]]*0.7) + ((Table3[[#This Row],[GF]] - Table3[[#This Row],[GA]])*0.25)+(Table3[[#This Row],[GF]]*0.1)+(Table3[[#This Row],[GA]]*0.05)+(Table3[[#This Row],[L]]*0.3)</f>
        <v>19.7</v>
      </c>
      <c r="BS10" s="16">
        <f>Table3[[#This Row],[TeamCost83]]/Table3[[#This Row],[GP]]</f>
        <v>1.0944444444444443</v>
      </c>
      <c r="BT10">
        <f>COUNTIFS(Table2[AwayTeam],$A10,Table2[PredictedWinner], $A10, Table2[GameIsOver], 1)</f>
        <v>1</v>
      </c>
      <c r="BU10">
        <f>COUNTIFS(Table2[HomeTeam],$A10,Table2[PredictedWinner], $A10, Table2[GameIsOver], 1)</f>
        <v>6</v>
      </c>
      <c r="BV10">
        <f>BT10+BU10</f>
        <v>7</v>
      </c>
      <c r="BW10">
        <f>F10-BT10</f>
        <v>6</v>
      </c>
      <c r="BX10">
        <f>H10-BU10</f>
        <v>5</v>
      </c>
      <c r="BY10">
        <f>BW10+BX10</f>
        <v>11</v>
      </c>
      <c r="BZ10">
        <f>Table3[[#This Row],[TimesPredictedWinner]]/Table3[[#This Row],[GP]]</f>
        <v>0.3888888888888889</v>
      </c>
      <c r="CB10">
        <v>2011</v>
      </c>
      <c r="CC10" s="1">
        <v>45752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2.5</v>
      </c>
      <c r="CJ10">
        <f>SUMIFS(Table2[GamePredictionScore], Table2[HomeTeam], Table3[[#This Row],[Teams]])</f>
        <v>6.1</v>
      </c>
      <c r="CK10">
        <f>Table3[[#This Row],[Column4]]+Table3[[#This Row],[Column3]]</f>
        <v>8.6</v>
      </c>
      <c r="CL10">
        <f>Table3[[#This Row],[Column5]]/Table3[[#This Row],[GP]]</f>
        <v>0.47777777777777775</v>
      </c>
      <c r="CR10" t="s">
        <v>147</v>
      </c>
      <c r="CS10" s="1">
        <f>_xlfn.MAXIFS(DataRegularSeason20242025!$B$3:$B$1315,DataRegularSeason20242025!$N$3:$N$1315,1)</f>
        <v>45973</v>
      </c>
      <c r="CW10" t="s">
        <v>153</v>
      </c>
      <c r="CX10" s="16">
        <f>CW9*82</f>
        <v>81.544444444444451</v>
      </c>
    </row>
    <row r="11" spans="1:144" x14ac:dyDescent="0.25">
      <c r="A11" t="s">
        <v>42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10</v>
      </c>
      <c r="E11" s="10">
        <f>Table3[[#This Row],[Watched]]/Table3[[#This Row],[GP]]</f>
        <v>0.625</v>
      </c>
      <c r="F11">
        <f>COUNTIFS(DataRegularSeason20242025!$N$3:$N$1315,1,DataRegularSeason20242025!$D$3:$D$1315,$A11)</f>
        <v>5</v>
      </c>
      <c r="G11">
        <f>41-Table3[[#This Row],[GP_A]]</f>
        <v>36</v>
      </c>
      <c r="H11">
        <f>COUNTIFS(DataRegularSeason20242025!$E$3:$E$1315,$A11,DataRegularSeason20242025!$N$3:$N$1315,1)</f>
        <v>11</v>
      </c>
      <c r="I11">
        <f>41-Table3[[#This Row],[GP_H]]</f>
        <v>30</v>
      </c>
      <c r="J11">
        <f>F11+H11</f>
        <v>16</v>
      </c>
      <c r="K11">
        <f>82-Table3[[#This Row],[GP]]</f>
        <v>66</v>
      </c>
      <c r="L11">
        <f>COUNTIFS(DataRegularSeason20242025!$D$3:$D$1315,$A11, DataRegularSeason20242025!$L$3:$L$1315, $A11,DataRegularSeason20242025!$N$3:$N$1315,1)</f>
        <v>2</v>
      </c>
      <c r="M11">
        <f>COUNTIFS(DataRegularSeason20242025!$D$3:$D$1315,$A11, DataRegularSeason20242025!$L$3:$L$1315, $A11,DataRegularSeason20242025!$N$3:$N$1315,1,DataRegularSeason20242025!$M$3:$M$1315,"REG")</f>
        <v>1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1</v>
      </c>
      <c r="P11">
        <f>F11-L11</f>
        <v>3</v>
      </c>
      <c r="Q11">
        <f>COUNTIFS(DataRegularSeason20242025!$D$3:$D$1315,$A11, DataRegularSeason20242025!$S$3:$S$1315, $A11,DataRegularSeason20242025!$M$3:$M$1315,"REG")</f>
        <v>2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0</v>
      </c>
      <c r="T11">
        <f>COUNTIFS(DataRegularSeason20242025!$E$3:$E$1315,$A11, DataRegularSeason20242025!$L$3:$L$1315, $A11, DataRegularSeason20242025!$N$3:$N$1315,1)</f>
        <v>6</v>
      </c>
      <c r="U11">
        <f>COUNTIFS(DataRegularSeason20242025!$E$3:$E$1315,$A11, DataRegularSeason20242025!$L$3:$L$1315, $A11,DataRegularSeason20242025!$N$3:$N$1315,1,DataRegularSeason20242025!$M$3:$M$1315,"REG")</f>
        <v>3</v>
      </c>
      <c r="V11">
        <f>COUNTIFS(DataRegularSeason20242025!$E$3:$E$1315,$A11, DataRegularSeason20242025!$L$3:$L$1315, $A11,DataRegularSeason20242025!$N$3:$N$1315,1,DataRegularSeason20242025!$M$3:$M$1315,"OT")</f>
        <v>1</v>
      </c>
      <c r="W11">
        <f>COUNTIFS(DataRegularSeason20242025!$E$3:$E$1315,$A11, DataRegularSeason20242025!$L$3:$L$1315, $A11,DataRegularSeason20242025!$N$3:$N$1315,1,DataRegularSeason20242025!$M$3:$M$1315,"SO")</f>
        <v>2</v>
      </c>
      <c r="X11">
        <f>H11-T11</f>
        <v>5</v>
      </c>
      <c r="Y11">
        <f>COUNTIFS(DataRegularSeason20242025!$E$3:$E$1315,$A11, DataRegularSeason20242025!$S$3:$S$1315, $A11,DataRegularSeason20242025!$M$3:$M$1315,"REG")</f>
        <v>3</v>
      </c>
      <c r="Z11">
        <f>COUNTIFS(DataRegularSeason20242025!$E$3:$E$1315,$A11, DataRegularSeason20242025!$S$3:$S$1315, $A11,DataRegularSeason20242025!$M$3:$M$1315,"OT")</f>
        <v>2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0.5</v>
      </c>
      <c r="AC11">
        <f>Table3[[#This Row],[W_A]]+Table3[[#This Row],[W_H]]</f>
        <v>8</v>
      </c>
      <c r="AD11">
        <f>Table3[[#This Row],[L_A]]+Table3[[#This Row],[L_H]]</f>
        <v>8</v>
      </c>
      <c r="AE11">
        <f>Table3[[#This Row],[RW_A]]+Table3[[#This Row],[RW_H]]</f>
        <v>4</v>
      </c>
      <c r="AF11">
        <f>Table3[[#This Row],[RL_A]]+Table3[[#This Row],[RL_H]]</f>
        <v>5</v>
      </c>
      <c r="AG11">
        <f>Table3[[#This Row],[OTW_A]]+Table3[[#This Row],[OTW_H]]</f>
        <v>1</v>
      </c>
      <c r="AH11">
        <f>Table3[[#This Row],[OTL_A]]+Table3[[#This Row],[OTL_H]]</f>
        <v>3</v>
      </c>
      <c r="AI11">
        <f>Table3[[#This Row],[SOW_A]]+Table3[[#This Row],[SOW_H]]</f>
        <v>3</v>
      </c>
      <c r="AJ11">
        <f>Table3[[#This Row],[SOL_A]]+Table3[[#This Row],[SOL_H]]</f>
        <v>0</v>
      </c>
      <c r="AK11" s="15" t="str">
        <f>_xlfn.CONCAT(TEXT(Table3[[#This Row],[OTW]]+Table3[[#This Row],[SOW]], "0"), "-", TEXT(Table3[[#This Row],[OTL]]+Table3[[#This Row],[SOL]],"0"))</f>
        <v>4-3</v>
      </c>
      <c r="AL11">
        <f>SUM(Table3[[#This Row],[OTW]],Table3[[#This Row],[OTL]],Table3[[#This Row],[SOW]],Table3[[#This Row],[SOL]])</f>
        <v>7</v>
      </c>
      <c r="AM11">
        <f>(Table3[[#This Row],[OTW]]+Table3[[#This Row],[SOW]])/IF(Table3[[#This Row],[Total_ExtraTimes]]=0,1,Table3[[#This Row],[Total_ExtraTimes]])</f>
        <v>0.5714285714285714</v>
      </c>
      <c r="AN11">
        <f>Table3[[#This Row],[Total_ExtraTimes]]/MAX(1,Table3[[#This Row],[GP]])</f>
        <v>0.4375</v>
      </c>
      <c r="AO11">
        <f>(2*(Table3[[#This Row],[W_A]]+Table3[[#This Row],[W_H]]))+Table3[[#This Row],[OTL_A]]+Table3[[#This Row],[SOL_A]]+Table3[[#This Row],[OTL_H]]+Table3[[#This Row],[SOL_H]]</f>
        <v>19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11" s="10">
        <f>Table3[[#This Row],[PTS]]/(2*Table3[[#This Row],[GP]])</f>
        <v>0.59375</v>
      </c>
      <c r="AR11" s="10">
        <f>Table3[[#This Row],[PTS2]]/(3*Table3[[#This Row],[GP]])</f>
        <v>0.47916666666666669</v>
      </c>
      <c r="AS11">
        <f>(2*Table3[[#This Row],[GR]])+Table3[[#This Row],[PTS]]</f>
        <v>151</v>
      </c>
      <c r="AT11">
        <f>(3*Table3[[#This Row],[GR]])+Table3[[#This Row],[PTS2]]</f>
        <v>221</v>
      </c>
      <c r="AU11">
        <f>Table3[[#This Row],[PTS]]+(2 * Table3[[#This Row],[GR]] * Table3[[#This Row],[PTS%]])</f>
        <v>97.375</v>
      </c>
      <c r="AV11">
        <f>Table3[[#This Row],[PTS2]]+(3 * Table3[[#This Row],[GR]] * Table3[[#This Row],[PTS%2]])</f>
        <v>117.875</v>
      </c>
      <c r="AW11" s="15" t="str">
        <f>_xlfn.CONCAT(TEXT(Table3[[#This Row],[W]], "0"), "-", TEXT(Table3[[#This Row],[RL]],"0"), "-", TEXT(Table3[[#This Row],[OTL]]+Table3[[#This Row],[SOL]], "0"))</f>
        <v>8-5-3</v>
      </c>
      <c r="AX11">
        <f>COUNTIFS(DataRegularSeason20242025!$D$3:$D$1315,Table3[[#This Row],[Teams]],DataRegularSeason20242025!$K$3:$K$1315,0)</f>
        <v>0</v>
      </c>
      <c r="AY11">
        <f>SUMIF(DataRegularSeason20242025!$D$3:$D$1315,$A11, DataRegularSeason20242025!$J$3:$J$1315)</f>
        <v>13</v>
      </c>
      <c r="AZ11">
        <f>SUMIF(DataRegularSeason20242025!$D$3:$D$1315,$A11, DataRegularSeason20242025!$K$3:$K$1315)</f>
        <v>13</v>
      </c>
      <c r="BA11">
        <f>AY11-AZ11</f>
        <v>0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31</v>
      </c>
      <c r="BD11">
        <f>SUMIF(DataRegularSeason20242025!$E$3:$E$1315,$A11,DataRegularSeason20242025!$J$3:$J$1315)</f>
        <v>28</v>
      </c>
      <c r="BE11">
        <f>BC11-BD11</f>
        <v>3</v>
      </c>
      <c r="BF11">
        <f>AY11+BC11</f>
        <v>44</v>
      </c>
      <c r="BG11">
        <f>AZ11+BD11</f>
        <v>41</v>
      </c>
      <c r="BH11">
        <f>BF11-BG11</f>
        <v>3</v>
      </c>
      <c r="BI11" s="12">
        <f>Table3[[#This Row],[GF]]/Table3[[#This Row],[GP]]</f>
        <v>2.75</v>
      </c>
      <c r="BJ11" s="12">
        <f>Table3[[#This Row],[GA]]/Table3[[#This Row],[GP]]</f>
        <v>2.5625</v>
      </c>
      <c r="BK11" s="12">
        <f>(Table3[[#This Row],[GF]]-Table3[[#This Row],[GA]])/Table3[[#This Row],[GP]]</f>
        <v>0.1875</v>
      </c>
      <c r="BL11" s="42" t="str">
        <f>_xlfn.CONCAT(TEXT(Table3[[#This Row],[W_H]], "0"), "-", TEXT(Table3[[#This Row],[RL_H]],"0"), "-", TEXT(Table3[[#This Row],[OTL_H]]+Table3[[#This Row],[SOL_H]], "0"))</f>
        <v>6-3-2</v>
      </c>
      <c r="BM11" s="42" t="str">
        <f>_xlfn.CONCAT(TEXT(Table3[[#This Row],[W_A]], "0"), "-", TEXT(Table3[[#This Row],[RL_A]],"0"), "-", TEXT(Table3[[#This Row],[OTL_A]]+Table3[[#This Row],[SOL_A]], "0"))</f>
        <v>2-2-1</v>
      </c>
      <c r="BN11" s="42">
        <f>((2*(Table3[[#This Row],[W_H]]))+Table3[[#This Row],[OTL_H]]+Table3[[#This Row],[SOL_H]])/(2*Table3[[#This Row],[GP_H]])</f>
        <v>0.63636363636363635</v>
      </c>
      <c r="BO11" s="42">
        <f>((2*(Table3[[#This Row],[W_A]]))+Table3[[#This Row],[OTL_A]]+Table3[[#This Row],[SOL_A]])/(2*Table3[[#This Row],[GP_A]])</f>
        <v>0.5</v>
      </c>
      <c r="BP11" s="16">
        <f>(Table3[[#This Row],[W]]*$CX$3)+(Table3[[#This Row],[L]]*$CX$4)+(Table3[[#This Row],[GF]]*$CX$5)+(Table3[[#This Row],[GA]]*$CX$6)</f>
        <v>17.100000000000001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74.083593749999991</v>
      </c>
      <c r="BR11" s="16">
        <f>(Table3[[#This Row],[W]]*0.7) + ((Table3[[#This Row],[GF]] - Table3[[#This Row],[GA]])*0.25)+(Table3[[#This Row],[GF]]*0.1)+(Table3[[#This Row],[GA]]*0.05)+(Table3[[#This Row],[L]]*0.3)</f>
        <v>15.200000000000001</v>
      </c>
      <c r="BS11" s="16">
        <f>Table3[[#This Row],[TeamCost83]]/Table3[[#This Row],[GP]]</f>
        <v>0.95000000000000007</v>
      </c>
      <c r="BT11">
        <f>COUNTIFS(Table2[AwayTeam],$A11,Table2[PredictedWinner], $A11, Table2[GameIsOver], 1)</f>
        <v>1</v>
      </c>
      <c r="BU11">
        <f>COUNTIFS(Table2[HomeTeam],$A11,Table2[PredictedWinner], $A11, Table2[GameIsOver], 1)</f>
        <v>3</v>
      </c>
      <c r="BV11">
        <f>BT11+BU11</f>
        <v>4</v>
      </c>
      <c r="BW11">
        <f>F11-BT11</f>
        <v>4</v>
      </c>
      <c r="BX11">
        <f>H11-BU11</f>
        <v>8</v>
      </c>
      <c r="BY11">
        <f>BW11+BX11</f>
        <v>12</v>
      </c>
      <c r="BZ11">
        <f>Table3[[#This Row],[TimesPredictedWinner]]/Table3[[#This Row],[GP]]</f>
        <v>0.25</v>
      </c>
      <c r="CB11">
        <v>1975</v>
      </c>
      <c r="CC11" s="1">
        <v>45752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3.4000000000000004</v>
      </c>
      <c r="CJ11">
        <f>SUMIFS(Table2[GamePredictionScore], Table2[HomeTeam], Table3[[#This Row],[Teams]])</f>
        <v>5.2</v>
      </c>
      <c r="CK11">
        <f>Table3[[#This Row],[Column4]]+Table3[[#This Row],[Column3]]</f>
        <v>8.6000000000000014</v>
      </c>
      <c r="CL11">
        <f>Table3[[#This Row],[Column5]]/Table3[[#This Row],[GP]]</f>
        <v>0.53750000000000009</v>
      </c>
      <c r="CR11" t="s">
        <v>148</v>
      </c>
      <c r="CS11">
        <f>$CS$2/($CS$10-$CS$9)</f>
        <v>7.3888888888888893</v>
      </c>
      <c r="CW11">
        <f>ROUND(CZ5,0)</f>
        <v>2</v>
      </c>
    </row>
    <row r="12" spans="1:144" x14ac:dyDescent="0.25">
      <c r="A12" t="s">
        <v>26</v>
      </c>
      <c r="B12" t="s">
        <v>90</v>
      </c>
      <c r="C12" t="s">
        <v>93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10</v>
      </c>
      <c r="E12" s="10">
        <f>Table3[[#This Row],[Watched]]/Table3[[#This Row],[GP]]</f>
        <v>0.66666666666666663</v>
      </c>
      <c r="F12">
        <f>COUNTIFS(DataRegularSeason20242025!$N$3:$N$1315,1,DataRegularSeason20242025!$D$3:$D$1315,$A12)</f>
        <v>6</v>
      </c>
      <c r="G12">
        <f>41-Table3[[#This Row],[GP_A]]</f>
        <v>35</v>
      </c>
      <c r="H12">
        <f>COUNTIFS(DataRegularSeason20242025!$E$3:$E$1315,$A12,DataRegularSeason20242025!$N$3:$N$1315,1)</f>
        <v>9</v>
      </c>
      <c r="I12">
        <f>41-Table3[[#This Row],[GP_H]]</f>
        <v>32</v>
      </c>
      <c r="J12">
        <f>F12+H12</f>
        <v>15</v>
      </c>
      <c r="K12">
        <f>82-Table3[[#This Row],[GP]]</f>
        <v>67</v>
      </c>
      <c r="L12">
        <f>COUNTIFS(DataRegularSeason20242025!$D$3:$D$1315,$A12, DataRegularSeason20242025!$L$3:$L$1315, $A12,DataRegularSeason20242025!$N$3:$N$1315,1)</f>
        <v>3</v>
      </c>
      <c r="M12">
        <f>COUNTIFS(DataRegularSeason20242025!$D$3:$D$1315,$A12, DataRegularSeason20242025!$L$3:$L$1315, $A12,DataRegularSeason20242025!$N$3:$N$1315,1,DataRegularSeason20242025!$M$3:$M$1315,"REG")</f>
        <v>2</v>
      </c>
      <c r="N12">
        <f>COUNTIFS(DataRegularSeason20242025!$D$3:$D$1315,$A12, DataRegularSeason20242025!$L$3:$L$1315, $A12,DataRegularSeason20242025!$N$3:$N$1315,1,DataRegularSeason20242025!$M$3:$M$1315,"OT")</f>
        <v>1</v>
      </c>
      <c r="O12">
        <f>COUNTIFS(DataRegularSeason20242025!$D$3:$D$1315,$A12, DataRegularSeason20242025!$L$3:$L$1315, $A12,DataRegularSeason20242025!$N$3:$N$1315,1,DataRegularSeason20242025!$M$3:$M$1315,"SO")</f>
        <v>0</v>
      </c>
      <c r="P12">
        <f>F12-L12</f>
        <v>3</v>
      </c>
      <c r="Q12">
        <f>COUNTIFS(DataRegularSeason20242025!$D$3:$D$1315,$A12, DataRegularSeason20242025!$S$3:$S$1315, $A12,DataRegularSeason20242025!$M$3:$M$1315,"REG")</f>
        <v>1</v>
      </c>
      <c r="R12">
        <f>COUNTIFS(DataRegularSeason20242025!$D$3:$D$1315,$A12, DataRegularSeason20242025!$S$3:$S$1315, $A12,DataRegularSeason20242025!$M$3:$M$1315,"OT")</f>
        <v>2</v>
      </c>
      <c r="S12">
        <f>COUNTIFS(DataRegularSeason20242025!$D$3:$D$1315,$A12, DataRegularSeason20242025!$S$3:$S$1315, $A12,DataRegularSeason20242025!$M$3:$M$1315,"SO")</f>
        <v>0</v>
      </c>
      <c r="T12">
        <f>COUNTIFS(DataRegularSeason20242025!$E$3:$E$1315,$A12, DataRegularSeason20242025!$L$3:$L$1315, $A12, DataRegularSeason20242025!$N$3:$N$1315,1)</f>
        <v>4</v>
      </c>
      <c r="U12">
        <f>COUNTIFS(DataRegularSeason20242025!$E$3:$E$1315,$A12, DataRegularSeason20242025!$L$3:$L$1315, $A12,DataRegularSeason20242025!$N$3:$N$1315,1,DataRegularSeason20242025!$M$3:$M$1315,"REG")</f>
        <v>4</v>
      </c>
      <c r="V12">
        <f>COUNTIFS(DataRegularSeason20242025!$E$3:$E$1315,$A12, DataRegularSeason20242025!$L$3:$L$1315, $A12,DataRegularSeason20242025!$N$3:$N$1315,1,DataRegularSeason20242025!$M$3:$M$1315,"OT")</f>
        <v>0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>H12-T12</f>
        <v>5</v>
      </c>
      <c r="Y12">
        <f>COUNTIFS(DataRegularSeason20242025!$E$3:$E$1315,$A12, DataRegularSeason20242025!$S$3:$S$1315, $A12,DataRegularSeason20242025!$M$3:$M$1315,"REG")</f>
        <v>3</v>
      </c>
      <c r="Z12">
        <f>COUNTIFS(DataRegularSeason20242025!$E$3:$E$1315,$A12, DataRegularSeason20242025!$S$3:$S$1315, $A12,DataRegularSeason20242025!$M$3:$M$1315,"OT")</f>
        <v>1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0.46666666666666667</v>
      </c>
      <c r="AC12">
        <f>Table3[[#This Row],[W_A]]+Table3[[#This Row],[W_H]]</f>
        <v>7</v>
      </c>
      <c r="AD12">
        <f>Table3[[#This Row],[L_A]]+Table3[[#This Row],[L_H]]</f>
        <v>8</v>
      </c>
      <c r="AE12">
        <f>Table3[[#This Row],[RW_A]]+Table3[[#This Row],[RW_H]]</f>
        <v>6</v>
      </c>
      <c r="AF12">
        <f>Table3[[#This Row],[RL_A]]+Table3[[#This Row],[RL_H]]</f>
        <v>4</v>
      </c>
      <c r="AG12">
        <f>Table3[[#This Row],[OTW_A]]+Table3[[#This Row],[OTW_H]]</f>
        <v>1</v>
      </c>
      <c r="AH12">
        <f>Table3[[#This Row],[OTL_A]]+Table3[[#This Row],[OTL_H]]</f>
        <v>3</v>
      </c>
      <c r="AI12">
        <f>Table3[[#This Row],[SOW_A]]+Table3[[#This Row],[SOW_H]]</f>
        <v>0</v>
      </c>
      <c r="AJ12">
        <f>Table3[[#This Row],[SOL_A]]+Table3[[#This Row],[SOL_H]]</f>
        <v>1</v>
      </c>
      <c r="AK12" s="15" t="str">
        <f>_xlfn.CONCAT(TEXT(Table3[[#This Row],[OTW]]+Table3[[#This Row],[SOW]], "0"), "-", TEXT(Table3[[#This Row],[OTL]]+Table3[[#This Row],[SOL]],"0"))</f>
        <v>1-4</v>
      </c>
      <c r="AL12">
        <f>SUM(Table3[[#This Row],[OTW]],Table3[[#This Row],[OTL]],Table3[[#This Row],[SOW]],Table3[[#This Row],[SOL]])</f>
        <v>5</v>
      </c>
      <c r="AM12">
        <f>(Table3[[#This Row],[OTW]]+Table3[[#This Row],[SOW]])/IF(Table3[[#This Row],[Total_ExtraTimes]]=0,1,Table3[[#This Row],[Total_ExtraTimes]])</f>
        <v>0.2</v>
      </c>
      <c r="AN12">
        <f>Table3[[#This Row],[Total_ExtraTimes]]/MAX(1,Table3[[#This Row],[GP]])</f>
        <v>0.33333333333333331</v>
      </c>
      <c r="AO12">
        <f>(2*(Table3[[#This Row],[W_A]]+Table3[[#This Row],[W_H]]))+Table3[[#This Row],[OTL_A]]+Table3[[#This Row],[SOL_A]]+Table3[[#This Row],[OTL_H]]+Table3[[#This Row],[SOL_H]]</f>
        <v>18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12" s="10">
        <f>Table3[[#This Row],[PTS]]/(2*Table3[[#This Row],[GP]])</f>
        <v>0.6</v>
      </c>
      <c r="AR12" s="10">
        <f>Table3[[#This Row],[PTS2]]/(3*Table3[[#This Row],[GP]])</f>
        <v>0.53333333333333333</v>
      </c>
      <c r="AS12">
        <f>(2*Table3[[#This Row],[GR]])+Table3[[#This Row],[PTS]]</f>
        <v>152</v>
      </c>
      <c r="AT12">
        <f>(3*Table3[[#This Row],[GR]])+Table3[[#This Row],[PTS2]]</f>
        <v>225</v>
      </c>
      <c r="AU12">
        <f>Table3[[#This Row],[PTS]]+(2 * Table3[[#This Row],[GR]] * Table3[[#This Row],[PTS%]])</f>
        <v>98.399999999999991</v>
      </c>
      <c r="AV12">
        <f>Table3[[#This Row],[PTS2]]+(3 * Table3[[#This Row],[GR]] * Table3[[#This Row],[PTS%2]])</f>
        <v>131.19999999999999</v>
      </c>
      <c r="AW12" s="15" t="str">
        <f>_xlfn.CONCAT(TEXT(Table3[[#This Row],[W]], "0"), "-", TEXT(Table3[[#This Row],[RL]],"0"), "-", TEXT(Table3[[#This Row],[OTL]]+Table3[[#This Row],[SOL]], "0"))</f>
        <v>7-4-4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16</v>
      </c>
      <c r="AZ12">
        <f>SUMIF(DataRegularSeason20242025!$D$3:$D$1315,$A12, DataRegularSeason20242025!$K$3:$K$1315)</f>
        <v>15</v>
      </c>
      <c r="BA12">
        <f>AY12-AZ12</f>
        <v>1</v>
      </c>
      <c r="BB12">
        <f>COUNTIFS(DataRegularSeason20242025!$E$3:$E$1315,Table3[[#This Row],[Teams]],DataRegularSeason20242025!$J$3:$J$1315,0)</f>
        <v>1</v>
      </c>
      <c r="BC12">
        <f>SUMIF(DataRegularSeason20242025!$E$3:$E$1315,$A12,DataRegularSeason20242025!$K$3:$K$1315)</f>
        <v>32</v>
      </c>
      <c r="BD12">
        <f>SUMIF(DataRegularSeason20242025!$E$3:$E$1315,$A12,DataRegularSeason20242025!$J$3:$J$1315)</f>
        <v>30</v>
      </c>
      <c r="BE12">
        <f>BC12-BD12</f>
        <v>2</v>
      </c>
      <c r="BF12">
        <f>AY12+BC12</f>
        <v>48</v>
      </c>
      <c r="BG12">
        <f>AZ12+BD12</f>
        <v>45</v>
      </c>
      <c r="BH12">
        <f>BF12-BG12</f>
        <v>3</v>
      </c>
      <c r="BI12" s="12">
        <f>Table3[[#This Row],[GF]]/Table3[[#This Row],[GP]]</f>
        <v>3.2</v>
      </c>
      <c r="BJ12" s="12">
        <f>Table3[[#This Row],[GA]]/Table3[[#This Row],[GP]]</f>
        <v>3</v>
      </c>
      <c r="BK12" s="12">
        <f>(Table3[[#This Row],[GF]]-Table3[[#This Row],[GA]])/Table3[[#This Row],[GP]]</f>
        <v>0.2</v>
      </c>
      <c r="BL12" s="42" t="str">
        <f>_xlfn.CONCAT(TEXT(Table3[[#This Row],[W_H]], "0"), "-", TEXT(Table3[[#This Row],[RL_H]],"0"), "-", TEXT(Table3[[#This Row],[OTL_H]]+Table3[[#This Row],[SOL_H]], "0"))</f>
        <v>4-3-2</v>
      </c>
      <c r="BM12" s="42" t="str">
        <f>_xlfn.CONCAT(TEXT(Table3[[#This Row],[W_A]], "0"), "-", TEXT(Table3[[#This Row],[RL_A]],"0"), "-", TEXT(Table3[[#This Row],[OTL_A]]+Table3[[#This Row],[SOL_A]], "0"))</f>
        <v>3-1-2</v>
      </c>
      <c r="BN12" s="42">
        <f>((2*(Table3[[#This Row],[W_H]]))+Table3[[#This Row],[OTL_H]]+Table3[[#This Row],[SOL_H]])/(2*Table3[[#This Row],[GP_H]])</f>
        <v>0.55555555555555558</v>
      </c>
      <c r="BO12" s="42">
        <f>((2*(Table3[[#This Row],[W_A]]))+Table3[[#This Row],[OTL_A]]+Table3[[#This Row],[SOL_A]])/(2*Table3[[#This Row],[GP_A]])</f>
        <v>0.66666666666666663</v>
      </c>
      <c r="BP12" s="16">
        <f>(Table3[[#This Row],[W]]*$CX$3)+(Table3[[#This Row],[L]]*$CX$4)+(Table3[[#This Row],[GF]]*$CX$5)+(Table3[[#This Row],[GA]]*$CX$6)</f>
        <v>17.600000000000001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83.856000000000009</v>
      </c>
      <c r="BR12" s="16">
        <f>(Table3[[#This Row],[W]]*0.7) + ((Table3[[#This Row],[GF]] - Table3[[#This Row],[GA]])*0.25)+(Table3[[#This Row],[GF]]*0.1)+(Table3[[#This Row],[GA]]*0.05)+(Table3[[#This Row],[L]]*0.3)</f>
        <v>15.1</v>
      </c>
      <c r="BS12" s="16">
        <f>Table3[[#This Row],[TeamCost83]]/Table3[[#This Row],[GP]]</f>
        <v>1.0066666666666666</v>
      </c>
      <c r="BT12">
        <f>COUNTIFS(Table2[AwayTeam],$A12,Table2[PredictedWinner], $A12, Table2[GameIsOver], 1)</f>
        <v>3</v>
      </c>
      <c r="BU12">
        <f>COUNTIFS(Table2[HomeTeam],$A12,Table2[PredictedWinner], $A12, Table2[GameIsOver], 1)</f>
        <v>5</v>
      </c>
      <c r="BV12">
        <f>BT12+BU12</f>
        <v>8</v>
      </c>
      <c r="BW12">
        <f>F12-BT12</f>
        <v>3</v>
      </c>
      <c r="BX12">
        <f>H12-BU12</f>
        <v>4</v>
      </c>
      <c r="BY12">
        <f>BW12+BX12</f>
        <v>7</v>
      </c>
      <c r="BZ12">
        <f>Table3[[#This Row],[TimesPredictedWinner]]/Table3[[#This Row],[GP]]</f>
        <v>0.53333333333333333</v>
      </c>
      <c r="CB12">
        <v>2023</v>
      </c>
      <c r="CD12" s="1">
        <v>45748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1.9000000000000001</v>
      </c>
      <c r="CJ12">
        <f>SUMIFS(Table2[GamePredictionScore], Table2[HomeTeam], Table3[[#This Row],[Teams]])</f>
        <v>5.1000000000000005</v>
      </c>
      <c r="CK12">
        <f>Table3[[#This Row],[Column4]]+Table3[[#This Row],[Column3]]</f>
        <v>7.0000000000000009</v>
      </c>
      <c r="CL12">
        <f>Table3[[#This Row],[Column5]]/Table3[[#This Row],[GP]]</f>
        <v>0.46666666666666673</v>
      </c>
      <c r="CR12" t="s">
        <v>149</v>
      </c>
      <c r="CS12">
        <f>$CS$3/($CS$10-$CS$9)</f>
        <v>5.7222222222222223</v>
      </c>
    </row>
    <row r="13" spans="1:144" x14ac:dyDescent="0.25">
      <c r="A13" t="s">
        <v>40</v>
      </c>
      <c r="B13" t="s">
        <v>91</v>
      </c>
      <c r="C13" t="s">
        <v>74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12</v>
      </c>
      <c r="E13" s="10">
        <f>Table3[[#This Row],[Watched]]/Table3[[#This Row],[GP]]</f>
        <v>0.75</v>
      </c>
      <c r="F13">
        <f>COUNTIFS(DataRegularSeason20242025!$N$3:$N$1315,1,DataRegularSeason20242025!$D$3:$D$1315,$A13)</f>
        <v>8</v>
      </c>
      <c r="G13">
        <f>41-Table3[[#This Row],[GP_A]]</f>
        <v>33</v>
      </c>
      <c r="H13">
        <f>COUNTIFS(DataRegularSeason20242025!$E$3:$E$1315,$A13,DataRegularSeason20242025!$N$3:$N$1315,1)</f>
        <v>8</v>
      </c>
      <c r="I13">
        <f>41-Table3[[#This Row],[GP_H]]</f>
        <v>33</v>
      </c>
      <c r="J13">
        <f>F13+H13</f>
        <v>16</v>
      </c>
      <c r="K13">
        <f>82-Table3[[#This Row],[GP]]</f>
        <v>66</v>
      </c>
      <c r="L13">
        <f>COUNTIFS(DataRegularSeason20242025!$D$3:$D$1315,$A13, DataRegularSeason20242025!$L$3:$L$1315, $A13,DataRegularSeason20242025!$N$3:$N$1315,1)</f>
        <v>4</v>
      </c>
      <c r="M13">
        <f>COUNTIFS(DataRegularSeason20242025!$D$3:$D$1315,$A13, DataRegularSeason20242025!$L$3:$L$1315, $A13,DataRegularSeason20242025!$N$3:$N$1315,1,DataRegularSeason20242025!$M$3:$M$1315,"REG")</f>
        <v>4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>F13-L13</f>
        <v>4</v>
      </c>
      <c r="Q13">
        <f>COUNTIFS(DataRegularSeason20242025!$D$3:$D$1315,$A13, DataRegularSeason20242025!$S$3:$S$1315, $A13,DataRegularSeason20242025!$M$3:$M$1315,"REG")</f>
        <v>2</v>
      </c>
      <c r="R13">
        <f>COUNTIFS(DataRegularSeason20242025!$D$3:$D$1315,$A13, DataRegularSeason20242025!$S$3:$S$1315, $A13,DataRegularSeason20242025!$M$3:$M$1315,"OT")</f>
        <v>2</v>
      </c>
      <c r="S13">
        <f>COUNTIFS(DataRegularSeason20242025!$D$3:$D$1315,$A13, DataRegularSeason20242025!$S$3:$S$1315, $A13,DataRegularSeason20242025!$M$3:$M$1315,"SO")</f>
        <v>0</v>
      </c>
      <c r="T13">
        <f>COUNTIFS(DataRegularSeason20242025!$E$3:$E$1315,$A13, DataRegularSeason20242025!$L$3:$L$1315, $A13, DataRegularSeason20242025!$N$3:$N$1315,1)</f>
        <v>4</v>
      </c>
      <c r="U13">
        <f>COUNTIFS(DataRegularSeason20242025!$E$3:$E$1315,$A13, DataRegularSeason20242025!$L$3:$L$1315, $A13,DataRegularSeason20242025!$N$3:$N$1315,1,DataRegularSeason20242025!$M$3:$M$1315,"REG")</f>
        <v>2</v>
      </c>
      <c r="V13">
        <f>COUNTIFS(DataRegularSeason20242025!$E$3:$E$1315,$A13, DataRegularSeason20242025!$L$3:$L$1315, $A13,DataRegularSeason20242025!$N$3:$N$1315,1,DataRegularSeason20242025!$M$3:$M$1315,"OT")</f>
        <v>2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4</v>
      </c>
      <c r="Y13">
        <f>COUNTIFS(DataRegularSeason20242025!$E$3:$E$1315,$A13, DataRegularSeason20242025!$S$3:$S$1315, $A13,DataRegularSeason20242025!$M$3:$M$1315,"REG")</f>
        <v>4</v>
      </c>
      <c r="Z13">
        <f>COUNTIFS(DataRegularSeason20242025!$E$3:$E$1315,$A13, DataRegularSeason20242025!$S$3:$S$1315, $A13,DataRegularSeason20242025!$M$3:$M$1315,"OT")</f>
        <v>0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</v>
      </c>
      <c r="AC13">
        <f>Table3[[#This Row],[W_A]]+Table3[[#This Row],[W_H]]</f>
        <v>8</v>
      </c>
      <c r="AD13">
        <f>Table3[[#This Row],[L_A]]+Table3[[#This Row],[L_H]]</f>
        <v>8</v>
      </c>
      <c r="AE13">
        <f>Table3[[#This Row],[RW_A]]+Table3[[#This Row],[RW_H]]</f>
        <v>6</v>
      </c>
      <c r="AF13">
        <f>Table3[[#This Row],[RL_A]]+Table3[[#This Row],[RL_H]]</f>
        <v>6</v>
      </c>
      <c r="AG13">
        <f>Table3[[#This Row],[OTW_A]]+Table3[[#This Row],[OTW_H]]</f>
        <v>2</v>
      </c>
      <c r="AH13">
        <f>Table3[[#This Row],[OTL_A]]+Table3[[#This Row],[OTL_H]]</f>
        <v>2</v>
      </c>
      <c r="AI13">
        <f>Table3[[#This Row],[SOW_A]]+Table3[[#This Row],[SOW_H]]</f>
        <v>0</v>
      </c>
      <c r="AJ13">
        <f>Table3[[#This Row],[SOL_A]]+Table3[[#This Row],[SOL_H]]</f>
        <v>0</v>
      </c>
      <c r="AK13" s="15" t="str">
        <f>_xlfn.CONCAT(TEXT(Table3[[#This Row],[OTW]]+Table3[[#This Row],[SOW]], "0"), "-", TEXT(Table3[[#This Row],[OTL]]+Table3[[#This Row],[SOL]],"0"))</f>
        <v>2-2</v>
      </c>
      <c r="AL13">
        <f>SUM(Table3[[#This Row],[OTW]],Table3[[#This Row],[OTL]],Table3[[#This Row],[SOW]],Table3[[#This Row],[SOL]])</f>
        <v>4</v>
      </c>
      <c r="AM13">
        <f>(Table3[[#This Row],[OTW]]+Table3[[#This Row],[SOW]])/IF(Table3[[#This Row],[Total_ExtraTimes]]=0,1,Table3[[#This Row],[Total_ExtraTimes]])</f>
        <v>0.5</v>
      </c>
      <c r="AN13">
        <f>Table3[[#This Row],[Total_ExtraTimes]]/MAX(1,Table3[[#This Row],[GP]])</f>
        <v>0.25</v>
      </c>
      <c r="AO13">
        <f>(2*(Table3[[#This Row],[W_A]]+Table3[[#This Row],[W_H]]))+Table3[[#This Row],[OTL_A]]+Table3[[#This Row],[SOL_A]]+Table3[[#This Row],[OTL_H]]+Table3[[#This Row],[SOL_H]]</f>
        <v>18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13" s="10">
        <f>Table3[[#This Row],[PTS]]/(2*Table3[[#This Row],[GP]])</f>
        <v>0.5625</v>
      </c>
      <c r="AR13" s="10">
        <f>Table3[[#This Row],[PTS2]]/(3*Table3[[#This Row],[GP]])</f>
        <v>0.5</v>
      </c>
      <c r="AS13">
        <f>(2*Table3[[#This Row],[GR]])+Table3[[#This Row],[PTS]]</f>
        <v>150</v>
      </c>
      <c r="AT13">
        <f>(3*Table3[[#This Row],[GR]])+Table3[[#This Row],[PTS2]]</f>
        <v>222</v>
      </c>
      <c r="AU13">
        <f>Table3[[#This Row],[PTS]]+(2 * Table3[[#This Row],[GR]] * Table3[[#This Row],[PTS%]])</f>
        <v>92.25</v>
      </c>
      <c r="AV13">
        <f>Table3[[#This Row],[PTS2]]+(3 * Table3[[#This Row],[GR]] * Table3[[#This Row],[PTS%2]])</f>
        <v>123</v>
      </c>
      <c r="AW13" s="15" t="str">
        <f>_xlfn.CONCAT(TEXT(Table3[[#This Row],[W]], "0"), "-", TEXT(Table3[[#This Row],[RL]],"0"), "-", TEXT(Table3[[#This Row],[OTL]]+Table3[[#This Row],[SOL]], "0"))</f>
        <v>8-6-2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26</v>
      </c>
      <c r="AZ13">
        <f>SUMIF(DataRegularSeason20242025!$D$3:$D$1315,$A13, DataRegularSeason20242025!$K$3:$K$1315)</f>
        <v>21</v>
      </c>
      <c r="BA13">
        <f>AY13-AZ13</f>
        <v>5</v>
      </c>
      <c r="BB13">
        <f>COUNTIFS(DataRegularSeason20242025!$E$3:$E$1315,Table3[[#This Row],[Teams]],DataRegularSeason20242025!$J$3:$J$1315,0)</f>
        <v>0</v>
      </c>
      <c r="BC13">
        <f>SUMIF(DataRegularSeason20242025!$E$3:$E$1315,$A13,DataRegularSeason20242025!$K$3:$K$1315)</f>
        <v>23</v>
      </c>
      <c r="BD13">
        <f>SUMIF(DataRegularSeason20242025!$E$3:$E$1315,$A13,DataRegularSeason20242025!$J$3:$J$1315)</f>
        <v>27</v>
      </c>
      <c r="BE13">
        <f>BC13-BD13</f>
        <v>-4</v>
      </c>
      <c r="BF13">
        <f>AY13+BC13</f>
        <v>49</v>
      </c>
      <c r="BG13">
        <f>AZ13+BD13</f>
        <v>48</v>
      </c>
      <c r="BH13">
        <f>BF13-BG13</f>
        <v>1</v>
      </c>
      <c r="BI13" s="12">
        <f>Table3[[#This Row],[GF]]/Table3[[#This Row],[GP]]</f>
        <v>3.0625</v>
      </c>
      <c r="BJ13" s="12">
        <f>Table3[[#This Row],[GA]]/Table3[[#This Row],[GP]]</f>
        <v>3</v>
      </c>
      <c r="BK13" s="12">
        <f>(Table3[[#This Row],[GF]]-Table3[[#This Row],[GA]])/Table3[[#This Row],[GP]]</f>
        <v>6.25E-2</v>
      </c>
      <c r="BL13" s="42" t="str">
        <f>_xlfn.CONCAT(TEXT(Table3[[#This Row],[W_H]], "0"), "-", TEXT(Table3[[#This Row],[RL_H]],"0"), "-", TEXT(Table3[[#This Row],[OTL_H]]+Table3[[#This Row],[SOL_H]], "0"))</f>
        <v>4-4-0</v>
      </c>
      <c r="BM13" s="42" t="str">
        <f>_xlfn.CONCAT(TEXT(Table3[[#This Row],[W_A]], "0"), "-", TEXT(Table3[[#This Row],[RL_A]],"0"), "-", TEXT(Table3[[#This Row],[OTL_A]]+Table3[[#This Row],[SOL_A]], "0"))</f>
        <v>4-2-2</v>
      </c>
      <c r="BN13" s="42">
        <f>((2*(Table3[[#This Row],[W_H]]))+Table3[[#This Row],[OTL_H]]+Table3[[#This Row],[SOL_H]])/(2*Table3[[#This Row],[GP_H]])</f>
        <v>0.5</v>
      </c>
      <c r="BO13" s="42">
        <f>((2*(Table3[[#This Row],[W_A]]))+Table3[[#This Row],[OTL_A]]+Table3[[#This Row],[SOL_A]])/(2*Table3[[#This Row],[GP_A]])</f>
        <v>0.625</v>
      </c>
      <c r="BP13" s="16">
        <f>(Table3[[#This Row],[W]]*$CX$3)+(Table3[[#This Row],[L]]*$CX$4)+(Table3[[#This Row],[GF]]*$CX$5)+(Table3[[#This Row],[GA]]*$CX$6)</f>
        <v>18.55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82.932812499999997</v>
      </c>
      <c r="BR13" s="16">
        <f>(Table3[[#This Row],[W]]*0.7) + ((Table3[[#This Row],[GF]] - Table3[[#This Row],[GA]])*0.25)+(Table3[[#This Row],[GF]]*0.1)+(Table3[[#This Row],[GA]]*0.05)+(Table3[[#This Row],[L]]*0.3)</f>
        <v>15.55</v>
      </c>
      <c r="BS13" s="16">
        <f>Table3[[#This Row],[TeamCost83]]/Table3[[#This Row],[GP]]</f>
        <v>0.97187500000000004</v>
      </c>
      <c r="BT13">
        <f>COUNTIFS(Table2[AwayTeam],$A13,Table2[PredictedWinner], $A13, Table2[GameIsOver], 1)</f>
        <v>3</v>
      </c>
      <c r="BU13">
        <f>COUNTIFS(Table2[HomeTeam],$A13,Table2[PredictedWinner], $A13, Table2[GameIsOver], 1)</f>
        <v>4</v>
      </c>
      <c r="BV13">
        <f>BT13+BU13</f>
        <v>7</v>
      </c>
      <c r="BW13">
        <f>F13-BT13</f>
        <v>5</v>
      </c>
      <c r="BX13">
        <f>H13-BU13</f>
        <v>4</v>
      </c>
      <c r="BY13">
        <f>BW13+BX13</f>
        <v>9</v>
      </c>
      <c r="BZ13">
        <f>Table3[[#This Row],[TimesPredictedWinner]]/Table3[[#This Row],[GP]]</f>
        <v>0.4375</v>
      </c>
      <c r="CB13">
        <v>2021</v>
      </c>
      <c r="CD13" s="1">
        <v>45751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4.2</v>
      </c>
      <c r="CJ13">
        <f>SUMIFS(Table2[GamePredictionScore], Table2[HomeTeam], Table3[[#This Row],[Teams]])</f>
        <v>3.5999999999999996</v>
      </c>
      <c r="CK13">
        <f>Table3[[#This Row],[Column4]]+Table3[[#This Row],[Column3]]</f>
        <v>7.8</v>
      </c>
      <c r="CL13">
        <f>Table3[[#This Row],[Column5]]/Table3[[#This Row],[GP]]</f>
        <v>0.48749999999999999</v>
      </c>
      <c r="CR13" t="s">
        <v>154</v>
      </c>
      <c r="CS13">
        <f>(CS5/CS2)/2</f>
        <v>3.1221804511278197</v>
      </c>
      <c r="DB13" s="156" t="s">
        <v>762</v>
      </c>
    </row>
    <row r="14" spans="1:144" x14ac:dyDescent="0.25">
      <c r="A14" t="s">
        <v>11</v>
      </c>
      <c r="B14" t="s">
        <v>90</v>
      </c>
      <c r="C14" t="s">
        <v>93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13</v>
      </c>
      <c r="E14" s="10">
        <f>Table3[[#This Row],[Watched]]/Table3[[#This Row],[GP]]</f>
        <v>0.8125</v>
      </c>
      <c r="F14">
        <f>COUNTIFS(DataRegularSeason20242025!$N$3:$N$1315,1,DataRegularSeason20242025!$D$3:$D$1315,$A14)</f>
        <v>8</v>
      </c>
      <c r="G14">
        <f>41-Table3[[#This Row],[GP_A]]</f>
        <v>33</v>
      </c>
      <c r="H14">
        <f>COUNTIFS(DataRegularSeason20242025!$E$3:$E$1315,$A14,DataRegularSeason20242025!$N$3:$N$1315,1)</f>
        <v>8</v>
      </c>
      <c r="I14">
        <f>41-Table3[[#This Row],[GP_H]]</f>
        <v>33</v>
      </c>
      <c r="J14">
        <f>F14+H14</f>
        <v>16</v>
      </c>
      <c r="K14">
        <f>82-Table3[[#This Row],[GP]]</f>
        <v>66</v>
      </c>
      <c r="L14">
        <f>COUNTIFS(DataRegularSeason20242025!$D$3:$D$1315,$A14, DataRegularSeason20242025!$L$3:$L$1315, $A14,DataRegularSeason20242025!$N$3:$N$1315,1)</f>
        <v>3</v>
      </c>
      <c r="M14">
        <f>COUNTIFS(DataRegularSeason20242025!$D$3:$D$1315,$A14, DataRegularSeason20242025!$L$3:$L$1315, $A14,DataRegularSeason20242025!$N$3:$N$1315,1,DataRegularSeason20242025!$M$3:$M$1315,"REG")</f>
        <v>1</v>
      </c>
      <c r="N14">
        <f>COUNTIFS(DataRegularSeason20242025!$D$3:$D$1315,$A14, DataRegularSeason20242025!$L$3:$L$1315, $A14,DataRegularSeason20242025!$N$3:$N$1315,1,DataRegularSeason20242025!$M$3:$M$1315,"OT")</f>
        <v>2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>F14-L14</f>
        <v>5</v>
      </c>
      <c r="Q14">
        <f>COUNTIFS(DataRegularSeason20242025!$D$3:$D$1315,$A14, DataRegularSeason20242025!$S$3:$S$1315, $A14,DataRegularSeason20242025!$M$3:$M$1315,"REG")</f>
        <v>3</v>
      </c>
      <c r="R14">
        <f>COUNTIFS(DataRegularSeason20242025!$D$3:$D$1315,$A14, DataRegularSeason20242025!$S$3:$S$1315, $A14,DataRegularSeason20242025!$M$3:$M$1315,"OT")</f>
        <v>1</v>
      </c>
      <c r="S14">
        <f>COUNTIFS(DataRegularSeason20242025!$D$3:$D$1315,$A14, DataRegularSeason20242025!$S$3:$S$1315, $A14,DataRegularSeason20242025!$M$3:$M$1315,"SO")</f>
        <v>1</v>
      </c>
      <c r="T14">
        <f>COUNTIFS(DataRegularSeason20242025!$E$3:$E$1315,$A14, DataRegularSeason20242025!$L$3:$L$1315, $A14, DataRegularSeason20242025!$N$3:$N$1315,1)</f>
        <v>4</v>
      </c>
      <c r="U14">
        <f>COUNTIFS(DataRegularSeason20242025!$E$3:$E$1315,$A14, DataRegularSeason20242025!$L$3:$L$1315, $A14,DataRegularSeason20242025!$N$3:$N$1315,1,DataRegularSeason20242025!$M$3:$M$1315,"REG")</f>
        <v>3</v>
      </c>
      <c r="V14">
        <f>COUNTIFS(DataRegularSeason20242025!$E$3:$E$1315,$A14, DataRegularSeason20242025!$L$3:$L$1315, $A14,DataRegularSeason20242025!$N$3:$N$1315,1,DataRegularSeason20242025!$M$3:$M$1315,"OT")</f>
        <v>1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>H14-T14</f>
        <v>4</v>
      </c>
      <c r="Y14">
        <f>COUNTIFS(DataRegularSeason20242025!$E$3:$E$1315,$A14, DataRegularSeason20242025!$S$3:$S$1315, $A14,DataRegularSeason20242025!$M$3:$M$1315,"REG")</f>
        <v>1</v>
      </c>
      <c r="Z14">
        <f>COUNTIFS(DataRegularSeason20242025!$E$3:$E$1315,$A14, DataRegularSeason20242025!$S$3:$S$1315, $A14,DataRegularSeason20242025!$M$3:$M$1315,"OT")</f>
        <v>2</v>
      </c>
      <c r="AA14">
        <f>COUNTIFS(DataRegularSeason20242025!$E$3:$E$1315,$A14, DataRegularSeason20242025!$S$3:$S$1315, $A14,DataRegularSeason20242025!$M$3:$M$1315,"SO")</f>
        <v>1</v>
      </c>
      <c r="AB14">
        <f>Table3[[#This Row],[W]]/MAX(1,Table3[[#This Row],[W]]+Table3[[#This Row],[L]])</f>
        <v>0.4375</v>
      </c>
      <c r="AC14">
        <f>Table3[[#This Row],[W_A]]+Table3[[#This Row],[W_H]]</f>
        <v>7</v>
      </c>
      <c r="AD14">
        <f>Table3[[#This Row],[L_A]]+Table3[[#This Row],[L_H]]</f>
        <v>9</v>
      </c>
      <c r="AE14">
        <f>Table3[[#This Row],[RW_A]]+Table3[[#This Row],[RW_H]]</f>
        <v>4</v>
      </c>
      <c r="AF14">
        <f>Table3[[#This Row],[RL_A]]+Table3[[#This Row],[RL_H]]</f>
        <v>4</v>
      </c>
      <c r="AG14">
        <f>Table3[[#This Row],[OTW_A]]+Table3[[#This Row],[OTW_H]]</f>
        <v>3</v>
      </c>
      <c r="AH14">
        <f>Table3[[#This Row],[OTL_A]]+Table3[[#This Row],[OTL_H]]</f>
        <v>3</v>
      </c>
      <c r="AI14">
        <f>Table3[[#This Row],[SOW_A]]+Table3[[#This Row],[SOW_H]]</f>
        <v>0</v>
      </c>
      <c r="AJ14">
        <f>Table3[[#This Row],[SOL_A]]+Table3[[#This Row],[SOL_H]]</f>
        <v>2</v>
      </c>
      <c r="AK14" s="15" t="str">
        <f>_xlfn.CONCAT(TEXT(Table3[[#This Row],[OTW]]+Table3[[#This Row],[SOW]], "0"), "-", TEXT(Table3[[#This Row],[OTL]]+Table3[[#This Row],[SOL]],"0"))</f>
        <v>3-5</v>
      </c>
      <c r="AL14">
        <f>SUM(Table3[[#This Row],[OTW]],Table3[[#This Row],[OTL]],Table3[[#This Row],[SOW]],Table3[[#This Row],[SOL]])</f>
        <v>8</v>
      </c>
      <c r="AM14">
        <f>(Table3[[#This Row],[OTW]]+Table3[[#This Row],[SOW]])/IF(Table3[[#This Row],[Total_ExtraTimes]]=0,1,Table3[[#This Row],[Total_ExtraTimes]])</f>
        <v>0.375</v>
      </c>
      <c r="AN14">
        <f>Table3[[#This Row],[Total_ExtraTimes]]/MAX(1,Table3[[#This Row],[GP]])</f>
        <v>0.5</v>
      </c>
      <c r="AO14">
        <f>(2*(Table3[[#This Row],[W_A]]+Table3[[#This Row],[W_H]]))+Table3[[#This Row],[OTL_A]]+Table3[[#This Row],[SOL_A]]+Table3[[#This Row],[OTL_H]]+Table3[[#This Row],[SOL_H]]</f>
        <v>19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14" s="10">
        <f>Table3[[#This Row],[PTS]]/(2*Table3[[#This Row],[GP]])</f>
        <v>0.59375</v>
      </c>
      <c r="AR14" s="10">
        <f>Table3[[#This Row],[PTS2]]/(3*Table3[[#This Row],[GP]])</f>
        <v>0.47916666666666669</v>
      </c>
      <c r="AS14">
        <f>(2*Table3[[#This Row],[GR]])+Table3[[#This Row],[PTS]]</f>
        <v>151</v>
      </c>
      <c r="AT14">
        <f>(3*Table3[[#This Row],[GR]])+Table3[[#This Row],[PTS2]]</f>
        <v>221</v>
      </c>
      <c r="AU14">
        <f>Table3[[#This Row],[PTS]]+(2 * Table3[[#This Row],[GR]] * Table3[[#This Row],[PTS%]])</f>
        <v>97.375</v>
      </c>
      <c r="AV14">
        <f>Table3[[#This Row],[PTS2]]+(3 * Table3[[#This Row],[GR]] * Table3[[#This Row],[PTS%2]])</f>
        <v>117.875</v>
      </c>
      <c r="AW14" s="15" t="str">
        <f>_xlfn.CONCAT(TEXT(Table3[[#This Row],[W]], "0"), "-", TEXT(Table3[[#This Row],[RL]],"0"), "-", TEXT(Table3[[#This Row],[OTL]]+Table3[[#This Row],[SOL]], "0"))</f>
        <v>7-4-5</v>
      </c>
      <c r="AX14">
        <f>COUNTIFS(DataRegularSeason20242025!$D$3:$D$1315,Table3[[#This Row],[Teams]],DataRegularSeason20242025!$K$3:$K$1315,0)</f>
        <v>1</v>
      </c>
      <c r="AY14">
        <f>SUMIF(DataRegularSeason20242025!$D$3:$D$1315,$A14, DataRegularSeason20242025!$J$3:$J$1315)</f>
        <v>22</v>
      </c>
      <c r="AZ14">
        <f>SUMIF(DataRegularSeason20242025!$D$3:$D$1315,$A14, DataRegularSeason20242025!$K$3:$K$1315)</f>
        <v>26</v>
      </c>
      <c r="BA14">
        <f>AY14-AZ14</f>
        <v>-4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18</v>
      </c>
      <c r="BD14">
        <f>SUMIF(DataRegularSeason20242025!$E$3:$E$1315,$A14,DataRegularSeason20242025!$J$3:$J$1315)</f>
        <v>20</v>
      </c>
      <c r="BE14">
        <f>BC14-BD14</f>
        <v>-2</v>
      </c>
      <c r="BF14">
        <f>AY14+BC14</f>
        <v>40</v>
      </c>
      <c r="BG14">
        <f>AZ14+BD14</f>
        <v>46</v>
      </c>
      <c r="BH14">
        <f>BF14-BG14</f>
        <v>-6</v>
      </c>
      <c r="BI14" s="12">
        <f>Table3[[#This Row],[GF]]/Table3[[#This Row],[GP]]</f>
        <v>2.5</v>
      </c>
      <c r="BJ14" s="12">
        <f>Table3[[#This Row],[GA]]/Table3[[#This Row],[GP]]</f>
        <v>2.875</v>
      </c>
      <c r="BK14" s="12">
        <f>(Table3[[#This Row],[GF]]-Table3[[#This Row],[GA]])/Table3[[#This Row],[GP]]</f>
        <v>-0.375</v>
      </c>
      <c r="BL14" s="42" t="str">
        <f>_xlfn.CONCAT(TEXT(Table3[[#This Row],[W_H]], "0"), "-", TEXT(Table3[[#This Row],[RL_H]],"0"), "-", TEXT(Table3[[#This Row],[OTL_H]]+Table3[[#This Row],[SOL_H]], "0"))</f>
        <v>4-1-3</v>
      </c>
      <c r="BM14" s="42" t="str">
        <f>_xlfn.CONCAT(TEXT(Table3[[#This Row],[W_A]], "0"), "-", TEXT(Table3[[#This Row],[RL_A]],"0"), "-", TEXT(Table3[[#This Row],[OTL_A]]+Table3[[#This Row],[SOL_A]], "0"))</f>
        <v>3-3-2</v>
      </c>
      <c r="BN14" s="42">
        <f>((2*(Table3[[#This Row],[W_H]]))+Table3[[#This Row],[OTL_H]]+Table3[[#This Row],[SOL_H]])/(2*Table3[[#This Row],[GP_H]])</f>
        <v>0.6875</v>
      </c>
      <c r="BO14" s="42">
        <f>((2*(Table3[[#This Row],[W_A]]))+Table3[[#This Row],[OTL_A]]+Table3[[#This Row],[SOL_A]])/(2*Table3[[#This Row],[GP_A]])</f>
        <v>0.5</v>
      </c>
      <c r="BP14" s="16">
        <f>(Table3[[#This Row],[W]]*$CX$3)+(Table3[[#This Row],[L]]*$CX$4)+(Table3[[#This Row],[GF]]*$CX$5)+(Table3[[#This Row],[GA]]*$CX$6)</f>
        <v>16.8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73.271093750000006</v>
      </c>
      <c r="BR14" s="16">
        <f>(Table3[[#This Row],[W]]*0.7) + ((Table3[[#This Row],[GF]] - Table3[[#This Row],[GA]])*0.25)+(Table3[[#This Row],[GF]]*0.1)+(Table3[[#This Row],[GA]]*0.05)+(Table3[[#This Row],[L]]*0.3)</f>
        <v>12.399999999999999</v>
      </c>
      <c r="BS14" s="16">
        <f>Table3[[#This Row],[TeamCost83]]/Table3[[#This Row],[GP]]</f>
        <v>0.77499999999999991</v>
      </c>
      <c r="BT14">
        <f>COUNTIFS(Table2[AwayTeam],$A14,Table2[PredictedWinner], $A14, Table2[GameIsOver], 1)</f>
        <v>3</v>
      </c>
      <c r="BU14">
        <f>COUNTIFS(Table2[HomeTeam],$A14,Table2[PredictedWinner], $A14, Table2[GameIsOver], 1)</f>
        <v>4</v>
      </c>
      <c r="BV14">
        <f>BT14+BU14</f>
        <v>7</v>
      </c>
      <c r="BW14">
        <f>F14-BT14</f>
        <v>5</v>
      </c>
      <c r="BX14">
        <f>H14-BU14</f>
        <v>4</v>
      </c>
      <c r="BY14">
        <f>BW14+BX14</f>
        <v>9</v>
      </c>
      <c r="BZ14">
        <f>Table3[[#This Row],[TimesPredictedWinner]]/Table3[[#This Row],[GP]]</f>
        <v>0.4375</v>
      </c>
      <c r="CC14" s="1">
        <v>45745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3.4000000000000004</v>
      </c>
      <c r="CJ14">
        <f>SUMIFS(Table2[GamePredictionScore], Table2[HomeTeam], Table3[[#This Row],[Teams]])</f>
        <v>1.8</v>
      </c>
      <c r="CK14">
        <f>Table3[[#This Row],[Column4]]+Table3[[#This Row],[Column3]]</f>
        <v>5.2</v>
      </c>
      <c r="CL14">
        <f>Table3[[#This Row],[Column5]]/Table3[[#This Row],[GP]]</f>
        <v>0.32500000000000001</v>
      </c>
      <c r="CR14" t="s">
        <v>460</v>
      </c>
      <c r="CS14">
        <f>CS7+CS8</f>
        <v>73</v>
      </c>
      <c r="DB14">
        <v>4.7474747474747404E+75</v>
      </c>
    </row>
    <row r="15" spans="1:144" ht="15.75" thickBot="1" x14ac:dyDescent="0.3">
      <c r="A15" t="s">
        <v>16</v>
      </c>
      <c r="B15" t="s">
        <v>90</v>
      </c>
      <c r="C15" t="s">
        <v>88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15</v>
      </c>
      <c r="E15" s="10">
        <f>Table3[[#This Row],[Watched]]/Table3[[#This Row],[GP]]</f>
        <v>0.9375</v>
      </c>
      <c r="F15">
        <f>COUNTIFS(DataRegularSeason20242025!$N$3:$N$1315,1,DataRegularSeason20242025!$D$3:$D$1315,$A15)</f>
        <v>10</v>
      </c>
      <c r="G15">
        <f>41-Table3[[#This Row],[GP_A]]</f>
        <v>31</v>
      </c>
      <c r="H15">
        <f>COUNTIFS(DataRegularSeason20242025!$E$3:$E$1315,$A15,DataRegularSeason20242025!$N$3:$N$1315,1)</f>
        <v>6</v>
      </c>
      <c r="I15">
        <f>41-Table3[[#This Row],[GP_H]]</f>
        <v>35</v>
      </c>
      <c r="J15">
        <f>F15+H15</f>
        <v>16</v>
      </c>
      <c r="K15">
        <f>82-Table3[[#This Row],[GP]]</f>
        <v>66</v>
      </c>
      <c r="L15">
        <f>COUNTIFS(DataRegularSeason20242025!$D$3:$D$1315,$A15, DataRegularSeason20242025!$L$3:$L$1315, $A15,DataRegularSeason20242025!$N$3:$N$1315,1)</f>
        <v>5</v>
      </c>
      <c r="M15">
        <f>COUNTIFS(DataRegularSeason20242025!$D$3:$D$1315,$A15, DataRegularSeason20242025!$L$3:$L$1315, $A15,DataRegularSeason20242025!$N$3:$N$1315,1,DataRegularSeason20242025!$M$3:$M$1315,"REG")</f>
        <v>5</v>
      </c>
      <c r="N15">
        <f>COUNTIFS(DataRegularSeason20242025!$D$3:$D$1315,$A15, DataRegularSeason20242025!$L$3:$L$1315, $A15,DataRegularSeason20242025!$N$3:$N$1315,1,DataRegularSeason20242025!$M$3:$M$1315,"OT")</f>
        <v>0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>F15-L15</f>
        <v>5</v>
      </c>
      <c r="Q15">
        <f>COUNTIFS(DataRegularSeason20242025!$D$3:$D$1315,$A15, DataRegularSeason20242025!$S$3:$S$1315, $A15,DataRegularSeason20242025!$M$3:$M$1315,"REG")</f>
        <v>3</v>
      </c>
      <c r="R15">
        <f>COUNTIFS(DataRegularSeason20242025!$D$3:$D$1315,$A15, DataRegularSeason20242025!$S$3:$S$1315, $A15,DataRegularSeason20242025!$M$3:$M$1315,"OT")</f>
        <v>2</v>
      </c>
      <c r="S15">
        <f>COUNTIFS(DataRegularSeason20242025!$D$3:$D$1315,$A15, DataRegularSeason20242025!$S$3:$S$1315, $A15,DataRegularSeason20242025!$M$3:$M$1315,"SO")</f>
        <v>0</v>
      </c>
      <c r="T15">
        <f>COUNTIFS(DataRegularSeason20242025!$E$3:$E$1315,$A15, DataRegularSeason20242025!$L$3:$L$1315, $A15, DataRegularSeason20242025!$N$3:$N$1315,1)</f>
        <v>3</v>
      </c>
      <c r="U15">
        <f>COUNTIFS(DataRegularSeason20242025!$E$3:$E$1315,$A15, DataRegularSeason20242025!$L$3:$L$1315, $A15,DataRegularSeason20242025!$N$3:$N$1315,1,DataRegularSeason20242025!$M$3:$M$1315,"REG")</f>
        <v>2</v>
      </c>
      <c r="V15">
        <f>COUNTIFS(DataRegularSeason20242025!$E$3:$E$1315,$A15, DataRegularSeason20242025!$L$3:$L$1315, $A15,DataRegularSeason20242025!$N$3:$N$1315,1,DataRegularSeason20242025!$M$3:$M$1315,"OT")</f>
        <v>1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>H15-T15</f>
        <v>3</v>
      </c>
      <c r="Y15">
        <f>COUNTIFS(DataRegularSeason20242025!$E$3:$E$1315,$A15, DataRegularSeason20242025!$S$3:$S$1315, $A15,DataRegularSeason20242025!$M$3:$M$1315,"REG")</f>
        <v>2</v>
      </c>
      <c r="Z15">
        <f>COUNTIFS(DataRegularSeason20242025!$E$3:$E$1315,$A15, DataRegularSeason20242025!$S$3:$S$1315, $A15,DataRegularSeason20242025!$M$3:$M$1315,"OT")</f>
        <v>0</v>
      </c>
      <c r="AA15">
        <f>COUNTIFS(DataRegularSeason20242025!$E$3:$E$1315,$A15, DataRegularSeason20242025!$S$3:$S$1315, $A15,DataRegularSeason20242025!$M$3:$M$1315,"SO")</f>
        <v>1</v>
      </c>
      <c r="AB15">
        <f>Table3[[#This Row],[W]]/MAX(1,Table3[[#This Row],[W]]+Table3[[#This Row],[L]])</f>
        <v>0.5</v>
      </c>
      <c r="AC15">
        <f>Table3[[#This Row],[W_A]]+Table3[[#This Row],[W_H]]</f>
        <v>8</v>
      </c>
      <c r="AD15">
        <f>Table3[[#This Row],[L_A]]+Table3[[#This Row],[L_H]]</f>
        <v>8</v>
      </c>
      <c r="AE15">
        <f>Table3[[#This Row],[RW_A]]+Table3[[#This Row],[RW_H]]</f>
        <v>7</v>
      </c>
      <c r="AF15">
        <f>Table3[[#This Row],[RL_A]]+Table3[[#This Row],[RL_H]]</f>
        <v>5</v>
      </c>
      <c r="AG15">
        <f>Table3[[#This Row],[OTW_A]]+Table3[[#This Row],[OTW_H]]</f>
        <v>1</v>
      </c>
      <c r="AH15">
        <f>Table3[[#This Row],[OTL_A]]+Table3[[#This Row],[OTL_H]]</f>
        <v>2</v>
      </c>
      <c r="AI15">
        <f>Table3[[#This Row],[SOW_A]]+Table3[[#This Row],[SOW_H]]</f>
        <v>0</v>
      </c>
      <c r="AJ15">
        <f>Table3[[#This Row],[SOL_A]]+Table3[[#This Row],[SOL_H]]</f>
        <v>1</v>
      </c>
      <c r="AK15" s="15" t="str">
        <f>_xlfn.CONCAT(TEXT(Table3[[#This Row],[OTW]]+Table3[[#This Row],[SOW]], "0"), "-", TEXT(Table3[[#This Row],[OTL]]+Table3[[#This Row],[SOL]],"0"))</f>
        <v>1-3</v>
      </c>
      <c r="AL15">
        <f>SUM(Table3[[#This Row],[OTW]],Table3[[#This Row],[OTL]],Table3[[#This Row],[SOW]],Table3[[#This Row],[SOL]])</f>
        <v>4</v>
      </c>
      <c r="AM15">
        <f>(Table3[[#This Row],[OTW]]+Table3[[#This Row],[SOW]])/IF(Table3[[#This Row],[Total_ExtraTimes]]=0,1,Table3[[#This Row],[Total_ExtraTimes]])</f>
        <v>0.25</v>
      </c>
      <c r="AN15">
        <f>Table3[[#This Row],[Total_ExtraTimes]]/MAX(1,Table3[[#This Row],[GP]])</f>
        <v>0.25</v>
      </c>
      <c r="AO15">
        <f>(2*(Table3[[#This Row],[W_A]]+Table3[[#This Row],[W_H]]))+Table3[[#This Row],[OTL_A]]+Table3[[#This Row],[SOL_A]]+Table3[[#This Row],[OTL_H]]+Table3[[#This Row],[SOL_H]]</f>
        <v>19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15" s="10">
        <f>Table3[[#This Row],[PTS]]/(2*Table3[[#This Row],[GP]])</f>
        <v>0.59375</v>
      </c>
      <c r="AR15" s="10">
        <f>Table3[[#This Row],[PTS2]]/(3*Table3[[#This Row],[GP]])</f>
        <v>0.54166666666666663</v>
      </c>
      <c r="AS15">
        <f>(2*Table3[[#This Row],[GR]])+Table3[[#This Row],[PTS]]</f>
        <v>151</v>
      </c>
      <c r="AT15">
        <f>(3*Table3[[#This Row],[GR]])+Table3[[#This Row],[PTS2]]</f>
        <v>224</v>
      </c>
      <c r="AU15">
        <f>Table3[[#This Row],[PTS]]+(2 * Table3[[#This Row],[GR]] * Table3[[#This Row],[PTS%]])</f>
        <v>97.375</v>
      </c>
      <c r="AV15">
        <f>Table3[[#This Row],[PTS2]]+(3 * Table3[[#This Row],[GR]] * Table3[[#This Row],[PTS%2]])</f>
        <v>133.25</v>
      </c>
      <c r="AW15" s="15" t="str">
        <f>_xlfn.CONCAT(TEXT(Table3[[#This Row],[W]], "0"), "-", TEXT(Table3[[#This Row],[RL]],"0"), "-", TEXT(Table3[[#This Row],[OTL]]+Table3[[#This Row],[SOL]], "0"))</f>
        <v>8-5-3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36</v>
      </c>
      <c r="AZ15">
        <f>SUMIF(DataRegularSeason20242025!$D$3:$D$1315,$A15, DataRegularSeason20242025!$K$3:$K$1315)</f>
        <v>27</v>
      </c>
      <c r="BA15">
        <f>AY15-AZ15</f>
        <v>9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18</v>
      </c>
      <c r="BD15">
        <f>SUMIF(DataRegularSeason20242025!$E$3:$E$1315,$A15,DataRegularSeason20242025!$J$3:$J$1315)</f>
        <v>15</v>
      </c>
      <c r="BE15">
        <f>BC15-BD15</f>
        <v>3</v>
      </c>
      <c r="BF15">
        <f>AY15+BC15</f>
        <v>54</v>
      </c>
      <c r="BG15">
        <f>AZ15+BD15</f>
        <v>42</v>
      </c>
      <c r="BH15">
        <f>BF15-BG15</f>
        <v>12</v>
      </c>
      <c r="BI15" s="12">
        <f>Table3[[#This Row],[GF]]/Table3[[#This Row],[GP]]</f>
        <v>3.375</v>
      </c>
      <c r="BJ15" s="12">
        <f>Table3[[#This Row],[GA]]/Table3[[#This Row],[GP]]</f>
        <v>2.625</v>
      </c>
      <c r="BK15" s="12">
        <f>(Table3[[#This Row],[GF]]-Table3[[#This Row],[GA]])/Table3[[#This Row],[GP]]</f>
        <v>0.75</v>
      </c>
      <c r="BL15" s="42" t="str">
        <f>_xlfn.CONCAT(TEXT(Table3[[#This Row],[W_H]], "0"), "-", TEXT(Table3[[#This Row],[RL_H]],"0"), "-", TEXT(Table3[[#This Row],[OTL_H]]+Table3[[#This Row],[SOL_H]], "0"))</f>
        <v>3-2-1</v>
      </c>
      <c r="BM15" s="42" t="str">
        <f>_xlfn.CONCAT(TEXT(Table3[[#This Row],[W_A]], "0"), "-", TEXT(Table3[[#This Row],[RL_A]],"0"), "-", TEXT(Table3[[#This Row],[OTL_A]]+Table3[[#This Row],[SOL_A]], "0"))</f>
        <v>5-3-2</v>
      </c>
      <c r="BN15" s="42">
        <f>((2*(Table3[[#This Row],[W_H]]))+Table3[[#This Row],[OTL_H]]+Table3[[#This Row],[SOL_H]])/(2*Table3[[#This Row],[GP_H]])</f>
        <v>0.58333333333333337</v>
      </c>
      <c r="BO15" s="42">
        <f>((2*(Table3[[#This Row],[W_A]]))+Table3[[#This Row],[OTL_A]]+Table3[[#This Row],[SOL_A]])/(2*Table3[[#This Row],[GP_A]])</f>
        <v>0.6</v>
      </c>
      <c r="BP15" s="16">
        <f>(Table3[[#This Row],[W]]*$CX$3)+(Table3[[#This Row],[L]]*$CX$4)+(Table3[[#This Row],[GF]]*$CX$5)+(Table3[[#This Row],[GA]]*$CX$6)</f>
        <v>18.7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83.883593750000003</v>
      </c>
      <c r="BR15" s="16">
        <f>(Table3[[#This Row],[W]]*0.7) + ((Table3[[#This Row],[GF]] - Table3[[#This Row],[GA]])*0.25)+(Table3[[#This Row],[GF]]*0.1)+(Table3[[#This Row],[GA]]*0.05)+(Table3[[#This Row],[L]]*0.3)</f>
        <v>18.5</v>
      </c>
      <c r="BS15" s="16">
        <f>Table3[[#This Row],[TeamCost83]]/Table3[[#This Row],[GP]]</f>
        <v>1.15625</v>
      </c>
      <c r="BT15">
        <f>COUNTIFS(Table2[AwayTeam],$A15,Table2[PredictedWinner], $A15, Table2[GameIsOver], 1)</f>
        <v>3</v>
      </c>
      <c r="BU15">
        <f>COUNTIFS(Table2[HomeTeam],$A15,Table2[PredictedWinner], $A15, Table2[GameIsOver], 1)</f>
        <v>1</v>
      </c>
      <c r="BV15">
        <f>BT15+BU15</f>
        <v>4</v>
      </c>
      <c r="BW15">
        <f>F15-BT15</f>
        <v>7</v>
      </c>
      <c r="BX15">
        <f>H15-BU15</f>
        <v>5</v>
      </c>
      <c r="BY15">
        <f>BW15+BX15</f>
        <v>12</v>
      </c>
      <c r="BZ15">
        <f>Table3[[#This Row],[TimesPredictedWinner]]/Table3[[#This Row],[GP]]</f>
        <v>0.25</v>
      </c>
      <c r="CB15">
        <v>2015</v>
      </c>
      <c r="CC15" s="1">
        <v>45736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5.0999999999999996</v>
      </c>
      <c r="CJ15">
        <f>SUMIFS(Table2[GamePredictionScore], Table2[HomeTeam], Table3[[#This Row],[Teams]])</f>
        <v>1.7000000000000002</v>
      </c>
      <c r="CK15">
        <f>Table3[[#This Row],[Column4]]+Table3[[#This Row],[Column3]]</f>
        <v>6.8</v>
      </c>
      <c r="CL15">
        <f>Table3[[#This Row],[Column5]]/Table3[[#This Row],[GP]]</f>
        <v>0.42499999999999999</v>
      </c>
      <c r="CR15" t="s">
        <v>461</v>
      </c>
      <c r="CS15">
        <f>CS14/CS2</f>
        <v>0.27443609022556392</v>
      </c>
    </row>
    <row r="16" spans="1:144" x14ac:dyDescent="0.25">
      <c r="A16" t="s">
        <v>29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16</v>
      </c>
      <c r="E16" s="10">
        <f>Table3[[#This Row],[Watched]]/Table3[[#This Row],[GP]]</f>
        <v>0.94117647058823528</v>
      </c>
      <c r="F16">
        <f>COUNTIFS(DataRegularSeason20242025!$N$3:$N$1315,1,DataRegularSeason20242025!$D$3:$D$1315,$A16)</f>
        <v>8</v>
      </c>
      <c r="G16">
        <f>41-Table3[[#This Row],[GP_A]]</f>
        <v>33</v>
      </c>
      <c r="H16">
        <f>COUNTIFS(DataRegularSeason20242025!$E$3:$E$1315,$A16,DataRegularSeason20242025!$N$3:$N$1315,1)</f>
        <v>9</v>
      </c>
      <c r="I16">
        <f>41-Table3[[#This Row],[GP_H]]</f>
        <v>32</v>
      </c>
      <c r="J16">
        <f>F16+H16</f>
        <v>17</v>
      </c>
      <c r="K16">
        <f>82-Table3[[#This Row],[GP]]</f>
        <v>65</v>
      </c>
      <c r="L16">
        <f>COUNTIFS(DataRegularSeason20242025!$D$3:$D$1315,$A16, DataRegularSeason20242025!$L$3:$L$1315, $A16,DataRegularSeason20242025!$N$3:$N$1315,1)</f>
        <v>3</v>
      </c>
      <c r="M16">
        <f>COUNTIFS(DataRegularSeason20242025!$D$3:$D$1315,$A16, DataRegularSeason20242025!$L$3:$L$1315, $A16,DataRegularSeason20242025!$N$3:$N$1315,1,DataRegularSeason20242025!$M$3:$M$1315,"REG")</f>
        <v>2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0</v>
      </c>
      <c r="P16">
        <f>F16-L16</f>
        <v>5</v>
      </c>
      <c r="Q16">
        <f>COUNTIFS(DataRegularSeason20242025!$D$3:$D$1315,$A16, DataRegularSeason20242025!$S$3:$S$1315, $A16,DataRegularSeason20242025!$M$3:$M$1315,"REG")</f>
        <v>3</v>
      </c>
      <c r="R16">
        <f>COUNTIFS(DataRegularSeason20242025!$D$3:$D$1315,$A16, DataRegularSeason20242025!$S$3:$S$1315, $A16,DataRegularSeason20242025!$M$3:$M$1315,"OT")</f>
        <v>2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5</v>
      </c>
      <c r="U16">
        <f>COUNTIFS(DataRegularSeason20242025!$E$3:$E$1315,$A16, DataRegularSeason20242025!$L$3:$L$1315, $A16,DataRegularSeason20242025!$N$3:$N$1315,1,DataRegularSeason20242025!$M$3:$M$1315,"REG")</f>
        <v>3</v>
      </c>
      <c r="V16">
        <f>COUNTIFS(DataRegularSeason20242025!$E$3:$E$1315,$A16, DataRegularSeason20242025!$L$3:$L$1315, $A16,DataRegularSeason20242025!$N$3:$N$1315,1,DataRegularSeason20242025!$M$3:$M$1315,"OT")</f>
        <v>0</v>
      </c>
      <c r="W16">
        <f>COUNTIFS(DataRegularSeason20242025!$E$3:$E$1315,$A16, DataRegularSeason20242025!$L$3:$L$1315, $A16,DataRegularSeason20242025!$N$3:$N$1315,1,DataRegularSeason20242025!$M$3:$M$1315,"SO")</f>
        <v>2</v>
      </c>
      <c r="X16">
        <f>H16-T16</f>
        <v>4</v>
      </c>
      <c r="Y16">
        <f>COUNTIFS(DataRegularSeason20242025!$E$3:$E$1315,$A16, DataRegularSeason20242025!$S$3:$S$1315, $A16,DataRegularSeason20242025!$M$3:$M$1315,"REG")</f>
        <v>2</v>
      </c>
      <c r="Z16">
        <f>COUNTIFS(DataRegularSeason20242025!$E$3:$E$1315,$A16, DataRegularSeason20242025!$S$3:$S$1315, $A16,DataRegularSeason20242025!$M$3:$M$1315,"OT")</f>
        <v>2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0.47058823529411764</v>
      </c>
      <c r="AC16">
        <f>Table3[[#This Row],[W_A]]+Table3[[#This Row],[W_H]]</f>
        <v>8</v>
      </c>
      <c r="AD16">
        <f>Table3[[#This Row],[L_A]]+Table3[[#This Row],[L_H]]</f>
        <v>9</v>
      </c>
      <c r="AE16">
        <f>Table3[[#This Row],[RW_A]]+Table3[[#This Row],[RW_H]]</f>
        <v>5</v>
      </c>
      <c r="AF16">
        <f>Table3[[#This Row],[RL_A]]+Table3[[#This Row],[RL_H]]</f>
        <v>5</v>
      </c>
      <c r="AG16">
        <f>Table3[[#This Row],[OTW_A]]+Table3[[#This Row],[OTW_H]]</f>
        <v>1</v>
      </c>
      <c r="AH16">
        <f>Table3[[#This Row],[OTL_A]]+Table3[[#This Row],[OTL_H]]</f>
        <v>4</v>
      </c>
      <c r="AI16">
        <f>Table3[[#This Row],[SOW_A]]+Table3[[#This Row],[SOW_H]]</f>
        <v>2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3-4</v>
      </c>
      <c r="AL16">
        <f>SUM(Table3[[#This Row],[OTW]],Table3[[#This Row],[OTL]],Table3[[#This Row],[SOW]],Table3[[#This Row],[SOL]])</f>
        <v>7</v>
      </c>
      <c r="AM16">
        <f>(Table3[[#This Row],[OTW]]+Table3[[#This Row],[SOW]])/IF(Table3[[#This Row],[Total_ExtraTimes]]=0,1,Table3[[#This Row],[Total_ExtraTimes]])</f>
        <v>0.42857142857142855</v>
      </c>
      <c r="AN16">
        <f>Table3[[#This Row],[Total_ExtraTimes]]/MAX(1,Table3[[#This Row],[GP]])</f>
        <v>0.41176470588235292</v>
      </c>
      <c r="AO16">
        <f>(2*(Table3[[#This Row],[W_A]]+Table3[[#This Row],[W_H]]))+Table3[[#This Row],[OTL_A]]+Table3[[#This Row],[SOL_A]]+Table3[[#This Row],[OTL_H]]+Table3[[#This Row],[SOL_H]]</f>
        <v>20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16" s="10">
        <f>Table3[[#This Row],[PTS]]/(2*Table3[[#This Row],[GP]])</f>
        <v>0.58823529411764708</v>
      </c>
      <c r="AR16" s="10">
        <f>Table3[[#This Row],[PTS2]]/(3*Table3[[#This Row],[GP]])</f>
        <v>0.49019607843137253</v>
      </c>
      <c r="AS16">
        <f>(2*Table3[[#This Row],[GR]])+Table3[[#This Row],[PTS]]</f>
        <v>150</v>
      </c>
      <c r="AT16">
        <f>(3*Table3[[#This Row],[GR]])+Table3[[#This Row],[PTS2]]</f>
        <v>220</v>
      </c>
      <c r="AU16">
        <f>Table3[[#This Row],[PTS]]+(2 * Table3[[#This Row],[GR]] * Table3[[#This Row],[PTS%]])</f>
        <v>96.470588235294116</v>
      </c>
      <c r="AV16">
        <f>Table3[[#This Row],[PTS2]]+(3 * Table3[[#This Row],[GR]] * Table3[[#This Row],[PTS%2]])</f>
        <v>120.58823529411764</v>
      </c>
      <c r="AW16" s="15" t="str">
        <f>_xlfn.CONCAT(TEXT(Table3[[#This Row],[W]], "0"), "-", TEXT(Table3[[#This Row],[RL]],"0"), "-", TEXT(Table3[[#This Row],[OTL]]+Table3[[#This Row],[SOL]], "0"))</f>
        <v>8-5-4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29</v>
      </c>
      <c r="AZ16">
        <f>SUMIF(DataRegularSeason20242025!$D$3:$D$1315,$A16, DataRegularSeason20242025!$K$3:$K$1315)</f>
        <v>35</v>
      </c>
      <c r="BA16">
        <f>AY16-AZ16</f>
        <v>-6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30</v>
      </c>
      <c r="BD16">
        <f>SUMIF(DataRegularSeason20242025!$E$3:$E$1315,$A16,DataRegularSeason20242025!$J$3:$J$1315)</f>
        <v>26</v>
      </c>
      <c r="BE16">
        <f>BC16-BD16</f>
        <v>4</v>
      </c>
      <c r="BF16">
        <f>AY16+BC16</f>
        <v>59</v>
      </c>
      <c r="BG16">
        <f>AZ16+BD16</f>
        <v>61</v>
      </c>
      <c r="BH16">
        <f>BF16-BG16</f>
        <v>-2</v>
      </c>
      <c r="BI16" s="12">
        <f>Table3[[#This Row],[GF]]/Table3[[#This Row],[GP]]</f>
        <v>3.4705882352941178</v>
      </c>
      <c r="BJ16" s="12">
        <f>Table3[[#This Row],[GA]]/Table3[[#This Row],[GP]]</f>
        <v>3.5882352941176472</v>
      </c>
      <c r="BK16" s="12">
        <f>(Table3[[#This Row],[GF]]-Table3[[#This Row],[GA]])/Table3[[#This Row],[GP]]</f>
        <v>-0.11764705882352941</v>
      </c>
      <c r="BL16" s="42" t="str">
        <f>_xlfn.CONCAT(TEXT(Table3[[#This Row],[W_H]], "0"), "-", TEXT(Table3[[#This Row],[RL_H]],"0"), "-", TEXT(Table3[[#This Row],[OTL_H]]+Table3[[#This Row],[SOL_H]], "0"))</f>
        <v>5-2-2</v>
      </c>
      <c r="BM16" s="42" t="str">
        <f>_xlfn.CONCAT(TEXT(Table3[[#This Row],[W_A]], "0"), "-", TEXT(Table3[[#This Row],[RL_A]],"0"), "-", TEXT(Table3[[#This Row],[OTL_A]]+Table3[[#This Row],[SOL_A]], "0"))</f>
        <v>3-3-2</v>
      </c>
      <c r="BN16" s="42">
        <f>((2*(Table3[[#This Row],[W_H]]))+Table3[[#This Row],[OTL_H]]+Table3[[#This Row],[SOL_H]])/(2*Table3[[#This Row],[GP_H]])</f>
        <v>0.66666666666666663</v>
      </c>
      <c r="BO16" s="42">
        <f>((2*(Table3[[#This Row],[W_A]]))+Table3[[#This Row],[OTL_A]]+Table3[[#This Row],[SOL_A]])/(2*Table3[[#This Row],[GP_A]])</f>
        <v>0.5</v>
      </c>
      <c r="BP16" s="16">
        <f>(Table3[[#This Row],[W]]*$CX$3)+(Table3[[#This Row],[L]]*$CX$4)+(Table3[[#This Row],[GF]]*$CX$5)+(Table3[[#This Row],[GA]]*$CX$6)</f>
        <v>21.65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95.776297577854663</v>
      </c>
      <c r="BR16" s="16">
        <f>(Table3[[#This Row],[W]]*0.7) + ((Table3[[#This Row],[GF]] - Table3[[#This Row],[GA]])*0.25)+(Table3[[#This Row],[GF]]*0.1)+(Table3[[#This Row],[GA]]*0.05)+(Table3[[#This Row],[L]]*0.3)</f>
        <v>16.75</v>
      </c>
      <c r="BS16" s="16">
        <f>Table3[[#This Row],[TeamCost83]]/Table3[[#This Row],[GP]]</f>
        <v>0.98529411764705888</v>
      </c>
      <c r="BT16">
        <f>COUNTIFS(Table2[AwayTeam],$A16,Table2[PredictedWinner], $A16, Table2[GameIsOver], 1)</f>
        <v>4</v>
      </c>
      <c r="BU16">
        <f>COUNTIFS(Table2[HomeTeam],$A16,Table2[PredictedWinner], $A16, Table2[GameIsOver], 1)</f>
        <v>4</v>
      </c>
      <c r="BV16">
        <f>BT16+BU16</f>
        <v>8</v>
      </c>
      <c r="BW16">
        <f>F16-BT16</f>
        <v>4</v>
      </c>
      <c r="BX16">
        <f>H16-BU16</f>
        <v>5</v>
      </c>
      <c r="BY16">
        <f>BW16+BX16</f>
        <v>9</v>
      </c>
      <c r="BZ16">
        <f>Table3[[#This Row],[TimesPredictedWinner]]/Table3[[#This Row],[GP]]</f>
        <v>0.47058823529411764</v>
      </c>
      <c r="CD16" s="1">
        <v>45755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2.5</v>
      </c>
      <c r="CJ16">
        <f>SUMIFS(Table2[GamePredictionScore], Table2[HomeTeam], Table3[[#This Row],[Teams]])</f>
        <v>3.3</v>
      </c>
      <c r="CK16">
        <f>Table3[[#This Row],[Column4]]+Table3[[#This Row],[Column3]]</f>
        <v>5.8</v>
      </c>
      <c r="CL16">
        <f>Table3[[#This Row],[Column5]]/Table3[[#This Row],[GP]]</f>
        <v>0.3411764705882353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27</v>
      </c>
      <c r="B17" t="s">
        <v>90</v>
      </c>
      <c r="C17" t="s">
        <v>93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11</v>
      </c>
      <c r="E17" s="10">
        <f>Table3[[#This Row],[Watched]]/Table3[[#This Row],[GP]]</f>
        <v>0.6470588235294118</v>
      </c>
      <c r="F17">
        <f>COUNTIFS(DataRegularSeason20242025!$N$3:$N$1315,1,DataRegularSeason20242025!$D$3:$D$1315,$A17)</f>
        <v>10</v>
      </c>
      <c r="G17">
        <f>41-Table3[[#This Row],[GP_A]]</f>
        <v>31</v>
      </c>
      <c r="H17">
        <f>COUNTIFS(DataRegularSeason20242025!$E$3:$E$1315,$A17,DataRegularSeason20242025!$N$3:$N$1315,1)</f>
        <v>7</v>
      </c>
      <c r="I17">
        <f>41-Table3[[#This Row],[GP_H]]</f>
        <v>34</v>
      </c>
      <c r="J17">
        <f>F17+H17</f>
        <v>17</v>
      </c>
      <c r="K17">
        <f>82-Table3[[#This Row],[GP]]</f>
        <v>65</v>
      </c>
      <c r="L17">
        <f>COUNTIFS(DataRegularSeason20242025!$D$3:$D$1315,$A17, DataRegularSeason20242025!$L$3:$L$1315, $A17,DataRegularSeason20242025!$N$3:$N$1315,1)</f>
        <v>7</v>
      </c>
      <c r="M17">
        <f>COUNTIFS(DataRegularSeason20242025!$D$3:$D$1315,$A17, DataRegularSeason20242025!$L$3:$L$1315, $A17,DataRegularSeason20242025!$N$3:$N$1315,1,DataRegularSeason20242025!$M$3:$M$1315,"REG")</f>
        <v>4</v>
      </c>
      <c r="N17">
        <f>COUNTIFS(DataRegularSeason20242025!$D$3:$D$1315,$A17, DataRegularSeason20242025!$L$3:$L$1315, $A17,DataRegularSeason20242025!$N$3:$N$1315,1,DataRegularSeason20242025!$M$3:$M$1315,"OT")</f>
        <v>2</v>
      </c>
      <c r="O17">
        <f>COUNTIFS(DataRegularSeason20242025!$D$3:$D$1315,$A17, DataRegularSeason20242025!$L$3:$L$1315, $A17,DataRegularSeason20242025!$N$3:$N$1315,1,DataRegularSeason20242025!$M$3:$M$1315,"SO")</f>
        <v>1</v>
      </c>
      <c r="P17">
        <f>F17-L17</f>
        <v>3</v>
      </c>
      <c r="Q17">
        <f>COUNTIFS(DataRegularSeason20242025!$D$3:$D$1315,$A17, DataRegularSeason20242025!$S$3:$S$1315, $A17,DataRegularSeason20242025!$M$3:$M$1315,"REG")</f>
        <v>1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2</v>
      </c>
      <c r="T17">
        <f>COUNTIFS(DataRegularSeason20242025!$E$3:$E$1315,$A17, DataRegularSeason20242025!$L$3:$L$1315, $A17, DataRegularSeason20242025!$N$3:$N$1315,1)</f>
        <v>1</v>
      </c>
      <c r="U17">
        <f>COUNTIFS(DataRegularSeason20242025!$E$3:$E$1315,$A17, DataRegularSeason20242025!$L$3:$L$1315, $A17,DataRegularSeason20242025!$N$3:$N$1315,1,DataRegularSeason20242025!$M$3:$M$1315,"REG")</f>
        <v>1</v>
      </c>
      <c r="V17">
        <f>COUNTIFS(DataRegularSeason20242025!$E$3:$E$1315,$A17, DataRegularSeason20242025!$L$3:$L$1315, $A17,DataRegularSeason20242025!$N$3:$N$1315,1,DataRegularSeason20242025!$M$3:$M$1315,"OT")</f>
        <v>0</v>
      </c>
      <c r="W17">
        <f>COUNTIFS(DataRegularSeason20242025!$E$3:$E$1315,$A17, DataRegularSeason20242025!$L$3:$L$1315, $A17,DataRegularSeason20242025!$N$3:$N$1315,1,DataRegularSeason20242025!$M$3:$M$1315,"SO")</f>
        <v>0</v>
      </c>
      <c r="X17">
        <f>H17-T17</f>
        <v>6</v>
      </c>
      <c r="Y17">
        <f>COUNTIFS(DataRegularSeason20242025!$E$3:$E$1315,$A17, DataRegularSeason20242025!$S$3:$S$1315, $A17,DataRegularSeason20242025!$M$3:$M$1315,"REG")</f>
        <v>4</v>
      </c>
      <c r="Z17">
        <f>COUNTIFS(DataRegularSeason20242025!$E$3:$E$1315,$A17, DataRegularSeason20242025!$S$3:$S$1315, $A17,DataRegularSeason20242025!$M$3:$M$1315,"OT")</f>
        <v>1</v>
      </c>
      <c r="AA17">
        <f>COUNTIFS(DataRegularSeason20242025!$E$3:$E$1315,$A17, DataRegularSeason20242025!$S$3:$S$1315, $A17,DataRegularSeason20242025!$M$3:$M$1315,"SO")</f>
        <v>1</v>
      </c>
      <c r="AB17">
        <f>Table3[[#This Row],[W]]/MAX(1,Table3[[#This Row],[W]]+Table3[[#This Row],[L]])</f>
        <v>0.47058823529411764</v>
      </c>
      <c r="AC17">
        <f>Table3[[#This Row],[W_A]]+Table3[[#This Row],[W_H]]</f>
        <v>8</v>
      </c>
      <c r="AD17">
        <f>Table3[[#This Row],[L_A]]+Table3[[#This Row],[L_H]]</f>
        <v>9</v>
      </c>
      <c r="AE17">
        <f>Table3[[#This Row],[RW_A]]+Table3[[#This Row],[RW_H]]</f>
        <v>5</v>
      </c>
      <c r="AF17">
        <f>Table3[[#This Row],[RL_A]]+Table3[[#This Row],[RL_H]]</f>
        <v>5</v>
      </c>
      <c r="AG17">
        <f>Table3[[#This Row],[OTW_A]]+Table3[[#This Row],[OTW_H]]</f>
        <v>2</v>
      </c>
      <c r="AH17">
        <f>Table3[[#This Row],[OTL_A]]+Table3[[#This Row],[OTL_H]]</f>
        <v>1</v>
      </c>
      <c r="AI17">
        <f>Table3[[#This Row],[SOW_A]]+Table3[[#This Row],[SOW_H]]</f>
        <v>1</v>
      </c>
      <c r="AJ17">
        <f>Table3[[#This Row],[SOL_A]]+Table3[[#This Row],[SOL_H]]</f>
        <v>3</v>
      </c>
      <c r="AK17" s="15" t="str">
        <f>_xlfn.CONCAT(TEXT(Table3[[#This Row],[OTW]]+Table3[[#This Row],[SOW]], "0"), "-", TEXT(Table3[[#This Row],[OTL]]+Table3[[#This Row],[SOL]],"0"))</f>
        <v>3-4</v>
      </c>
      <c r="AL17">
        <f>SUM(Table3[[#This Row],[OTW]],Table3[[#This Row],[OTL]],Table3[[#This Row],[SOW]],Table3[[#This Row],[SOL]])</f>
        <v>7</v>
      </c>
      <c r="AM17">
        <f>(Table3[[#This Row],[OTW]]+Table3[[#This Row],[SOW]])/IF(Table3[[#This Row],[Total_ExtraTimes]]=0,1,Table3[[#This Row],[Total_ExtraTimes]])</f>
        <v>0.42857142857142855</v>
      </c>
      <c r="AN17">
        <f>Table3[[#This Row],[Total_ExtraTimes]]/MAX(1,Table3[[#This Row],[GP]])</f>
        <v>0.41176470588235292</v>
      </c>
      <c r="AO17">
        <f>(2*(Table3[[#This Row],[W_A]]+Table3[[#This Row],[W_H]]))+Table3[[#This Row],[OTL_A]]+Table3[[#This Row],[SOL_A]]+Table3[[#This Row],[OTL_H]]+Table3[[#This Row],[SOL_H]]</f>
        <v>20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17" s="10">
        <f>Table3[[#This Row],[PTS]]/(2*Table3[[#This Row],[GP]])</f>
        <v>0.58823529411764708</v>
      </c>
      <c r="AR17" s="10">
        <f>Table3[[#This Row],[PTS2]]/(3*Table3[[#This Row],[GP]])</f>
        <v>0.49019607843137253</v>
      </c>
      <c r="AS17">
        <f>(2*Table3[[#This Row],[GR]])+Table3[[#This Row],[PTS]]</f>
        <v>150</v>
      </c>
      <c r="AT17">
        <f>(3*Table3[[#This Row],[GR]])+Table3[[#This Row],[PTS2]]</f>
        <v>220</v>
      </c>
      <c r="AU17">
        <f>Table3[[#This Row],[PTS]]+(2 * Table3[[#This Row],[GR]] * Table3[[#This Row],[PTS%]])</f>
        <v>96.470588235294116</v>
      </c>
      <c r="AV17">
        <f>Table3[[#This Row],[PTS2]]+(3 * Table3[[#This Row],[GR]] * Table3[[#This Row],[PTS%2]])</f>
        <v>120.58823529411764</v>
      </c>
      <c r="AW17" s="15" t="str">
        <f>_xlfn.CONCAT(TEXT(Table3[[#This Row],[W]], "0"), "-", TEXT(Table3[[#This Row],[RL]],"0"), "-", TEXT(Table3[[#This Row],[OTL]]+Table3[[#This Row],[SOL]], "0"))</f>
        <v>8-5-4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35</v>
      </c>
      <c r="AZ17">
        <f>SUMIF(DataRegularSeason20242025!$D$3:$D$1315,$A17, DataRegularSeason20242025!$K$3:$K$1315)</f>
        <v>27</v>
      </c>
      <c r="BA17">
        <f>AY17-AZ17</f>
        <v>8</v>
      </c>
      <c r="BB17">
        <f>COUNTIFS(DataRegularSeason20242025!$E$3:$E$1315,Table3[[#This Row],[Teams]],DataRegularSeason20242025!$J$3:$J$1315,0)</f>
        <v>1</v>
      </c>
      <c r="BC17">
        <f>SUMIF(DataRegularSeason20242025!$E$3:$E$1315,$A17,DataRegularSeason20242025!$K$3:$K$1315)</f>
        <v>15</v>
      </c>
      <c r="BD17">
        <f>SUMIF(DataRegularSeason20242025!$E$3:$E$1315,$A17,DataRegularSeason20242025!$J$3:$J$1315)</f>
        <v>25</v>
      </c>
      <c r="BE17">
        <f>BC17-BD17</f>
        <v>-10</v>
      </c>
      <c r="BF17">
        <f>AY17+BC17</f>
        <v>50</v>
      </c>
      <c r="BG17">
        <f>AZ17+BD17</f>
        <v>52</v>
      </c>
      <c r="BH17">
        <f>BF17-BG17</f>
        <v>-2</v>
      </c>
      <c r="BI17" s="12">
        <f>Table3[[#This Row],[GF]]/Table3[[#This Row],[GP]]</f>
        <v>2.9411764705882355</v>
      </c>
      <c r="BJ17" s="12">
        <f>Table3[[#This Row],[GA]]/Table3[[#This Row],[GP]]</f>
        <v>3.0588235294117645</v>
      </c>
      <c r="BK17" s="12">
        <f>(Table3[[#This Row],[GF]]-Table3[[#This Row],[GA]])/Table3[[#This Row],[GP]]</f>
        <v>-0.11764705882352941</v>
      </c>
      <c r="BL17" s="42" t="str">
        <f>_xlfn.CONCAT(TEXT(Table3[[#This Row],[W_H]], "0"), "-", TEXT(Table3[[#This Row],[RL_H]],"0"), "-", TEXT(Table3[[#This Row],[OTL_H]]+Table3[[#This Row],[SOL_H]], "0"))</f>
        <v>1-4-2</v>
      </c>
      <c r="BM17" s="42" t="str">
        <f>_xlfn.CONCAT(TEXT(Table3[[#This Row],[W_A]], "0"), "-", TEXT(Table3[[#This Row],[RL_A]],"0"), "-", TEXT(Table3[[#This Row],[OTL_A]]+Table3[[#This Row],[SOL_A]], "0"))</f>
        <v>7-1-2</v>
      </c>
      <c r="BN17" s="42">
        <f>((2*(Table3[[#This Row],[W_H]]))+Table3[[#This Row],[OTL_H]]+Table3[[#This Row],[SOL_H]])/(2*Table3[[#This Row],[GP_H]])</f>
        <v>0.2857142857142857</v>
      </c>
      <c r="BO17" s="42">
        <f>((2*(Table3[[#This Row],[W_A]]))+Table3[[#This Row],[OTL_A]]+Table3[[#This Row],[SOL_A]])/(2*Table3[[#This Row],[GP_A]])</f>
        <v>0.8</v>
      </c>
      <c r="BP17" s="16">
        <f>(Table3[[#This Row],[W]]*$CX$3)+(Table3[[#This Row],[L]]*$CX$4)+(Table3[[#This Row],[GF]]*$CX$5)+(Table3[[#This Row],[GA]]*$CX$6)</f>
        <v>19.399999999999999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82.673356401384083</v>
      </c>
      <c r="BR17" s="16">
        <f>(Table3[[#This Row],[W]]*0.7) + ((Table3[[#This Row],[GF]] - Table3[[#This Row],[GA]])*0.25)+(Table3[[#This Row],[GF]]*0.1)+(Table3[[#This Row],[GA]]*0.05)+(Table3[[#This Row],[L]]*0.3)</f>
        <v>15.399999999999999</v>
      </c>
      <c r="BS17" s="16">
        <f>Table3[[#This Row],[TeamCost83]]/Table3[[#This Row],[GP]]</f>
        <v>0.90588235294117636</v>
      </c>
      <c r="BT17">
        <f>COUNTIFS(Table2[AwayTeam],$A17,Table2[PredictedWinner], $A17, Table2[GameIsOver], 1)</f>
        <v>2</v>
      </c>
      <c r="BU17">
        <f>COUNTIFS(Table2[HomeTeam],$A17,Table2[PredictedWinner], $A17, Table2[GameIsOver], 1)</f>
        <v>2</v>
      </c>
      <c r="BV17">
        <f>BT17+BU17</f>
        <v>4</v>
      </c>
      <c r="BW17">
        <f>F17-BT17</f>
        <v>8</v>
      </c>
      <c r="BX17">
        <f>H17-BU17</f>
        <v>5</v>
      </c>
      <c r="BY17">
        <f>BW17+BX17</f>
        <v>13</v>
      </c>
      <c r="BZ17">
        <f>Table3[[#This Row],[TimesPredictedWinner]]/Table3[[#This Row],[GP]]</f>
        <v>0.23529411764705882</v>
      </c>
      <c r="CB17">
        <v>2014</v>
      </c>
      <c r="CD17" s="1">
        <v>45752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2.7</v>
      </c>
      <c r="CJ17">
        <f>SUMIFS(Table2[GamePredictionScore], Table2[HomeTeam], Table3[[#This Row],[Teams]])</f>
        <v>3.3000000000000003</v>
      </c>
      <c r="CK17">
        <f>Table3[[#This Row],[Column4]]+Table3[[#This Row],[Column3]]</f>
        <v>6</v>
      </c>
      <c r="CL17">
        <f>Table3[[#This Row],[Column5]]/Table3[[#This Row],[GP]]</f>
        <v>0.35294117647058826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14</v>
      </c>
      <c r="B18" t="s">
        <v>90</v>
      </c>
      <c r="C18" t="s">
        <v>88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13</v>
      </c>
      <c r="E18" s="10">
        <f>Table3[[#This Row],[Watched]]/Table3[[#This Row],[GP]]</f>
        <v>0.8125</v>
      </c>
      <c r="F18">
        <f>COUNTIFS(DataRegularSeason20242025!$N$3:$N$1315,1,DataRegularSeason20242025!$D$3:$D$1315,$A18)</f>
        <v>11</v>
      </c>
      <c r="G18">
        <f>41-Table3[[#This Row],[GP_A]]</f>
        <v>30</v>
      </c>
      <c r="H18">
        <f>COUNTIFS(DataRegularSeason20242025!$E$3:$E$1315,$A18,DataRegularSeason20242025!$N$3:$N$1315,1)</f>
        <v>5</v>
      </c>
      <c r="I18">
        <f>41-Table3[[#This Row],[GP_H]]</f>
        <v>36</v>
      </c>
      <c r="J18">
        <f>F18+H18</f>
        <v>16</v>
      </c>
      <c r="K18">
        <f>82-Table3[[#This Row],[GP]]</f>
        <v>66</v>
      </c>
      <c r="L18">
        <f>COUNTIFS(DataRegularSeason20242025!$D$3:$D$1315,$A18, DataRegularSeason20242025!$L$3:$L$1315, $A18,DataRegularSeason20242025!$N$3:$N$1315,1)</f>
        <v>5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2</v>
      </c>
      <c r="O18">
        <f>COUNTIFS(DataRegularSeason20242025!$D$3:$D$1315,$A18, DataRegularSeason20242025!$L$3:$L$1315, $A18,DataRegularSeason20242025!$N$3:$N$1315,1,DataRegularSeason20242025!$M$3:$M$1315,"SO")</f>
        <v>0</v>
      </c>
      <c r="P18">
        <f>F18-L18</f>
        <v>6</v>
      </c>
      <c r="Q18">
        <f>COUNTIFS(DataRegularSeason20242025!$D$3:$D$1315,$A18, DataRegularSeason20242025!$S$3:$S$1315, $A18,DataRegularSeason20242025!$M$3:$M$1315,"REG")</f>
        <v>6</v>
      </c>
      <c r="R18">
        <f>COUNTIFS(DataRegularSeason20242025!$D$3:$D$1315,$A18, DataRegularSeason20242025!$S$3:$S$1315, $A18,DataRegularSeason20242025!$M$3:$M$1315,"OT")</f>
        <v>0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4</v>
      </c>
      <c r="U18">
        <f>COUNTIFS(DataRegularSeason20242025!$E$3:$E$1315,$A18, DataRegularSeason20242025!$L$3:$L$1315, $A18,DataRegularSeason20242025!$N$3:$N$1315,1,DataRegularSeason20242025!$M$3:$M$1315,"REG")</f>
        <v>3</v>
      </c>
      <c r="V18">
        <f>COUNTIFS(DataRegularSeason20242025!$E$3:$E$1315,$A18, DataRegularSeason20242025!$L$3:$L$1315, $A18,DataRegularSeason20242025!$N$3:$N$1315,1,DataRegularSeason20242025!$M$3:$M$1315,"OT")</f>
        <v>1</v>
      </c>
      <c r="W18">
        <f>COUNTIFS(DataRegularSeason20242025!$E$3:$E$1315,$A18, DataRegularSeason20242025!$L$3:$L$1315, $A18,DataRegularSeason20242025!$N$3:$N$1315,1,DataRegularSeason20242025!$M$3:$M$1315,"SO")</f>
        <v>0</v>
      </c>
      <c r="X18">
        <f>H18-T18</f>
        <v>1</v>
      </c>
      <c r="Y18">
        <f>COUNTIFS(DataRegularSeason20242025!$E$3:$E$1315,$A18, DataRegularSeason20242025!$S$3:$S$1315, $A18,DataRegularSeason20242025!$M$3:$M$1315,"REG")</f>
        <v>1</v>
      </c>
      <c r="Z18">
        <f>COUNTIFS(DataRegularSeason20242025!$E$3:$E$1315,$A18, DataRegularSeason20242025!$S$3:$S$1315, $A18,DataRegularSeason20242025!$M$3:$M$1315,"OT")</f>
        <v>0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0.5625</v>
      </c>
      <c r="AC18">
        <f>Table3[[#This Row],[W_A]]+Table3[[#This Row],[W_H]]</f>
        <v>9</v>
      </c>
      <c r="AD18">
        <f>Table3[[#This Row],[L_A]]+Table3[[#This Row],[L_H]]</f>
        <v>7</v>
      </c>
      <c r="AE18">
        <f>Table3[[#This Row],[RW_A]]+Table3[[#This Row],[RW_H]]</f>
        <v>6</v>
      </c>
      <c r="AF18">
        <f>Table3[[#This Row],[RL_A]]+Table3[[#This Row],[RL_H]]</f>
        <v>7</v>
      </c>
      <c r="AG18">
        <f>Table3[[#This Row],[OTW_A]]+Table3[[#This Row],[OTW_H]]</f>
        <v>3</v>
      </c>
      <c r="AH18">
        <f>Table3[[#This Row],[OTL_A]]+Table3[[#This Row],[OTL_H]]</f>
        <v>0</v>
      </c>
      <c r="AI18">
        <f>Table3[[#This Row],[SOW_A]]+Table3[[#This Row],[SOW_H]]</f>
        <v>0</v>
      </c>
      <c r="AJ18">
        <f>Table3[[#This Row],[SOL_A]]+Table3[[#This Row],[SOL_H]]</f>
        <v>0</v>
      </c>
      <c r="AK18" s="15" t="str">
        <f>_xlfn.CONCAT(TEXT(Table3[[#This Row],[OTW]]+Table3[[#This Row],[SOW]], "0"), "-", TEXT(Table3[[#This Row],[OTL]]+Table3[[#This Row],[SOL]],"0"))</f>
        <v>3-0</v>
      </c>
      <c r="AL18">
        <f>SUM(Table3[[#This Row],[OTW]],Table3[[#This Row],[OTL]],Table3[[#This Row],[SOW]],Table3[[#This Row],[SOL]])</f>
        <v>3</v>
      </c>
      <c r="AM18">
        <f>(Table3[[#This Row],[OTW]]+Table3[[#This Row],[SOW]])/IF(Table3[[#This Row],[Total_ExtraTimes]]=0,1,Table3[[#This Row],[Total_ExtraTimes]])</f>
        <v>1</v>
      </c>
      <c r="AN18">
        <f>Table3[[#This Row],[Total_ExtraTimes]]/MAX(1,Table3[[#This Row],[GP]])</f>
        <v>0.1875</v>
      </c>
      <c r="AO18">
        <f>(2*(Table3[[#This Row],[W_A]]+Table3[[#This Row],[W_H]]))+Table3[[#This Row],[OTL_A]]+Table3[[#This Row],[SOL_A]]+Table3[[#This Row],[OTL_H]]+Table3[[#This Row],[SOL_H]]</f>
        <v>18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18" s="10">
        <f>Table3[[#This Row],[PTS]]/(2*Table3[[#This Row],[GP]])</f>
        <v>0.5625</v>
      </c>
      <c r="AR18" s="10">
        <f>Table3[[#This Row],[PTS2]]/(3*Table3[[#This Row],[GP]])</f>
        <v>0.5</v>
      </c>
      <c r="AS18">
        <f>(2*Table3[[#This Row],[GR]])+Table3[[#This Row],[PTS]]</f>
        <v>150</v>
      </c>
      <c r="AT18">
        <f>(3*Table3[[#This Row],[GR]])+Table3[[#This Row],[PTS2]]</f>
        <v>222</v>
      </c>
      <c r="AU18">
        <f>Table3[[#This Row],[PTS]]+(2 * Table3[[#This Row],[GR]] * Table3[[#This Row],[PTS%]])</f>
        <v>92.25</v>
      </c>
      <c r="AV18">
        <f>Table3[[#This Row],[PTS2]]+(3 * Table3[[#This Row],[GR]] * Table3[[#This Row],[PTS%2]])</f>
        <v>123</v>
      </c>
      <c r="AW18" s="15" t="str">
        <f>_xlfn.CONCAT(TEXT(Table3[[#This Row],[W]], "0"), "-", TEXT(Table3[[#This Row],[RL]],"0"), "-", TEXT(Table3[[#This Row],[OTL]]+Table3[[#This Row],[SOL]], "0"))</f>
        <v>9-7-0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33</v>
      </c>
      <c r="AZ18">
        <f>SUMIF(DataRegularSeason20242025!$D$3:$D$1315,$A18, DataRegularSeason20242025!$K$3:$K$1315)</f>
        <v>37</v>
      </c>
      <c r="BA18">
        <f>AY18-AZ18</f>
        <v>-4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21</v>
      </c>
      <c r="BD18">
        <f>SUMIF(DataRegularSeason20242025!$E$3:$E$1315,$A18,DataRegularSeason20242025!$J$3:$J$1315)</f>
        <v>15</v>
      </c>
      <c r="BE18">
        <f>BC18-BD18</f>
        <v>6</v>
      </c>
      <c r="BF18">
        <f>AY18+BC18</f>
        <v>54</v>
      </c>
      <c r="BG18">
        <f>AZ18+BD18</f>
        <v>52</v>
      </c>
      <c r="BH18">
        <f>BF18-BG18</f>
        <v>2</v>
      </c>
      <c r="BI18" s="12">
        <f>Table3[[#This Row],[GF]]/Table3[[#This Row],[GP]]</f>
        <v>3.375</v>
      </c>
      <c r="BJ18" s="12">
        <f>Table3[[#This Row],[GA]]/Table3[[#This Row],[GP]]</f>
        <v>3.25</v>
      </c>
      <c r="BK18" s="12">
        <f>(Table3[[#This Row],[GF]]-Table3[[#This Row],[GA]])/Table3[[#This Row],[GP]]</f>
        <v>0.125</v>
      </c>
      <c r="BL18" s="42" t="str">
        <f>_xlfn.CONCAT(TEXT(Table3[[#This Row],[W_H]], "0"), "-", TEXT(Table3[[#This Row],[RL_H]],"0"), "-", TEXT(Table3[[#This Row],[OTL_H]]+Table3[[#This Row],[SOL_H]], "0"))</f>
        <v>4-1-0</v>
      </c>
      <c r="BM18" s="42" t="str">
        <f>_xlfn.CONCAT(TEXT(Table3[[#This Row],[W_A]], "0"), "-", TEXT(Table3[[#This Row],[RL_A]],"0"), "-", TEXT(Table3[[#This Row],[OTL_A]]+Table3[[#This Row],[SOL_A]], "0"))</f>
        <v>5-6-0</v>
      </c>
      <c r="BN18" s="42">
        <f>((2*(Table3[[#This Row],[W_H]]))+Table3[[#This Row],[OTL_H]]+Table3[[#This Row],[SOL_H]])/(2*Table3[[#This Row],[GP_H]])</f>
        <v>0.8</v>
      </c>
      <c r="BO18" s="42">
        <f>((2*(Table3[[#This Row],[W_A]]))+Table3[[#This Row],[OTL_A]]+Table3[[#This Row],[SOL_A]])/(2*Table3[[#This Row],[GP_A]])</f>
        <v>0.45454545454545453</v>
      </c>
      <c r="BP18" s="16">
        <f>(Table3[[#This Row],[W]]*$CX$3)+(Table3[[#This Row],[L]]*$CX$4)+(Table3[[#This Row],[GF]]*$CX$5)+(Table3[[#This Row],[GA]]*$CX$6)</f>
        <v>19.899999999999999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90.176562499999989</v>
      </c>
      <c r="BR18" s="16">
        <f>(Table3[[#This Row],[W]]*0.7) + ((Table3[[#This Row],[GF]] - Table3[[#This Row],[GA]])*0.25)+(Table3[[#This Row],[GF]]*0.1)+(Table3[[#This Row],[GA]]*0.05)+(Table3[[#This Row],[L]]*0.3)</f>
        <v>16.899999999999999</v>
      </c>
      <c r="BS18" s="16">
        <f>Table3[[#This Row],[TeamCost83]]/Table3[[#This Row],[GP]]</f>
        <v>1.0562499999999999</v>
      </c>
      <c r="BT18">
        <f>COUNTIFS(Table2[AwayTeam],$A18,Table2[PredictedWinner], $A18, Table2[GameIsOver], 1)</f>
        <v>5</v>
      </c>
      <c r="BU18">
        <f>COUNTIFS(Table2[HomeTeam],$A18,Table2[PredictedWinner], $A18, Table2[GameIsOver], 1)</f>
        <v>2</v>
      </c>
      <c r="BV18">
        <f>BT18+BU18</f>
        <v>7</v>
      </c>
      <c r="BW18">
        <f>F18-BT18</f>
        <v>6</v>
      </c>
      <c r="BX18">
        <f>H18-BU18</f>
        <v>3</v>
      </c>
      <c r="BY18">
        <f>BW18+BX18</f>
        <v>9</v>
      </c>
      <c r="BZ18">
        <f>Table3[[#This Row],[TimesPredictedWinner]]/Table3[[#This Row],[GP]]</f>
        <v>0.4375</v>
      </c>
      <c r="CC18" s="1">
        <v>45756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5.9</v>
      </c>
      <c r="CJ18">
        <f>SUMIFS(Table2[GamePredictionScore], Table2[HomeTeam], Table3[[#This Row],[Teams]])</f>
        <v>1.1000000000000001</v>
      </c>
      <c r="CK18">
        <f>Table3[[#This Row],[Column4]]+Table3[[#This Row],[Column3]]</f>
        <v>7</v>
      </c>
      <c r="CL18">
        <f>Table3[[#This Row],[Column5]]/Table3[[#This Row],[GP]]</f>
        <v>0.4375</v>
      </c>
      <c r="CR18">
        <f>LARGE($AO$2:$AO$33,1)</f>
        <v>27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30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15</v>
      </c>
      <c r="E19" s="10">
        <f>Table3[[#This Row],[Watched]]/Table3[[#This Row],[GP]]</f>
        <v>0.9375</v>
      </c>
      <c r="F19">
        <f>COUNTIFS(DataRegularSeason20242025!$N$3:$N$1315,1,DataRegularSeason20242025!$D$3:$D$1315,$A19)</f>
        <v>8</v>
      </c>
      <c r="G19">
        <f>41-Table3[[#This Row],[GP_A]]</f>
        <v>33</v>
      </c>
      <c r="H19">
        <f>COUNTIFS(DataRegularSeason20242025!$E$3:$E$1315,$A19,DataRegularSeason20242025!$N$3:$N$1315,1)</f>
        <v>8</v>
      </c>
      <c r="I19">
        <f>41-Table3[[#This Row],[GP_H]]</f>
        <v>33</v>
      </c>
      <c r="J19">
        <f>F19+H19</f>
        <v>16</v>
      </c>
      <c r="K19">
        <f>82-Table3[[#This Row],[GP]]</f>
        <v>66</v>
      </c>
      <c r="L19">
        <f>COUNTIFS(DataRegularSeason20242025!$D$3:$D$1315,$A19, DataRegularSeason20242025!$L$3:$L$1315, $A19,DataRegularSeason20242025!$N$3:$N$1315,1)</f>
        <v>4</v>
      </c>
      <c r="M19">
        <f>COUNTIFS(DataRegularSeason20242025!$D$3:$D$1315,$A19, DataRegularSeason20242025!$L$3:$L$1315, $A19,DataRegularSeason20242025!$N$3:$N$1315,1,DataRegularSeason20242025!$M$3:$M$1315,"REG")</f>
        <v>2</v>
      </c>
      <c r="N19">
        <f>COUNTIFS(DataRegularSeason20242025!$D$3:$D$1315,$A19, DataRegularSeason20242025!$L$3:$L$1315, $A19,DataRegularSeason20242025!$N$3:$N$1315,1,DataRegularSeason20242025!$M$3:$M$1315,"OT")</f>
        <v>0</v>
      </c>
      <c r="O19">
        <f>COUNTIFS(DataRegularSeason20242025!$D$3:$D$1315,$A19, DataRegularSeason20242025!$L$3:$L$1315, $A19,DataRegularSeason20242025!$N$3:$N$1315,1,DataRegularSeason20242025!$M$3:$M$1315,"SO")</f>
        <v>2</v>
      </c>
      <c r="P19">
        <f>F19-L19</f>
        <v>4</v>
      </c>
      <c r="Q19">
        <f>COUNTIFS(DataRegularSeason20242025!$D$3:$D$1315,$A19, DataRegularSeason20242025!$S$3:$S$1315, $A19,DataRegularSeason20242025!$M$3:$M$1315,"REG")</f>
        <v>4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5</v>
      </c>
      <c r="U19">
        <f>COUNTIFS(DataRegularSeason20242025!$E$3:$E$1315,$A19, DataRegularSeason20242025!$L$3:$L$1315, $A19,DataRegularSeason20242025!$N$3:$N$1315,1,DataRegularSeason20242025!$M$3:$M$1315,"REG")</f>
        <v>4</v>
      </c>
      <c r="V19">
        <f>COUNTIFS(DataRegularSeason20242025!$E$3:$E$1315,$A19, DataRegularSeason20242025!$L$3:$L$1315, $A19,DataRegularSeason20242025!$N$3:$N$1315,1,DataRegularSeason20242025!$M$3:$M$1315,"OT")</f>
        <v>1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>H19-T19</f>
        <v>3</v>
      </c>
      <c r="Y19">
        <f>COUNTIFS(DataRegularSeason20242025!$E$3:$E$1315,$A19, DataRegularSeason20242025!$S$3:$S$1315, $A19,DataRegularSeason20242025!$M$3:$M$1315,"REG")</f>
        <v>3</v>
      </c>
      <c r="Z19">
        <f>COUNTIFS(DataRegularSeason20242025!$E$3:$E$1315,$A19, DataRegularSeason20242025!$S$3:$S$1315, $A19,DataRegularSeason20242025!$M$3:$M$1315,"OT")</f>
        <v>0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0.5625</v>
      </c>
      <c r="AC19">
        <f>Table3[[#This Row],[W_A]]+Table3[[#This Row],[W_H]]</f>
        <v>9</v>
      </c>
      <c r="AD19">
        <f>Table3[[#This Row],[L_A]]+Table3[[#This Row],[L_H]]</f>
        <v>7</v>
      </c>
      <c r="AE19">
        <f>Table3[[#This Row],[RW_A]]+Table3[[#This Row],[RW_H]]</f>
        <v>6</v>
      </c>
      <c r="AF19">
        <f>Table3[[#This Row],[RL_A]]+Table3[[#This Row],[RL_H]]</f>
        <v>7</v>
      </c>
      <c r="AG19">
        <f>Table3[[#This Row],[OTW_A]]+Table3[[#This Row],[OTW_H]]</f>
        <v>1</v>
      </c>
      <c r="AH19">
        <f>Table3[[#This Row],[OTL_A]]+Table3[[#This Row],[OTL_H]]</f>
        <v>0</v>
      </c>
      <c r="AI19">
        <f>Table3[[#This Row],[SOW_A]]+Table3[[#This Row],[SOW_H]]</f>
        <v>2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3-0</v>
      </c>
      <c r="AL19">
        <f>SUM(Table3[[#This Row],[OTW]],Table3[[#This Row],[OTL]],Table3[[#This Row],[SOW]],Table3[[#This Row],[SOL]])</f>
        <v>3</v>
      </c>
      <c r="AM19">
        <f>(Table3[[#This Row],[OTW]]+Table3[[#This Row],[SOW]])/IF(Table3[[#This Row],[Total_ExtraTimes]]=0,1,Table3[[#This Row],[Total_ExtraTimes]])</f>
        <v>1</v>
      </c>
      <c r="AN19">
        <f>Table3[[#This Row],[Total_ExtraTimes]]/MAX(1,Table3[[#This Row],[GP]])</f>
        <v>0.1875</v>
      </c>
      <c r="AO19">
        <f>(2*(Table3[[#This Row],[W_A]]+Table3[[#This Row],[W_H]]))+Table3[[#This Row],[OTL_A]]+Table3[[#This Row],[SOL_A]]+Table3[[#This Row],[OTL_H]]+Table3[[#This Row],[SOL_H]]</f>
        <v>18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19" s="10">
        <f>Table3[[#This Row],[PTS]]/(2*Table3[[#This Row],[GP]])</f>
        <v>0.5625</v>
      </c>
      <c r="AR19" s="10">
        <f>Table3[[#This Row],[PTS2]]/(3*Table3[[#This Row],[GP]])</f>
        <v>0.5</v>
      </c>
      <c r="AS19">
        <f>(2*Table3[[#This Row],[GR]])+Table3[[#This Row],[PTS]]</f>
        <v>150</v>
      </c>
      <c r="AT19">
        <f>(3*Table3[[#This Row],[GR]])+Table3[[#This Row],[PTS2]]</f>
        <v>222</v>
      </c>
      <c r="AU19">
        <f>Table3[[#This Row],[PTS]]+(2 * Table3[[#This Row],[GR]] * Table3[[#This Row],[PTS%]])</f>
        <v>92.25</v>
      </c>
      <c r="AV19">
        <f>Table3[[#This Row],[PTS2]]+(3 * Table3[[#This Row],[GR]] * Table3[[#This Row],[PTS%2]])</f>
        <v>123</v>
      </c>
      <c r="AW19" s="15" t="str">
        <f>_xlfn.CONCAT(TEXT(Table3[[#This Row],[W]], "0"), "-", TEXT(Table3[[#This Row],[RL]],"0"), "-", TEXT(Table3[[#This Row],[OTL]]+Table3[[#This Row],[SOL]], "0"))</f>
        <v>9-7-0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21</v>
      </c>
      <c r="AZ19">
        <f>SUMIF(DataRegularSeason20242025!$D$3:$D$1315,$A19, DataRegularSeason20242025!$K$3:$K$1315)</f>
        <v>26</v>
      </c>
      <c r="BA19">
        <f>AY19-AZ19</f>
        <v>-5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25</v>
      </c>
      <c r="BD19">
        <f>SUMIF(DataRegularSeason20242025!$E$3:$E$1315,$A19,DataRegularSeason20242025!$J$3:$J$1315)</f>
        <v>25</v>
      </c>
      <c r="BE19">
        <f>BC19-BD19</f>
        <v>0</v>
      </c>
      <c r="BF19">
        <f>AY19+BC19</f>
        <v>46</v>
      </c>
      <c r="BG19">
        <f>AZ19+BD19</f>
        <v>51</v>
      </c>
      <c r="BH19">
        <f>BF19-BG19</f>
        <v>-5</v>
      </c>
      <c r="BI19" s="12">
        <f>Table3[[#This Row],[GF]]/Table3[[#This Row],[GP]]</f>
        <v>2.875</v>
      </c>
      <c r="BJ19" s="12">
        <f>Table3[[#This Row],[GA]]/Table3[[#This Row],[GP]]</f>
        <v>3.1875</v>
      </c>
      <c r="BK19" s="12">
        <f>(Table3[[#This Row],[GF]]-Table3[[#This Row],[GA]])/Table3[[#This Row],[GP]]</f>
        <v>-0.3125</v>
      </c>
      <c r="BL19" s="42" t="str">
        <f>_xlfn.CONCAT(TEXT(Table3[[#This Row],[W_H]], "0"), "-", TEXT(Table3[[#This Row],[RL_H]],"0"), "-", TEXT(Table3[[#This Row],[OTL_H]]+Table3[[#This Row],[SOL_H]], "0"))</f>
        <v>5-3-0</v>
      </c>
      <c r="BM19" s="42" t="str">
        <f>_xlfn.CONCAT(TEXT(Table3[[#This Row],[W_A]], "0"), "-", TEXT(Table3[[#This Row],[RL_A]],"0"), "-", TEXT(Table3[[#This Row],[OTL_A]]+Table3[[#This Row],[SOL_A]], "0"))</f>
        <v>4-4-0</v>
      </c>
      <c r="BN19" s="42">
        <f>((2*(Table3[[#This Row],[W_H]]))+Table3[[#This Row],[OTL_H]]+Table3[[#This Row],[SOL_H]])/(2*Table3[[#This Row],[GP_H]])</f>
        <v>0.625</v>
      </c>
      <c r="BO19" s="42">
        <f>((2*(Table3[[#This Row],[W_A]]))+Table3[[#This Row],[OTL_A]]+Table3[[#This Row],[SOL_A]])/(2*Table3[[#This Row],[GP_A]])</f>
        <v>0.5</v>
      </c>
      <c r="BP19" s="16">
        <f>(Table3[[#This Row],[W]]*$CX$3)+(Table3[[#This Row],[L]]*$CX$4)+(Table3[[#This Row],[GF]]*$CX$5)+(Table3[[#This Row],[GA]]*$CX$6)</f>
        <v>18.600000000000001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82.214062499999983</v>
      </c>
      <c r="BR19" s="16">
        <f>(Table3[[#This Row],[W]]*0.7) + ((Table3[[#This Row],[GF]] - Table3[[#This Row],[GA]])*0.25)+(Table3[[#This Row],[GF]]*0.1)+(Table3[[#This Row],[GA]]*0.05)+(Table3[[#This Row],[L]]*0.3)</f>
        <v>14.3</v>
      </c>
      <c r="BS19" s="16">
        <f>Table3[[#This Row],[TeamCost83]]/Table3[[#This Row],[GP]]</f>
        <v>0.89375000000000004</v>
      </c>
      <c r="BT19">
        <f>COUNTIFS(Table2[AwayTeam],$A19,Table2[PredictedWinner], $A19, Table2[GameIsOver], 1)</f>
        <v>6</v>
      </c>
      <c r="BU19">
        <f>COUNTIFS(Table2[HomeTeam],$A19,Table2[PredictedWinner], $A19, Table2[GameIsOver], 1)</f>
        <v>3</v>
      </c>
      <c r="BV19">
        <f>BT19+BU19</f>
        <v>9</v>
      </c>
      <c r="BW19">
        <f>F19-BT19</f>
        <v>2</v>
      </c>
      <c r="BX19">
        <f>H19-BU19</f>
        <v>5</v>
      </c>
      <c r="BY19">
        <f>BW19+BX19</f>
        <v>7</v>
      </c>
      <c r="BZ19">
        <f>Table3[[#This Row],[TimesPredictedWinner]]/Table3[[#This Row],[GP]]</f>
        <v>0.5625</v>
      </c>
      <c r="CB19">
        <v>2008</v>
      </c>
      <c r="CC19" s="1">
        <v>45759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3.3</v>
      </c>
      <c r="CJ19">
        <f>SUMIFS(Table2[GamePredictionScore], Table2[HomeTeam], Table3[[#This Row],[Teams]])</f>
        <v>3.3</v>
      </c>
      <c r="CK19">
        <f>Table3[[#This Row],[Column4]]+Table3[[#This Row],[Column3]]</f>
        <v>6.6</v>
      </c>
      <c r="CL19">
        <f>Table3[[#This Row],[Column5]]/Table3[[#This Row],[GP]]</f>
        <v>0.41249999999999998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32</v>
      </c>
      <c r="B20" t="s">
        <v>91</v>
      </c>
      <c r="C20" t="s">
        <v>92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10</v>
      </c>
      <c r="E20" s="10">
        <f>Table3[[#This Row],[Watched]]/Table3[[#This Row],[GP]]</f>
        <v>0.625</v>
      </c>
      <c r="F20">
        <f>COUNTIFS(DataRegularSeason20242025!$N$3:$N$1315,1,DataRegularSeason20242025!$D$3:$D$1315,$A20)</f>
        <v>8</v>
      </c>
      <c r="G20">
        <f>41-Table3[[#This Row],[GP_A]]</f>
        <v>33</v>
      </c>
      <c r="H20">
        <f>COUNTIFS(DataRegularSeason20242025!$E$3:$E$1315,$A20,DataRegularSeason20242025!$N$3:$N$1315,1)</f>
        <v>8</v>
      </c>
      <c r="I20">
        <f>41-Table3[[#This Row],[GP_H]]</f>
        <v>33</v>
      </c>
      <c r="J20">
        <f>F20+H20</f>
        <v>16</v>
      </c>
      <c r="K20">
        <f>82-Table3[[#This Row],[GP]]</f>
        <v>66</v>
      </c>
      <c r="L20">
        <f>COUNTIFS(DataRegularSeason20242025!$D$3:$D$1315,$A20, DataRegularSeason20242025!$L$3:$L$1315, $A20,DataRegularSeason20242025!$N$3:$N$1315,1)</f>
        <v>4</v>
      </c>
      <c r="M20">
        <f>COUNTIFS(DataRegularSeason20242025!$D$3:$D$1315,$A20, DataRegularSeason20242025!$L$3:$L$1315, $A20,DataRegularSeason20242025!$N$3:$N$1315,1,DataRegularSeason20242025!$M$3:$M$1315,"REG")</f>
        <v>3</v>
      </c>
      <c r="N20">
        <f>COUNTIFS(DataRegularSeason20242025!$D$3:$D$1315,$A20, DataRegularSeason20242025!$L$3:$L$1315, $A20,DataRegularSeason20242025!$N$3:$N$1315,1,DataRegularSeason20242025!$M$3:$M$1315,"OT")</f>
        <v>1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>F20-L20</f>
        <v>4</v>
      </c>
      <c r="Q20">
        <f>COUNTIFS(DataRegularSeason20242025!$D$3:$D$1315,$A20, DataRegularSeason20242025!$S$3:$S$1315, $A20,DataRegularSeason20242025!$M$3:$M$1315,"REG")</f>
        <v>3</v>
      </c>
      <c r="R20">
        <f>COUNTIFS(DataRegularSeason20242025!$D$3:$D$1315,$A20, DataRegularSeason20242025!$S$3:$S$1315, $A20,DataRegularSeason20242025!$M$3:$M$1315,"OT")</f>
        <v>0</v>
      </c>
      <c r="S20">
        <f>COUNTIFS(DataRegularSeason20242025!$D$3:$D$1315,$A20, DataRegularSeason20242025!$S$3:$S$1315, $A20,DataRegularSeason20242025!$M$3:$M$1315,"SO")</f>
        <v>1</v>
      </c>
      <c r="T20">
        <f>COUNTIFS(DataRegularSeason20242025!$E$3:$E$1315,$A20, DataRegularSeason20242025!$L$3:$L$1315, $A20, DataRegularSeason20242025!$N$3:$N$1315,1)</f>
        <v>4</v>
      </c>
      <c r="U20">
        <f>COUNTIFS(DataRegularSeason20242025!$E$3:$E$1315,$A20, DataRegularSeason20242025!$L$3:$L$1315, $A20,DataRegularSeason20242025!$N$3:$N$1315,1,DataRegularSeason20242025!$M$3:$M$1315,"REG")</f>
        <v>4</v>
      </c>
      <c r="V20">
        <f>COUNTIFS(DataRegularSeason20242025!$E$3:$E$1315,$A20, DataRegularSeason20242025!$L$3:$L$1315, $A20,DataRegularSeason20242025!$N$3:$N$1315,1,DataRegularSeason20242025!$M$3:$M$1315,"OT")</f>
        <v>0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>H20-T20</f>
        <v>4</v>
      </c>
      <c r="Y20">
        <f>COUNTIFS(DataRegularSeason20242025!$E$3:$E$1315,$A20, DataRegularSeason20242025!$S$3:$S$1315, $A20,DataRegularSeason20242025!$M$3:$M$1315,"REG")</f>
        <v>3</v>
      </c>
      <c r="Z20">
        <f>COUNTIFS(DataRegularSeason20242025!$E$3:$E$1315,$A20, DataRegularSeason20242025!$S$3:$S$1315, $A20,DataRegularSeason20242025!$M$3:$M$1315,"OT")</f>
        <v>0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0.5</v>
      </c>
      <c r="AC20">
        <f>Table3[[#This Row],[W_A]]+Table3[[#This Row],[W_H]]</f>
        <v>8</v>
      </c>
      <c r="AD20">
        <f>Table3[[#This Row],[L_A]]+Table3[[#This Row],[L_H]]</f>
        <v>8</v>
      </c>
      <c r="AE20">
        <f>Table3[[#This Row],[RW_A]]+Table3[[#This Row],[RW_H]]</f>
        <v>7</v>
      </c>
      <c r="AF20">
        <f>Table3[[#This Row],[RL_A]]+Table3[[#This Row],[RL_H]]</f>
        <v>6</v>
      </c>
      <c r="AG20">
        <f>Table3[[#This Row],[OTW_A]]+Table3[[#This Row],[OTW_H]]</f>
        <v>1</v>
      </c>
      <c r="AH20">
        <f>Table3[[#This Row],[OTL_A]]+Table3[[#This Row],[OTL_H]]</f>
        <v>0</v>
      </c>
      <c r="AI20">
        <f>Table3[[#This Row],[SOW_A]]+Table3[[#This Row],[SOW_H]]</f>
        <v>0</v>
      </c>
      <c r="AJ20">
        <f>Table3[[#This Row],[SOL_A]]+Table3[[#This Row],[SOL_H]]</f>
        <v>2</v>
      </c>
      <c r="AK20" s="15" t="str">
        <f>_xlfn.CONCAT(TEXT(Table3[[#This Row],[OTW]]+Table3[[#This Row],[SOW]], "0"), "-", TEXT(Table3[[#This Row],[OTL]]+Table3[[#This Row],[SOL]],"0"))</f>
        <v>1-2</v>
      </c>
      <c r="AL20">
        <f>SUM(Table3[[#This Row],[OTW]],Table3[[#This Row],[OTL]],Table3[[#This Row],[SOW]],Table3[[#This Row],[SOL]])</f>
        <v>3</v>
      </c>
      <c r="AM20">
        <f>(Table3[[#This Row],[OTW]]+Table3[[#This Row],[SOW]])/IF(Table3[[#This Row],[Total_ExtraTimes]]=0,1,Table3[[#This Row],[Total_ExtraTimes]])</f>
        <v>0.33333333333333331</v>
      </c>
      <c r="AN20">
        <f>Table3[[#This Row],[Total_ExtraTimes]]/MAX(1,Table3[[#This Row],[GP]])</f>
        <v>0.1875</v>
      </c>
      <c r="AO20">
        <f>(2*(Table3[[#This Row],[W_A]]+Table3[[#This Row],[W_H]]))+Table3[[#This Row],[OTL_A]]+Table3[[#This Row],[SOL_A]]+Table3[[#This Row],[OTL_H]]+Table3[[#This Row],[SOL_H]]</f>
        <v>18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20" s="10">
        <f>Table3[[#This Row],[PTS]]/(2*Table3[[#This Row],[GP]])</f>
        <v>0.5625</v>
      </c>
      <c r="AR20" s="10">
        <f>Table3[[#This Row],[PTS2]]/(3*Table3[[#This Row],[GP]])</f>
        <v>0.52083333333333337</v>
      </c>
      <c r="AS20">
        <f>(2*Table3[[#This Row],[GR]])+Table3[[#This Row],[PTS]]</f>
        <v>150</v>
      </c>
      <c r="AT20">
        <f>(3*Table3[[#This Row],[GR]])+Table3[[#This Row],[PTS2]]</f>
        <v>223</v>
      </c>
      <c r="AU20">
        <f>Table3[[#This Row],[PTS]]+(2 * Table3[[#This Row],[GR]] * Table3[[#This Row],[PTS%]])</f>
        <v>92.25</v>
      </c>
      <c r="AV20">
        <f>Table3[[#This Row],[PTS2]]+(3 * Table3[[#This Row],[GR]] * Table3[[#This Row],[PTS%2]])</f>
        <v>128.125</v>
      </c>
      <c r="AW20" s="15" t="str">
        <f>_xlfn.CONCAT(TEXT(Table3[[#This Row],[W]], "0"), "-", TEXT(Table3[[#This Row],[RL]],"0"), "-", TEXT(Table3[[#This Row],[OTL]]+Table3[[#This Row],[SOL]], "0"))</f>
        <v>8-6-2</v>
      </c>
      <c r="AX20">
        <f>COUNTIFS(DataRegularSeason20242025!$D$3:$D$1315,Table3[[#This Row],[Teams]],DataRegularSeason20242025!$K$3:$K$1315,0)</f>
        <v>1</v>
      </c>
      <c r="AY20">
        <f>SUMIF(DataRegularSeason20242025!$D$3:$D$1315,$A20, DataRegularSeason20242025!$J$3:$J$1315)</f>
        <v>26</v>
      </c>
      <c r="AZ20">
        <f>SUMIF(DataRegularSeason20242025!$D$3:$D$1315,$A20, DataRegularSeason20242025!$K$3:$K$1315)</f>
        <v>26</v>
      </c>
      <c r="BA20">
        <f>AY20-AZ20</f>
        <v>0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27</v>
      </c>
      <c r="BD20">
        <f>SUMIF(DataRegularSeason20242025!$E$3:$E$1315,$A20,DataRegularSeason20242025!$J$3:$J$1315)</f>
        <v>27</v>
      </c>
      <c r="BE20">
        <f>BC20-BD20</f>
        <v>0</v>
      </c>
      <c r="BF20">
        <f>AY20+BC20</f>
        <v>53</v>
      </c>
      <c r="BG20">
        <f>AZ20+BD20</f>
        <v>53</v>
      </c>
      <c r="BH20">
        <f>BF20-BG20</f>
        <v>0</v>
      </c>
      <c r="BI20" s="12">
        <f>Table3[[#This Row],[GF]]/Table3[[#This Row],[GP]]</f>
        <v>3.3125</v>
      </c>
      <c r="BJ20" s="12">
        <f>Table3[[#This Row],[GA]]/Table3[[#This Row],[GP]]</f>
        <v>3.3125</v>
      </c>
      <c r="BK20" s="12">
        <f>(Table3[[#This Row],[GF]]-Table3[[#This Row],[GA]])/Table3[[#This Row],[GP]]</f>
        <v>0</v>
      </c>
      <c r="BL20" s="42" t="str">
        <f>_xlfn.CONCAT(TEXT(Table3[[#This Row],[W_H]], "0"), "-", TEXT(Table3[[#This Row],[RL_H]],"0"), "-", TEXT(Table3[[#This Row],[OTL_H]]+Table3[[#This Row],[SOL_H]], "0"))</f>
        <v>4-3-1</v>
      </c>
      <c r="BM20" s="42" t="str">
        <f>_xlfn.CONCAT(TEXT(Table3[[#This Row],[W_A]], "0"), "-", TEXT(Table3[[#This Row],[RL_A]],"0"), "-", TEXT(Table3[[#This Row],[OTL_A]]+Table3[[#This Row],[SOL_A]], "0"))</f>
        <v>4-3-1</v>
      </c>
      <c r="BN20" s="42">
        <f>((2*(Table3[[#This Row],[W_H]]))+Table3[[#This Row],[OTL_H]]+Table3[[#This Row],[SOL_H]])/(2*Table3[[#This Row],[GP_H]])</f>
        <v>0.5625</v>
      </c>
      <c r="BO20" s="42">
        <f>((2*(Table3[[#This Row],[W_A]]))+Table3[[#This Row],[OTL_A]]+Table3[[#This Row],[SOL_A]])/(2*Table3[[#This Row],[GP_A]])</f>
        <v>0.5625</v>
      </c>
      <c r="BP20" s="16">
        <f>(Table3[[#This Row],[W]]*$CX$3)+(Table3[[#This Row],[L]]*$CX$4)+(Table3[[#This Row],[GF]]*$CX$5)+(Table3[[#This Row],[GA]]*$CX$6)</f>
        <v>19.649999999999999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89.670312500000009</v>
      </c>
      <c r="BR20" s="16">
        <f>(Table3[[#This Row],[W]]*0.7) + ((Table3[[#This Row],[GF]] - Table3[[#This Row],[GA]])*0.25)+(Table3[[#This Row],[GF]]*0.1)+(Table3[[#This Row],[GA]]*0.05)+(Table3[[#This Row],[L]]*0.3)</f>
        <v>15.950000000000001</v>
      </c>
      <c r="BS20" s="16">
        <f>Table3[[#This Row],[TeamCost83]]/Table3[[#This Row],[GP]]</f>
        <v>0.99687500000000007</v>
      </c>
      <c r="BT20">
        <f>COUNTIFS(Table2[AwayTeam],$A20,Table2[PredictedWinner], $A20, Table2[GameIsOver], 1)</f>
        <v>1</v>
      </c>
      <c r="BU20">
        <f>COUNTIFS(Table2[HomeTeam],$A20,Table2[PredictedWinner], $A20, Table2[GameIsOver], 1)</f>
        <v>4</v>
      </c>
      <c r="BV20">
        <f>BT20+BU20</f>
        <v>5</v>
      </c>
      <c r="BW20">
        <f>F20-BT20</f>
        <v>7</v>
      </c>
      <c r="BX20">
        <f>H20-BU20</f>
        <v>4</v>
      </c>
      <c r="BY20">
        <f>BW20+BX20</f>
        <v>11</v>
      </c>
      <c r="BZ20">
        <f>Table3[[#This Row],[TimesPredictedWinner]]/Table3[[#This Row],[GP]]</f>
        <v>0.3125</v>
      </c>
      <c r="CB20">
        <v>1983</v>
      </c>
      <c r="CC20" s="1">
        <v>45759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4.2</v>
      </c>
      <c r="CJ20">
        <f>SUMIFS(Table2[GamePredictionScore], Table2[HomeTeam], Table3[[#This Row],[Teams]])</f>
        <v>3.9</v>
      </c>
      <c r="CK20">
        <f>Table3[[#This Row],[Column4]]+Table3[[#This Row],[Column3]]</f>
        <v>8.1</v>
      </c>
      <c r="CL20">
        <f>Table3[[#This Row],[Column5]]/Table3[[#This Row],[GP]]</f>
        <v>0.50624999999999998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37</v>
      </c>
      <c r="B21" t="s">
        <v>90</v>
      </c>
      <c r="C21" t="s">
        <v>93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12</v>
      </c>
      <c r="E21" s="10">
        <f>Table3[[#This Row],[Watched]]/Table3[[#This Row],[GP]]</f>
        <v>0.70588235294117652</v>
      </c>
      <c r="F21">
        <f>COUNTIFS(DataRegularSeason20242025!$N$3:$N$1315,1,DataRegularSeason20242025!$D$3:$D$1315,$A21)</f>
        <v>7</v>
      </c>
      <c r="G21">
        <f>41-Table3[[#This Row],[GP_A]]</f>
        <v>34</v>
      </c>
      <c r="H21">
        <f>COUNTIFS(DataRegularSeason20242025!$E$3:$E$1315,$A21,DataRegularSeason20242025!$N$3:$N$1315,1)</f>
        <v>10</v>
      </c>
      <c r="I21">
        <f>41-Table3[[#This Row],[GP_H]]</f>
        <v>31</v>
      </c>
      <c r="J21">
        <f>F21+H21</f>
        <v>17</v>
      </c>
      <c r="K21">
        <f>82-Table3[[#This Row],[GP]]</f>
        <v>65</v>
      </c>
      <c r="L21">
        <f>COUNTIFS(DataRegularSeason20242025!$D$3:$D$1315,$A21, DataRegularSeason20242025!$L$3:$L$1315, $A21,DataRegularSeason20242025!$N$3:$N$1315,1)</f>
        <v>4</v>
      </c>
      <c r="M21">
        <f>COUNTIFS(DataRegularSeason20242025!$D$3:$D$1315,$A21, DataRegularSeason20242025!$L$3:$L$1315, $A21,DataRegularSeason20242025!$N$3:$N$1315,1,DataRegularSeason20242025!$M$3:$M$1315,"REG")</f>
        <v>1</v>
      </c>
      <c r="N21">
        <f>COUNTIFS(DataRegularSeason20242025!$D$3:$D$1315,$A21, DataRegularSeason20242025!$L$3:$L$1315, $A21,DataRegularSeason20242025!$N$3:$N$1315,1,DataRegularSeason20242025!$M$3:$M$1315,"OT")</f>
        <v>3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>F21-L21</f>
        <v>3</v>
      </c>
      <c r="Q21">
        <f>COUNTIFS(DataRegularSeason20242025!$D$3:$D$1315,$A21, DataRegularSeason20242025!$S$3:$S$1315, $A21,DataRegularSeason20242025!$M$3:$M$1315,"REG")</f>
        <v>3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4</v>
      </c>
      <c r="U21">
        <f>COUNTIFS(DataRegularSeason20242025!$E$3:$E$1315,$A21, DataRegularSeason20242025!$L$3:$L$1315, $A21,DataRegularSeason20242025!$N$3:$N$1315,1,DataRegularSeason20242025!$M$3:$M$1315,"REG")</f>
        <v>3</v>
      </c>
      <c r="V21">
        <f>COUNTIFS(DataRegularSeason20242025!$E$3:$E$1315,$A21, DataRegularSeason20242025!$L$3:$L$1315, $A21,DataRegularSeason20242025!$N$3:$N$1315,1,DataRegularSeason20242025!$M$3:$M$1315,"OT")</f>
        <v>1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>H21-T21</f>
        <v>6</v>
      </c>
      <c r="Y21">
        <f>COUNTIFS(DataRegularSeason20242025!$E$3:$E$1315,$A21, DataRegularSeason20242025!$S$3:$S$1315, $A21,DataRegularSeason20242025!$M$3:$M$1315,"REG")</f>
        <v>3</v>
      </c>
      <c r="Z21">
        <f>COUNTIFS(DataRegularSeason20242025!$E$3:$E$1315,$A21, DataRegularSeason20242025!$S$3:$S$1315, $A21,DataRegularSeason20242025!$M$3:$M$1315,"OT")</f>
        <v>2</v>
      </c>
      <c r="AA21">
        <f>COUNTIFS(DataRegularSeason20242025!$E$3:$E$1315,$A21, DataRegularSeason20242025!$S$3:$S$1315, $A21,DataRegularSeason20242025!$M$3:$M$1315,"SO")</f>
        <v>1</v>
      </c>
      <c r="AB21">
        <f>Table3[[#This Row],[W]]/MAX(1,Table3[[#This Row],[W]]+Table3[[#This Row],[L]])</f>
        <v>0.47058823529411764</v>
      </c>
      <c r="AC21">
        <f>Table3[[#This Row],[W_A]]+Table3[[#This Row],[W_H]]</f>
        <v>8</v>
      </c>
      <c r="AD21">
        <f>Table3[[#This Row],[L_A]]+Table3[[#This Row],[L_H]]</f>
        <v>9</v>
      </c>
      <c r="AE21">
        <f>Table3[[#This Row],[RW_A]]+Table3[[#This Row],[RW_H]]</f>
        <v>4</v>
      </c>
      <c r="AF21">
        <f>Table3[[#This Row],[RL_A]]+Table3[[#This Row],[RL_H]]</f>
        <v>6</v>
      </c>
      <c r="AG21">
        <f>Table3[[#This Row],[OTW_A]]+Table3[[#This Row],[OTW_H]]</f>
        <v>4</v>
      </c>
      <c r="AH21">
        <f>Table3[[#This Row],[OTL_A]]+Table3[[#This Row],[OTL_H]]</f>
        <v>2</v>
      </c>
      <c r="AI21">
        <f>Table3[[#This Row],[SOW_A]]+Table3[[#This Row],[SOW_H]]</f>
        <v>0</v>
      </c>
      <c r="AJ21">
        <f>Table3[[#This Row],[SOL_A]]+Table3[[#This Row],[SOL_H]]</f>
        <v>1</v>
      </c>
      <c r="AK21" s="15" t="str">
        <f>_xlfn.CONCAT(TEXT(Table3[[#This Row],[OTW]]+Table3[[#This Row],[SOW]], "0"), "-", TEXT(Table3[[#This Row],[OTL]]+Table3[[#This Row],[SOL]],"0"))</f>
        <v>4-3</v>
      </c>
      <c r="AL21">
        <f>SUM(Table3[[#This Row],[OTW]],Table3[[#This Row],[OTL]],Table3[[#This Row],[SOW]],Table3[[#This Row],[SOL]])</f>
        <v>7</v>
      </c>
      <c r="AM21">
        <f>(Table3[[#This Row],[OTW]]+Table3[[#This Row],[SOW]])/IF(Table3[[#This Row],[Total_ExtraTimes]]=0,1,Table3[[#This Row],[Total_ExtraTimes]])</f>
        <v>0.5714285714285714</v>
      </c>
      <c r="AN21">
        <f>Table3[[#This Row],[Total_ExtraTimes]]/MAX(1,Table3[[#This Row],[GP]])</f>
        <v>0.41176470588235292</v>
      </c>
      <c r="AO21">
        <f>(2*(Table3[[#This Row],[W_A]]+Table3[[#This Row],[W_H]]))+Table3[[#This Row],[OTL_A]]+Table3[[#This Row],[SOL_A]]+Table3[[#This Row],[OTL_H]]+Table3[[#This Row],[SOL_H]]</f>
        <v>19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21" s="10">
        <f>Table3[[#This Row],[PTS]]/(2*Table3[[#This Row],[GP]])</f>
        <v>0.55882352941176472</v>
      </c>
      <c r="AR21" s="10">
        <f>Table3[[#This Row],[PTS2]]/(3*Table3[[#This Row],[GP]])</f>
        <v>0.45098039215686275</v>
      </c>
      <c r="AS21">
        <f>(2*Table3[[#This Row],[GR]])+Table3[[#This Row],[PTS]]</f>
        <v>149</v>
      </c>
      <c r="AT21">
        <f>(3*Table3[[#This Row],[GR]])+Table3[[#This Row],[PTS2]]</f>
        <v>218</v>
      </c>
      <c r="AU21">
        <f>Table3[[#This Row],[PTS]]+(2 * Table3[[#This Row],[GR]] * Table3[[#This Row],[PTS%]])</f>
        <v>91.64705882352942</v>
      </c>
      <c r="AV21">
        <f>Table3[[#This Row],[PTS2]]+(3 * Table3[[#This Row],[GR]] * Table3[[#This Row],[PTS%2]])</f>
        <v>110.94117647058823</v>
      </c>
      <c r="AW21" s="15" t="str">
        <f>_xlfn.CONCAT(TEXT(Table3[[#This Row],[W]], "0"), "-", TEXT(Table3[[#This Row],[RL]],"0"), "-", TEXT(Table3[[#This Row],[OTL]]+Table3[[#This Row],[SOL]], "0"))</f>
        <v>8-6-3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27</v>
      </c>
      <c r="AZ21">
        <f>SUMIF(DataRegularSeason20242025!$D$3:$D$1315,$A21, DataRegularSeason20242025!$K$3:$K$1315)</f>
        <v>25</v>
      </c>
      <c r="BA21">
        <f>AY21-AZ21</f>
        <v>2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28</v>
      </c>
      <c r="BD21">
        <f>SUMIF(DataRegularSeason20242025!$E$3:$E$1315,$A21,DataRegularSeason20242025!$J$3:$J$1315)</f>
        <v>32</v>
      </c>
      <c r="BE21">
        <f>BC21-BD21</f>
        <v>-4</v>
      </c>
      <c r="BF21">
        <f>AY21+BC21</f>
        <v>55</v>
      </c>
      <c r="BG21">
        <f>AZ21+BD21</f>
        <v>57</v>
      </c>
      <c r="BH21">
        <f>BF21-BG21</f>
        <v>-2</v>
      </c>
      <c r="BI21" s="12">
        <f>Table3[[#This Row],[GF]]/Table3[[#This Row],[GP]]</f>
        <v>3.2352941176470589</v>
      </c>
      <c r="BJ21" s="12">
        <f>Table3[[#This Row],[GA]]/Table3[[#This Row],[GP]]</f>
        <v>3.3529411764705883</v>
      </c>
      <c r="BK21" s="12">
        <f>(Table3[[#This Row],[GF]]-Table3[[#This Row],[GA]])/Table3[[#This Row],[GP]]</f>
        <v>-0.11764705882352941</v>
      </c>
      <c r="BL21" s="42" t="str">
        <f>_xlfn.CONCAT(TEXT(Table3[[#This Row],[W_H]], "0"), "-", TEXT(Table3[[#This Row],[RL_H]],"0"), "-", TEXT(Table3[[#This Row],[OTL_H]]+Table3[[#This Row],[SOL_H]], "0"))</f>
        <v>4-3-3</v>
      </c>
      <c r="BM21" s="42" t="str">
        <f>_xlfn.CONCAT(TEXT(Table3[[#This Row],[W_A]], "0"), "-", TEXT(Table3[[#This Row],[RL_A]],"0"), "-", TEXT(Table3[[#This Row],[OTL_A]]+Table3[[#This Row],[SOL_A]], "0"))</f>
        <v>4-3-0</v>
      </c>
      <c r="BN21" s="42">
        <f>((2*(Table3[[#This Row],[W_H]]))+Table3[[#This Row],[OTL_H]]+Table3[[#This Row],[SOL_H]])/(2*Table3[[#This Row],[GP_H]])</f>
        <v>0.55000000000000004</v>
      </c>
      <c r="BO21" s="42">
        <f>((2*(Table3[[#This Row],[W_A]]))+Table3[[#This Row],[OTL_A]]+Table3[[#This Row],[SOL_A]])/(2*Table3[[#This Row],[GP_A]])</f>
        <v>0.5714285714285714</v>
      </c>
      <c r="BP21" s="16">
        <f>(Table3[[#This Row],[W]]*$CX$3)+(Table3[[#This Row],[L]]*$CX$4)+(Table3[[#This Row],[GF]]*$CX$5)+(Table3[[#This Row],[GA]]*$CX$6)</f>
        <v>20.65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89.924394463667838</v>
      </c>
      <c r="BR21" s="16">
        <f>(Table3[[#This Row],[W]]*0.7) + ((Table3[[#This Row],[GF]] - Table3[[#This Row],[GA]])*0.25)+(Table3[[#This Row],[GF]]*0.1)+(Table3[[#This Row],[GA]]*0.05)+(Table3[[#This Row],[L]]*0.3)</f>
        <v>16.149999999999999</v>
      </c>
      <c r="BS21" s="16">
        <f>Table3[[#This Row],[TeamCost83]]/Table3[[#This Row],[GP]]</f>
        <v>0.95</v>
      </c>
      <c r="BT21">
        <f>COUNTIFS(Table2[AwayTeam],$A21,Table2[PredictedWinner], $A21, Table2[GameIsOver], 1)</f>
        <v>5</v>
      </c>
      <c r="BU21">
        <f>COUNTIFS(Table2[HomeTeam],$A21,Table2[PredictedWinner], $A21, Table2[GameIsOver], 1)</f>
        <v>3</v>
      </c>
      <c r="BV21">
        <f>BT21+BU21</f>
        <v>8</v>
      </c>
      <c r="BW21">
        <f>F21-BT21</f>
        <v>2</v>
      </c>
      <c r="BX21">
        <f>H21-BU21</f>
        <v>7</v>
      </c>
      <c r="BY21">
        <f>BW21+BX21</f>
        <v>9</v>
      </c>
      <c r="BZ21">
        <f>Table3[[#This Row],[TimesPredictedWinner]]/Table3[[#This Row],[GP]]</f>
        <v>0.47058823529411764</v>
      </c>
      <c r="CC21" s="1">
        <v>45732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3.5</v>
      </c>
      <c r="CJ21">
        <f>SUMIFS(Table2[GamePredictionScore], Table2[HomeTeam], Table3[[#This Row],[Teams]])</f>
        <v>4.3</v>
      </c>
      <c r="CK21">
        <f>Table3[[#This Row],[Column4]]+Table3[[#This Row],[Column3]]</f>
        <v>7.8</v>
      </c>
      <c r="CL21">
        <f>Table3[[#This Row],[Column5]]/Table3[[#This Row],[GP]]</f>
        <v>0.45882352941176469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35</v>
      </c>
      <c r="B22" t="s">
        <v>91</v>
      </c>
      <c r="C22" t="s">
        <v>92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9</v>
      </c>
      <c r="E22" s="10">
        <f>Table3[[#This Row],[Watched]]/Table3[[#This Row],[GP]]</f>
        <v>0.5625</v>
      </c>
      <c r="F22">
        <f>COUNTIFS(DataRegularSeason20242025!$N$3:$N$1315,1,DataRegularSeason20242025!$D$3:$D$1315,$A22)</f>
        <v>10</v>
      </c>
      <c r="G22">
        <f>41-Table3[[#This Row],[GP_A]]</f>
        <v>31</v>
      </c>
      <c r="H22">
        <f>COUNTIFS(DataRegularSeason20242025!$E$3:$E$1315,$A22,DataRegularSeason20242025!$N$3:$N$1315,1)</f>
        <v>6</v>
      </c>
      <c r="I22">
        <f>41-Table3[[#This Row],[GP_H]]</f>
        <v>35</v>
      </c>
      <c r="J22">
        <f>F22+H22</f>
        <v>16</v>
      </c>
      <c r="K22">
        <f>82-Table3[[#This Row],[GP]]</f>
        <v>66</v>
      </c>
      <c r="L22">
        <f>COUNTIFS(DataRegularSeason20242025!$D$3:$D$1315,$A22, DataRegularSeason20242025!$L$3:$L$1315, $A22,DataRegularSeason20242025!$N$3:$N$1315,1)</f>
        <v>5</v>
      </c>
      <c r="M22">
        <f>COUNTIFS(DataRegularSeason20242025!$D$3:$D$1315,$A22, DataRegularSeason20242025!$L$3:$L$1315, $A22,DataRegularSeason20242025!$N$3:$N$1315,1,DataRegularSeason20242025!$M$3:$M$1315,"REG")</f>
        <v>2</v>
      </c>
      <c r="N22">
        <f>COUNTIFS(DataRegularSeason20242025!$D$3:$D$1315,$A22, DataRegularSeason20242025!$L$3:$L$1315, $A22,DataRegularSeason20242025!$N$3:$N$1315,1,DataRegularSeason20242025!$M$3:$M$1315,"OT")</f>
        <v>1</v>
      </c>
      <c r="O22">
        <f>COUNTIFS(DataRegularSeason20242025!$D$3:$D$1315,$A22, DataRegularSeason20242025!$L$3:$L$1315, $A22,DataRegularSeason20242025!$N$3:$N$1315,1,DataRegularSeason20242025!$M$3:$M$1315,"SO")</f>
        <v>2</v>
      </c>
      <c r="P22">
        <f>F22-L22</f>
        <v>5</v>
      </c>
      <c r="Q22">
        <f>COUNTIFS(DataRegularSeason20242025!$D$3:$D$1315,$A22, DataRegularSeason20242025!$S$3:$S$1315, $A22,DataRegularSeason20242025!$M$3:$M$1315,"REG")</f>
        <v>4</v>
      </c>
      <c r="R22">
        <f>COUNTIFS(DataRegularSeason20242025!$D$3:$D$1315,$A22, DataRegularSeason20242025!$S$3:$S$1315, $A22,DataRegularSeason20242025!$M$3:$M$1315,"OT")</f>
        <v>1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3</v>
      </c>
      <c r="U22">
        <f>COUNTIFS(DataRegularSeason20242025!$E$3:$E$1315,$A22, DataRegularSeason20242025!$L$3:$L$1315, $A22,DataRegularSeason20242025!$N$3:$N$1315,1,DataRegularSeason20242025!$M$3:$M$1315,"REG")</f>
        <v>3</v>
      </c>
      <c r="V22">
        <f>COUNTIFS(DataRegularSeason20242025!$E$3:$E$1315,$A22, DataRegularSeason20242025!$L$3:$L$1315, $A22,DataRegularSeason20242025!$N$3:$N$1315,1,DataRegularSeason20242025!$M$3:$M$1315,"OT")</f>
        <v>0</v>
      </c>
      <c r="W22">
        <f>COUNTIFS(DataRegularSeason20242025!$E$3:$E$1315,$A22, DataRegularSeason20242025!$L$3:$L$1315, $A22,DataRegularSeason20242025!$N$3:$N$1315,1,DataRegularSeason20242025!$M$3:$M$1315,"SO")</f>
        <v>0</v>
      </c>
      <c r="X22">
        <f>H22-T22</f>
        <v>3</v>
      </c>
      <c r="Y22">
        <f>COUNTIFS(DataRegularSeason20242025!$E$3:$E$1315,$A22, DataRegularSeason20242025!$S$3:$S$1315, $A22,DataRegularSeason20242025!$M$3:$M$1315,"REG")</f>
        <v>3</v>
      </c>
      <c r="Z22">
        <f>COUNTIFS(DataRegularSeason20242025!$E$3:$E$1315,$A22, DataRegularSeason20242025!$S$3:$S$1315, $A22,DataRegularSeason20242025!$M$3:$M$1315,"OT")</f>
        <v>0</v>
      </c>
      <c r="AA22">
        <f>COUNTIFS(DataRegularSeason20242025!$E$3:$E$1315,$A22, DataRegularSeason20242025!$S$3:$S$1315, $A22,DataRegularSeason20242025!$M$3:$M$1315,"SO")</f>
        <v>0</v>
      </c>
      <c r="AB22">
        <f>Table3[[#This Row],[W]]/MAX(1,Table3[[#This Row],[W]]+Table3[[#This Row],[L]])</f>
        <v>0.5</v>
      </c>
      <c r="AC22">
        <f>Table3[[#This Row],[W_A]]+Table3[[#This Row],[W_H]]</f>
        <v>8</v>
      </c>
      <c r="AD22">
        <f>Table3[[#This Row],[L_A]]+Table3[[#This Row],[L_H]]</f>
        <v>8</v>
      </c>
      <c r="AE22">
        <f>Table3[[#This Row],[RW_A]]+Table3[[#This Row],[RW_H]]</f>
        <v>5</v>
      </c>
      <c r="AF22">
        <f>Table3[[#This Row],[RL_A]]+Table3[[#This Row],[RL_H]]</f>
        <v>7</v>
      </c>
      <c r="AG22">
        <f>Table3[[#This Row],[OTW_A]]+Table3[[#This Row],[OTW_H]]</f>
        <v>1</v>
      </c>
      <c r="AH22">
        <f>Table3[[#This Row],[OTL_A]]+Table3[[#This Row],[OTL_H]]</f>
        <v>1</v>
      </c>
      <c r="AI22">
        <f>Table3[[#This Row],[SOW_A]]+Table3[[#This Row],[SOW_H]]</f>
        <v>2</v>
      </c>
      <c r="AJ22">
        <f>Table3[[#This Row],[SOL_A]]+Table3[[#This Row],[SOL_H]]</f>
        <v>0</v>
      </c>
      <c r="AK22" s="15" t="str">
        <f>_xlfn.CONCAT(TEXT(Table3[[#This Row],[OTW]]+Table3[[#This Row],[SOW]], "0"), "-", TEXT(Table3[[#This Row],[OTL]]+Table3[[#This Row],[SOL]],"0"))</f>
        <v>3-1</v>
      </c>
      <c r="AL22">
        <f>SUM(Table3[[#This Row],[OTW]],Table3[[#This Row],[OTL]],Table3[[#This Row],[SOW]],Table3[[#This Row],[SOL]])</f>
        <v>4</v>
      </c>
      <c r="AM22">
        <f>(Table3[[#This Row],[OTW]]+Table3[[#This Row],[SOW]])/IF(Table3[[#This Row],[Total_ExtraTimes]]=0,1,Table3[[#This Row],[Total_ExtraTimes]])</f>
        <v>0.75</v>
      </c>
      <c r="AN22">
        <f>Table3[[#This Row],[Total_ExtraTimes]]/MAX(1,Table3[[#This Row],[GP]])</f>
        <v>0.25</v>
      </c>
      <c r="AO22">
        <f>(2*(Table3[[#This Row],[W_A]]+Table3[[#This Row],[W_H]]))+Table3[[#This Row],[OTL_A]]+Table3[[#This Row],[SOL_A]]+Table3[[#This Row],[OTL_H]]+Table3[[#This Row],[SOL_H]]</f>
        <v>17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22</v>
      </c>
      <c r="AQ22" s="10">
        <f>Table3[[#This Row],[PTS]]/(2*Table3[[#This Row],[GP]])</f>
        <v>0.53125</v>
      </c>
      <c r="AR22" s="10">
        <f>Table3[[#This Row],[PTS2]]/(3*Table3[[#This Row],[GP]])</f>
        <v>0.45833333333333331</v>
      </c>
      <c r="AS22">
        <f>(2*Table3[[#This Row],[GR]])+Table3[[#This Row],[PTS]]</f>
        <v>149</v>
      </c>
      <c r="AT22">
        <f>(3*Table3[[#This Row],[GR]])+Table3[[#This Row],[PTS2]]</f>
        <v>220</v>
      </c>
      <c r="AU22">
        <f>Table3[[#This Row],[PTS]]+(2 * Table3[[#This Row],[GR]] * Table3[[#This Row],[PTS%]])</f>
        <v>87.125</v>
      </c>
      <c r="AV22">
        <f>Table3[[#This Row],[PTS2]]+(3 * Table3[[#This Row],[GR]] * Table3[[#This Row],[PTS%2]])</f>
        <v>112.75</v>
      </c>
      <c r="AW22" s="15" t="str">
        <f>_xlfn.CONCAT(TEXT(Table3[[#This Row],[W]], "0"), "-", TEXT(Table3[[#This Row],[RL]],"0"), "-", TEXT(Table3[[#This Row],[OTL]]+Table3[[#This Row],[SOL]], "0"))</f>
        <v>8-7-1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34</v>
      </c>
      <c r="AZ22">
        <f>SUMIF(DataRegularSeason20242025!$D$3:$D$1315,$A22, DataRegularSeason20242025!$K$3:$K$1315)</f>
        <v>31</v>
      </c>
      <c r="BA22">
        <f>AY22-AZ22</f>
        <v>3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16</v>
      </c>
      <c r="BD22">
        <f>SUMIF(DataRegularSeason20242025!$E$3:$E$1315,$A22,DataRegularSeason20242025!$J$3:$J$1315)</f>
        <v>19</v>
      </c>
      <c r="BE22">
        <f>BC22-BD22</f>
        <v>-3</v>
      </c>
      <c r="BF22">
        <f>AY22+BC22</f>
        <v>50</v>
      </c>
      <c r="BG22">
        <f>AZ22+BD22</f>
        <v>50</v>
      </c>
      <c r="BH22">
        <f>BF22-BG22</f>
        <v>0</v>
      </c>
      <c r="BI22" s="12">
        <f>Table3[[#This Row],[GF]]/Table3[[#This Row],[GP]]</f>
        <v>3.125</v>
      </c>
      <c r="BJ22" s="12">
        <f>Table3[[#This Row],[GA]]/Table3[[#This Row],[GP]]</f>
        <v>3.125</v>
      </c>
      <c r="BK22" s="12">
        <f>(Table3[[#This Row],[GF]]-Table3[[#This Row],[GA]])/Table3[[#This Row],[GP]]</f>
        <v>0</v>
      </c>
      <c r="BL22" s="42" t="str">
        <f>_xlfn.CONCAT(TEXT(Table3[[#This Row],[W_H]], "0"), "-", TEXT(Table3[[#This Row],[RL_H]],"0"), "-", TEXT(Table3[[#This Row],[OTL_H]]+Table3[[#This Row],[SOL_H]], "0"))</f>
        <v>3-3-0</v>
      </c>
      <c r="BM22" s="42" t="str">
        <f>_xlfn.CONCAT(TEXT(Table3[[#This Row],[W_A]], "0"), "-", TEXT(Table3[[#This Row],[RL_A]],"0"), "-", TEXT(Table3[[#This Row],[OTL_A]]+Table3[[#This Row],[SOL_A]], "0"))</f>
        <v>5-4-1</v>
      </c>
      <c r="BN22" s="42">
        <f>((2*(Table3[[#This Row],[W_H]]))+Table3[[#This Row],[OTL_H]]+Table3[[#This Row],[SOL_H]])/(2*Table3[[#This Row],[GP_H]])</f>
        <v>0.5</v>
      </c>
      <c r="BO22" s="42">
        <f>((2*(Table3[[#This Row],[W_A]]))+Table3[[#This Row],[OTL_A]]+Table3[[#This Row],[SOL_A]])/(2*Table3[[#This Row],[GP_A]])</f>
        <v>0.55000000000000004</v>
      </c>
      <c r="BP22" s="16">
        <f>(Table3[[#This Row],[W]]*$CX$3)+(Table3[[#This Row],[L]]*$CX$4)+(Table3[[#This Row],[GF]]*$CX$5)+(Table3[[#This Row],[GA]]*$CX$6)</f>
        <v>18.899999999999999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85.044531250000006</v>
      </c>
      <c r="BR22" s="16">
        <f>(Table3[[#This Row],[W]]*0.7) + ((Table3[[#This Row],[GF]] - Table3[[#This Row],[GA]])*0.25)+(Table3[[#This Row],[GF]]*0.1)+(Table3[[#This Row],[GA]]*0.05)+(Table3[[#This Row],[L]]*0.3)</f>
        <v>15.5</v>
      </c>
      <c r="BS22" s="16">
        <f>Table3[[#This Row],[TeamCost83]]/Table3[[#This Row],[GP]]</f>
        <v>0.96875</v>
      </c>
      <c r="BT22">
        <f>COUNTIFS(Table2[AwayTeam],$A22,Table2[PredictedWinner], $A22, Table2[GameIsOver], 1)</f>
        <v>0</v>
      </c>
      <c r="BU22">
        <f>COUNTIFS(Table2[HomeTeam],$A22,Table2[PredictedWinner], $A22, Table2[GameIsOver], 1)</f>
        <v>2</v>
      </c>
      <c r="BV22">
        <f>BT22+BU22</f>
        <v>2</v>
      </c>
      <c r="BW22">
        <f>F22-BT22</f>
        <v>10</v>
      </c>
      <c r="BX22">
        <f>H22-BU22</f>
        <v>4</v>
      </c>
      <c r="BY22">
        <f>BW22+BX22</f>
        <v>14</v>
      </c>
      <c r="BZ22">
        <f>Table3[[#This Row],[TimesPredictedWinner]]/Table3[[#This Row],[GP]]</f>
        <v>0.125</v>
      </c>
      <c r="CC22" s="1">
        <v>45763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4.4000000000000004</v>
      </c>
      <c r="CJ22">
        <f>SUMIFS(Table2[GamePredictionScore], Table2[HomeTeam], Table3[[#This Row],[Teams]])</f>
        <v>2.4000000000000004</v>
      </c>
      <c r="CK22">
        <f>Table3[[#This Row],[Column4]]+Table3[[#This Row],[Column3]]</f>
        <v>6.8000000000000007</v>
      </c>
      <c r="CL22">
        <f>Table3[[#This Row],[Column5]]/Table3[[#This Row],[GP]]</f>
        <v>0.42500000000000004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13</v>
      </c>
      <c r="B23" t="s">
        <v>91</v>
      </c>
      <c r="C23" t="s">
        <v>74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13</v>
      </c>
      <c r="E23" s="10">
        <f>Table3[[#This Row],[Watched]]/Table3[[#This Row],[GP]]</f>
        <v>0.8125</v>
      </c>
      <c r="F23">
        <f>COUNTIFS(DataRegularSeason20242025!$N$3:$N$1315,1,DataRegularSeason20242025!$D$3:$D$1315,$A23)</f>
        <v>9</v>
      </c>
      <c r="G23">
        <f>41-Table3[[#This Row],[GP_A]]</f>
        <v>32</v>
      </c>
      <c r="H23">
        <f>COUNTIFS(DataRegularSeason20242025!$E$3:$E$1315,$A23,DataRegularSeason20242025!$N$3:$N$1315,1)</f>
        <v>7</v>
      </c>
      <c r="I23">
        <f>41-Table3[[#This Row],[GP_H]]</f>
        <v>34</v>
      </c>
      <c r="J23">
        <f>F23+H23</f>
        <v>16</v>
      </c>
      <c r="K23">
        <f>82-Table3[[#This Row],[GP]]</f>
        <v>66</v>
      </c>
      <c r="L23">
        <f>COUNTIFS(DataRegularSeason20242025!$D$3:$D$1315,$A23, DataRegularSeason20242025!$L$3:$L$1315, $A23,DataRegularSeason20242025!$N$3:$N$1315,1)</f>
        <v>3</v>
      </c>
      <c r="M23">
        <f>COUNTIFS(DataRegularSeason20242025!$D$3:$D$1315,$A23, DataRegularSeason20242025!$L$3:$L$1315, $A23,DataRegularSeason20242025!$N$3:$N$1315,1,DataRegularSeason20242025!$M$3:$M$1315,"REG")</f>
        <v>3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>F23-L23</f>
        <v>6</v>
      </c>
      <c r="Q23">
        <f>COUNTIFS(DataRegularSeason20242025!$D$3:$D$1315,$A23, DataRegularSeason20242025!$S$3:$S$1315, $A23,DataRegularSeason20242025!$M$3:$M$1315,"REG")</f>
        <v>6</v>
      </c>
      <c r="R23">
        <f>COUNTIFS(DataRegularSeason20242025!$D$3:$D$1315,$A23, DataRegularSeason20242025!$S$3:$S$1315, $A23,DataRegularSeason20242025!$M$3:$M$1315,"OT")</f>
        <v>0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5</v>
      </c>
      <c r="U23">
        <f>COUNTIFS(DataRegularSeason20242025!$E$3:$E$1315,$A23, DataRegularSeason20242025!$L$3:$L$1315, $A23,DataRegularSeason20242025!$N$3:$N$1315,1,DataRegularSeason20242025!$M$3:$M$1315,"REG")</f>
        <v>4</v>
      </c>
      <c r="V23">
        <f>COUNTIFS(DataRegularSeason20242025!$E$3:$E$1315,$A23, DataRegularSeason20242025!$L$3:$L$1315, $A23,DataRegularSeason20242025!$N$3:$N$1315,1,DataRegularSeason20242025!$M$3:$M$1315,"OT")</f>
        <v>0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>H23-T23</f>
        <v>2</v>
      </c>
      <c r="Y23">
        <f>COUNTIFS(DataRegularSeason20242025!$E$3:$E$1315,$A23, DataRegularSeason20242025!$S$3:$S$1315, $A23,DataRegularSeason20242025!$M$3:$M$1315,"REG")</f>
        <v>1</v>
      </c>
      <c r="Z23">
        <f>COUNTIFS(DataRegularSeason20242025!$E$3:$E$1315,$A23, DataRegularSeason20242025!$S$3:$S$1315, $A23,DataRegularSeason20242025!$M$3:$M$1315,"OT")</f>
        <v>0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0.5</v>
      </c>
      <c r="AC23">
        <f>Table3[[#This Row],[W_A]]+Table3[[#This Row],[W_H]]</f>
        <v>8</v>
      </c>
      <c r="AD23">
        <f>Table3[[#This Row],[L_A]]+Table3[[#This Row],[L_H]]</f>
        <v>8</v>
      </c>
      <c r="AE23">
        <f>Table3[[#This Row],[RW_A]]+Table3[[#This Row],[RW_H]]</f>
        <v>7</v>
      </c>
      <c r="AF23">
        <f>Table3[[#This Row],[RL_A]]+Table3[[#This Row],[RL_H]]</f>
        <v>7</v>
      </c>
      <c r="AG23">
        <f>Table3[[#This Row],[OTW_A]]+Table3[[#This Row],[OTW_H]]</f>
        <v>0</v>
      </c>
      <c r="AH23">
        <f>Table3[[#This Row],[OTL_A]]+Table3[[#This Row],[OTL_H]]</f>
        <v>0</v>
      </c>
      <c r="AI23">
        <f>Table3[[#This Row],[SOW_A]]+Table3[[#This Row],[SOW_H]]</f>
        <v>1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1-1</v>
      </c>
      <c r="AL23">
        <f>SUM(Table3[[#This Row],[OTW]],Table3[[#This Row],[OTL]],Table3[[#This Row],[SOW]],Table3[[#This Row],[SOL]])</f>
        <v>2</v>
      </c>
      <c r="AM23">
        <f>(Table3[[#This Row],[OTW]]+Table3[[#This Row],[SOW]])/IF(Table3[[#This Row],[Total_ExtraTimes]]=0,1,Table3[[#This Row],[Total_ExtraTimes]])</f>
        <v>0.5</v>
      </c>
      <c r="AN23">
        <f>Table3[[#This Row],[Total_ExtraTimes]]/MAX(1,Table3[[#This Row],[GP]])</f>
        <v>0.125</v>
      </c>
      <c r="AO23">
        <f>(2*(Table3[[#This Row],[W_A]]+Table3[[#This Row],[W_H]]))+Table3[[#This Row],[OTL_A]]+Table3[[#This Row],[SOL_A]]+Table3[[#This Row],[OTL_H]]+Table3[[#This Row],[SOL_H]]</f>
        <v>17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23" s="10">
        <f>Table3[[#This Row],[PTS]]/(2*Table3[[#This Row],[GP]])</f>
        <v>0.53125</v>
      </c>
      <c r="AR23" s="10">
        <f>Table3[[#This Row],[PTS2]]/(3*Table3[[#This Row],[GP]])</f>
        <v>0.5</v>
      </c>
      <c r="AS23">
        <f>(2*Table3[[#This Row],[GR]])+Table3[[#This Row],[PTS]]</f>
        <v>149</v>
      </c>
      <c r="AT23">
        <f>(3*Table3[[#This Row],[GR]])+Table3[[#This Row],[PTS2]]</f>
        <v>222</v>
      </c>
      <c r="AU23">
        <f>Table3[[#This Row],[PTS]]+(2 * Table3[[#This Row],[GR]] * Table3[[#This Row],[PTS%]])</f>
        <v>87.125</v>
      </c>
      <c r="AV23">
        <f>Table3[[#This Row],[PTS2]]+(3 * Table3[[#This Row],[GR]] * Table3[[#This Row],[PTS%2]])</f>
        <v>123</v>
      </c>
      <c r="AW23" s="15" t="str">
        <f>_xlfn.CONCAT(TEXT(Table3[[#This Row],[W]], "0"), "-", TEXT(Table3[[#This Row],[RL]],"0"), "-", TEXT(Table3[[#This Row],[OTL]]+Table3[[#This Row],[SOL]], "0"))</f>
        <v>8-7-1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20</v>
      </c>
      <c r="AZ23">
        <f>SUMIF(DataRegularSeason20242025!$D$3:$D$1315,$A23, DataRegularSeason20242025!$K$3:$K$1315)</f>
        <v>32</v>
      </c>
      <c r="BA23">
        <f>AY23-AZ23</f>
        <v>-12</v>
      </c>
      <c r="BB23">
        <f>COUNTIFS(DataRegularSeason20242025!$E$3:$E$1315,Table3[[#This Row],[Teams]],DataRegularSeason20242025!$J$3:$J$1315,0)</f>
        <v>1</v>
      </c>
      <c r="BC23">
        <f>SUMIF(DataRegularSeason20242025!$E$3:$E$1315,$A23,DataRegularSeason20242025!$K$3:$K$1315)</f>
        <v>23</v>
      </c>
      <c r="BD23">
        <f>SUMIF(DataRegularSeason20242025!$E$3:$E$1315,$A23,DataRegularSeason20242025!$J$3:$J$1315)</f>
        <v>16</v>
      </c>
      <c r="BE23">
        <f>BC23-BD23</f>
        <v>7</v>
      </c>
      <c r="BF23">
        <f>AY23+BC23</f>
        <v>43</v>
      </c>
      <c r="BG23">
        <f>AZ23+BD23</f>
        <v>48</v>
      </c>
      <c r="BH23">
        <f>BF23-BG23</f>
        <v>-5</v>
      </c>
      <c r="BI23" s="12">
        <f>Table3[[#This Row],[GF]]/Table3[[#This Row],[GP]]</f>
        <v>2.6875</v>
      </c>
      <c r="BJ23" s="12">
        <f>Table3[[#This Row],[GA]]/Table3[[#This Row],[GP]]</f>
        <v>3</v>
      </c>
      <c r="BK23" s="12">
        <f>(Table3[[#This Row],[GF]]-Table3[[#This Row],[GA]])/Table3[[#This Row],[GP]]</f>
        <v>-0.3125</v>
      </c>
      <c r="BL23" s="42" t="str">
        <f>_xlfn.CONCAT(TEXT(Table3[[#This Row],[W_H]], "0"), "-", TEXT(Table3[[#This Row],[RL_H]],"0"), "-", TEXT(Table3[[#This Row],[OTL_H]]+Table3[[#This Row],[SOL_H]], "0"))</f>
        <v>5-1-1</v>
      </c>
      <c r="BM23" s="42" t="str">
        <f>_xlfn.CONCAT(TEXT(Table3[[#This Row],[W_A]], "0"), "-", TEXT(Table3[[#This Row],[RL_A]],"0"), "-", TEXT(Table3[[#This Row],[OTL_A]]+Table3[[#This Row],[SOL_A]], "0"))</f>
        <v>3-6-0</v>
      </c>
      <c r="BN23" s="42">
        <f>((2*(Table3[[#This Row],[W_H]]))+Table3[[#This Row],[OTL_H]]+Table3[[#This Row],[SOL_H]])/(2*Table3[[#This Row],[GP_H]])</f>
        <v>0.7857142857142857</v>
      </c>
      <c r="BO23" s="42">
        <f>((2*(Table3[[#This Row],[W_A]]))+Table3[[#This Row],[OTL_A]]+Table3[[#This Row],[SOL_A]])/(2*Table3[[#This Row],[GP_A]])</f>
        <v>0.33333333333333331</v>
      </c>
      <c r="BP23" s="16">
        <f>(Table3[[#This Row],[W]]*$CX$3)+(Table3[[#This Row],[L]]*$CX$4)+(Table3[[#This Row],[GF]]*$CX$5)+(Table3[[#This Row],[GA]]*$CX$6)</f>
        <v>17.650000000000002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77.388281250000006</v>
      </c>
      <c r="BR23" s="16">
        <f>(Table3[[#This Row],[W]]*0.7) + ((Table3[[#This Row],[GF]] - Table3[[#This Row],[GA]])*0.25)+(Table3[[#This Row],[GF]]*0.1)+(Table3[[#This Row],[GA]]*0.05)+(Table3[[#This Row],[L]]*0.3)</f>
        <v>13.45</v>
      </c>
      <c r="BS23" s="16">
        <f>Table3[[#This Row],[TeamCost83]]/Table3[[#This Row],[GP]]</f>
        <v>0.84062499999999996</v>
      </c>
      <c r="BT23">
        <f>COUNTIFS(Table2[AwayTeam],$A23,Table2[PredictedWinner], $A23, Table2[GameIsOver], 1)</f>
        <v>3</v>
      </c>
      <c r="BU23">
        <f>COUNTIFS(Table2[HomeTeam],$A23,Table2[PredictedWinner], $A23, Table2[GameIsOver], 1)</f>
        <v>4</v>
      </c>
      <c r="BV23">
        <f>BT23+BU23</f>
        <v>7</v>
      </c>
      <c r="BW23">
        <f>F23-BT23</f>
        <v>6</v>
      </c>
      <c r="BX23">
        <f>H23-BU23</f>
        <v>3</v>
      </c>
      <c r="BY23">
        <f>BW23+BX23</f>
        <v>9</v>
      </c>
      <c r="BZ23">
        <f>Table3[[#This Row],[TimesPredictedWinner]]/Table3[[#This Row],[GP]]</f>
        <v>0.4375</v>
      </c>
      <c r="CB23">
        <v>2025</v>
      </c>
      <c r="CD23" s="1">
        <v>45752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4.5</v>
      </c>
      <c r="CJ23">
        <f>SUMIFS(Table2[GamePredictionScore], Table2[HomeTeam], Table3[[#This Row],[Teams]])</f>
        <v>3.4000000000000004</v>
      </c>
      <c r="CK23">
        <f>Table3[[#This Row],[Column4]]+Table3[[#This Row],[Column3]]</f>
        <v>7.9</v>
      </c>
      <c r="CL23">
        <f>Table3[[#This Row],[Column5]]/Table3[[#This Row],[GP]]</f>
        <v>0.49375000000000002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43</v>
      </c>
      <c r="B24" t="s">
        <v>91</v>
      </c>
      <c r="C24" t="s">
        <v>92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11</v>
      </c>
      <c r="E24" s="10">
        <f>Table3[[#This Row],[Watched]]/Table3[[#This Row],[GP]]</f>
        <v>0.6875</v>
      </c>
      <c r="F24">
        <f>COUNTIFS(DataRegularSeason20242025!$N$3:$N$1315,1,DataRegularSeason20242025!$D$3:$D$1315,$A24)</f>
        <v>8</v>
      </c>
      <c r="G24">
        <f>41-Table3[[#This Row],[GP_A]]</f>
        <v>33</v>
      </c>
      <c r="H24">
        <f>COUNTIFS(DataRegularSeason20242025!$E$3:$E$1315,$A24,DataRegularSeason20242025!$N$3:$N$1315,1)</f>
        <v>8</v>
      </c>
      <c r="I24">
        <f>41-Table3[[#This Row],[GP_H]]</f>
        <v>33</v>
      </c>
      <c r="J24">
        <f>F24+H24</f>
        <v>16</v>
      </c>
      <c r="K24">
        <f>82-Table3[[#This Row],[GP]]</f>
        <v>66</v>
      </c>
      <c r="L24">
        <f>COUNTIFS(DataRegularSeason20242025!$D$3:$D$1315,$A24, DataRegularSeason20242025!$L$3:$L$1315, $A24,DataRegularSeason20242025!$N$3:$N$1315,1)</f>
        <v>4</v>
      </c>
      <c r="M24">
        <f>COUNTIFS(DataRegularSeason20242025!$D$3:$D$1315,$A24, DataRegularSeason20242025!$L$3:$L$1315, $A24,DataRegularSeason20242025!$N$3:$N$1315,1,DataRegularSeason20242025!$M$3:$M$1315,"REG")</f>
        <v>4</v>
      </c>
      <c r="N24">
        <f>COUNTIFS(DataRegularSeason20242025!$D$3:$D$1315,$A24, DataRegularSeason20242025!$L$3:$L$1315, $A24,DataRegularSeason20242025!$N$3:$N$1315,1,DataRegularSeason20242025!$M$3:$M$1315,"OT")</f>
        <v>0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>F24-L24</f>
        <v>4</v>
      </c>
      <c r="Q24">
        <f>COUNTIFS(DataRegularSeason20242025!$D$3:$D$1315,$A24, DataRegularSeason20242025!$S$3:$S$1315, $A24,DataRegularSeason20242025!$M$3:$M$1315,"REG")</f>
        <v>3</v>
      </c>
      <c r="R24">
        <f>COUNTIFS(DataRegularSeason20242025!$D$3:$D$1315,$A24, DataRegularSeason20242025!$S$3:$S$1315, $A24,DataRegularSeason20242025!$M$3:$M$1315,"OT")</f>
        <v>0</v>
      </c>
      <c r="S24">
        <f>COUNTIFS(DataRegularSeason20242025!$D$3:$D$1315,$A24, DataRegularSeason20242025!$S$3:$S$1315, $A24,DataRegularSeason20242025!$M$3:$M$1315,"SO")</f>
        <v>1</v>
      </c>
      <c r="T24">
        <f>COUNTIFS(DataRegularSeason20242025!$E$3:$E$1315,$A24, DataRegularSeason20242025!$L$3:$L$1315, $A24, DataRegularSeason20242025!$N$3:$N$1315,1)</f>
        <v>4</v>
      </c>
      <c r="U24">
        <f>COUNTIFS(DataRegularSeason20242025!$E$3:$E$1315,$A24, DataRegularSeason20242025!$L$3:$L$1315, $A24,DataRegularSeason20242025!$N$3:$N$1315,1,DataRegularSeason20242025!$M$3:$M$1315,"REG")</f>
        <v>3</v>
      </c>
      <c r="V24">
        <f>COUNTIFS(DataRegularSeason20242025!$E$3:$E$1315,$A24, DataRegularSeason20242025!$L$3:$L$1315, $A24,DataRegularSeason20242025!$N$3:$N$1315,1,DataRegularSeason20242025!$M$3:$M$1315,"OT")</f>
        <v>1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>H24-T24</f>
        <v>4</v>
      </c>
      <c r="Y24">
        <f>COUNTIFS(DataRegularSeason20242025!$E$3:$E$1315,$A24, DataRegularSeason20242025!$S$3:$S$1315, $A24,DataRegularSeason20242025!$M$3:$M$1315,"REG")</f>
        <v>4</v>
      </c>
      <c r="Z24">
        <f>COUNTIFS(DataRegularSeason20242025!$E$3:$E$1315,$A24, DataRegularSeason20242025!$S$3:$S$1315, $A24,DataRegularSeason20242025!$M$3:$M$1315,"OT")</f>
        <v>0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0.5</v>
      </c>
      <c r="AC24">
        <f>Table3[[#This Row],[W_A]]+Table3[[#This Row],[W_H]]</f>
        <v>8</v>
      </c>
      <c r="AD24">
        <f>Table3[[#This Row],[L_A]]+Table3[[#This Row],[L_H]]</f>
        <v>8</v>
      </c>
      <c r="AE24">
        <f>Table3[[#This Row],[RW_A]]+Table3[[#This Row],[RW_H]]</f>
        <v>7</v>
      </c>
      <c r="AF24">
        <f>Table3[[#This Row],[RL_A]]+Table3[[#This Row],[RL_H]]</f>
        <v>7</v>
      </c>
      <c r="AG24">
        <f>Table3[[#This Row],[OTW_A]]+Table3[[#This Row],[OTW_H]]</f>
        <v>1</v>
      </c>
      <c r="AH24">
        <f>Table3[[#This Row],[OTL_A]]+Table3[[#This Row],[OTL_H]]</f>
        <v>0</v>
      </c>
      <c r="AI24">
        <f>Table3[[#This Row],[SOW_A]]+Table3[[#This Row],[SOW_H]]</f>
        <v>0</v>
      </c>
      <c r="AJ24">
        <f>Table3[[#This Row],[SOL_A]]+Table3[[#This Row],[SOL_H]]</f>
        <v>1</v>
      </c>
      <c r="AK24" s="15" t="str">
        <f>_xlfn.CONCAT(TEXT(Table3[[#This Row],[OTW]]+Table3[[#This Row],[SOW]], "0"), "-", TEXT(Table3[[#This Row],[OTL]]+Table3[[#This Row],[SOL]],"0"))</f>
        <v>1-1</v>
      </c>
      <c r="AL24">
        <f>SUM(Table3[[#This Row],[OTW]],Table3[[#This Row],[OTL]],Table3[[#This Row],[SOW]],Table3[[#This Row],[SOL]])</f>
        <v>2</v>
      </c>
      <c r="AM24">
        <f>(Table3[[#This Row],[OTW]]+Table3[[#This Row],[SOW]])/IF(Table3[[#This Row],[Total_ExtraTimes]]=0,1,Table3[[#This Row],[Total_ExtraTimes]])</f>
        <v>0.5</v>
      </c>
      <c r="AN24">
        <f>Table3[[#This Row],[Total_ExtraTimes]]/MAX(1,Table3[[#This Row],[GP]])</f>
        <v>0.125</v>
      </c>
      <c r="AO24">
        <f>(2*(Table3[[#This Row],[W_A]]+Table3[[#This Row],[W_H]]))+Table3[[#This Row],[OTL_A]]+Table3[[#This Row],[SOL_A]]+Table3[[#This Row],[OTL_H]]+Table3[[#This Row],[SOL_H]]</f>
        <v>17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24" s="10">
        <f>Table3[[#This Row],[PTS]]/(2*Table3[[#This Row],[GP]])</f>
        <v>0.53125</v>
      </c>
      <c r="AR24" s="10">
        <f>Table3[[#This Row],[PTS2]]/(3*Table3[[#This Row],[GP]])</f>
        <v>0.5</v>
      </c>
      <c r="AS24">
        <f>(2*Table3[[#This Row],[GR]])+Table3[[#This Row],[PTS]]</f>
        <v>149</v>
      </c>
      <c r="AT24">
        <f>(3*Table3[[#This Row],[GR]])+Table3[[#This Row],[PTS2]]</f>
        <v>222</v>
      </c>
      <c r="AU24">
        <f>Table3[[#This Row],[PTS]]+(2 * Table3[[#This Row],[GR]] * Table3[[#This Row],[PTS%]])</f>
        <v>87.125</v>
      </c>
      <c r="AV24">
        <f>Table3[[#This Row],[PTS2]]+(3 * Table3[[#This Row],[GR]] * Table3[[#This Row],[PTS%2]])</f>
        <v>123</v>
      </c>
      <c r="AW24" s="15" t="str">
        <f>_xlfn.CONCAT(TEXT(Table3[[#This Row],[W]], "0"), "-", TEXT(Table3[[#This Row],[RL]],"0"), "-", TEXT(Table3[[#This Row],[OTL]]+Table3[[#This Row],[SOL]], "0"))</f>
        <v>8-7-1</v>
      </c>
      <c r="AX24">
        <f>COUNTIFS(DataRegularSeason20242025!$D$3:$D$1315,Table3[[#This Row],[Teams]],DataRegularSeason20242025!$K$3:$K$1315,0)</f>
        <v>1</v>
      </c>
      <c r="AY24">
        <f>SUMIF(DataRegularSeason20242025!$D$3:$D$1315,$A24, DataRegularSeason20242025!$J$3:$J$1315)</f>
        <v>22</v>
      </c>
      <c r="AZ24">
        <f>SUMIF(DataRegularSeason20242025!$D$3:$D$1315,$A24, DataRegularSeason20242025!$K$3:$K$1315)</f>
        <v>17</v>
      </c>
      <c r="BA24">
        <f>AY24-AZ24</f>
        <v>5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24</v>
      </c>
      <c r="BD24">
        <f>SUMIF(DataRegularSeason20242025!$E$3:$E$1315,$A24,DataRegularSeason20242025!$J$3:$J$1315)</f>
        <v>22</v>
      </c>
      <c r="BE24">
        <f>BC24-BD24</f>
        <v>2</v>
      </c>
      <c r="BF24">
        <f>AY24+BC24</f>
        <v>46</v>
      </c>
      <c r="BG24">
        <f>AZ24+BD24</f>
        <v>39</v>
      </c>
      <c r="BH24">
        <f>BF24-BG24</f>
        <v>7</v>
      </c>
      <c r="BI24" s="12">
        <f>Table3[[#This Row],[GF]]/Table3[[#This Row],[GP]]</f>
        <v>2.875</v>
      </c>
      <c r="BJ24" s="12">
        <f>Table3[[#This Row],[GA]]/Table3[[#This Row],[GP]]</f>
        <v>2.4375</v>
      </c>
      <c r="BK24" s="12">
        <f>(Table3[[#This Row],[GF]]-Table3[[#This Row],[GA]])/Table3[[#This Row],[GP]]</f>
        <v>0.4375</v>
      </c>
      <c r="BL24" s="42" t="str">
        <f>_xlfn.CONCAT(TEXT(Table3[[#This Row],[W_H]], "0"), "-", TEXT(Table3[[#This Row],[RL_H]],"0"), "-", TEXT(Table3[[#This Row],[OTL_H]]+Table3[[#This Row],[SOL_H]], "0"))</f>
        <v>4-4-0</v>
      </c>
      <c r="BM24" s="42" t="str">
        <f>_xlfn.CONCAT(TEXT(Table3[[#This Row],[W_A]], "0"), "-", TEXT(Table3[[#This Row],[RL_A]],"0"), "-", TEXT(Table3[[#This Row],[OTL_A]]+Table3[[#This Row],[SOL_A]], "0"))</f>
        <v>4-3-1</v>
      </c>
      <c r="BN24" s="42">
        <f>((2*(Table3[[#This Row],[W_H]]))+Table3[[#This Row],[OTL_H]]+Table3[[#This Row],[SOL_H]])/(2*Table3[[#This Row],[GP_H]])</f>
        <v>0.5</v>
      </c>
      <c r="BO24" s="42">
        <f>((2*(Table3[[#This Row],[W_A]]))+Table3[[#This Row],[OTL_A]]+Table3[[#This Row],[SOL_A]])/(2*Table3[[#This Row],[GP_A]])</f>
        <v>0.5625</v>
      </c>
      <c r="BP24" s="16">
        <f>(Table3[[#This Row],[W]]*$CX$3)+(Table3[[#This Row],[L]]*$CX$4)+(Table3[[#This Row],[GF]]*$CX$5)+(Table3[[#This Row],[GA]]*$CX$6)</f>
        <v>17.200000000000003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74.632031250000011</v>
      </c>
      <c r="BR24" s="16">
        <f>(Table3[[#This Row],[W]]*0.7) + ((Table3[[#This Row],[GF]] - Table3[[#This Row],[GA]])*0.25)+(Table3[[#This Row],[GF]]*0.1)+(Table3[[#This Row],[GA]]*0.05)+(Table3[[#This Row],[L]]*0.3)</f>
        <v>16.299999999999997</v>
      </c>
      <c r="BS24" s="16">
        <f>Table3[[#This Row],[TeamCost83]]/Table3[[#This Row],[GP]]</f>
        <v>1.0187499999999998</v>
      </c>
      <c r="BT24">
        <f>COUNTIFS(Table2[AwayTeam],$A24,Table2[PredictedWinner], $A24, Table2[GameIsOver], 1)</f>
        <v>5</v>
      </c>
      <c r="BU24">
        <f>COUNTIFS(Table2[HomeTeam],$A24,Table2[PredictedWinner], $A24, Table2[GameIsOver], 1)</f>
        <v>7</v>
      </c>
      <c r="BV24">
        <f>BT24+BU24</f>
        <v>12</v>
      </c>
      <c r="BW24">
        <f>F24-BT24</f>
        <v>3</v>
      </c>
      <c r="BX24">
        <f>H24-BU24</f>
        <v>1</v>
      </c>
      <c r="BY24">
        <f>BW24+BX24</f>
        <v>4</v>
      </c>
      <c r="BZ24">
        <f>Table3[[#This Row],[TimesPredictedWinner]]/Table3[[#This Row],[GP]]</f>
        <v>0.75</v>
      </c>
      <c r="CB24">
        <v>2018</v>
      </c>
      <c r="CD24" s="1">
        <v>45736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4.3000000000000007</v>
      </c>
      <c r="CJ24">
        <f>SUMIFS(Table2[GamePredictionScore], Table2[HomeTeam], Table3[[#This Row],[Teams]])</f>
        <v>2.5</v>
      </c>
      <c r="CK24">
        <f>Table3[[#This Row],[Column4]]+Table3[[#This Row],[Column3]]</f>
        <v>6.8000000000000007</v>
      </c>
      <c r="CL24">
        <f>Table3[[#This Row],[Column5]]/Table3[[#This Row],[GP]]</f>
        <v>0.42500000000000004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22</v>
      </c>
      <c r="B25" t="s">
        <v>90</v>
      </c>
      <c r="C25" t="s">
        <v>93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17</v>
      </c>
      <c r="E25" s="10">
        <f>Table3[[#This Row],[Watched]]/Table3[[#This Row],[GP]]</f>
        <v>0.94444444444444442</v>
      </c>
      <c r="F25">
        <f>COUNTIFS(DataRegularSeason20242025!$N$3:$N$1315,1,DataRegularSeason20242025!$D$3:$D$1315,$A25)</f>
        <v>10</v>
      </c>
      <c r="G25">
        <f>41-Table3[[#This Row],[GP_A]]</f>
        <v>31</v>
      </c>
      <c r="H25">
        <f>COUNTIFS(DataRegularSeason20242025!$E$3:$E$1315,$A25,DataRegularSeason20242025!$N$3:$N$1315,1)</f>
        <v>8</v>
      </c>
      <c r="I25">
        <f>41-Table3[[#This Row],[GP_H]]</f>
        <v>33</v>
      </c>
      <c r="J25">
        <f>F25+H25</f>
        <v>18</v>
      </c>
      <c r="K25">
        <f>82-Table3[[#This Row],[GP]]</f>
        <v>64</v>
      </c>
      <c r="L25">
        <f>COUNTIFS(DataRegularSeason20242025!$D$3:$D$1315,$A25, DataRegularSeason20242025!$L$3:$L$1315, $A25,DataRegularSeason20242025!$N$3:$N$1315,1)</f>
        <v>3</v>
      </c>
      <c r="M25">
        <f>COUNTIFS(DataRegularSeason20242025!$D$3:$D$1315,$A25, DataRegularSeason20242025!$L$3:$L$1315, $A25,DataRegularSeason20242025!$N$3:$N$1315,1,DataRegularSeason20242025!$M$3:$M$1315,"REG")</f>
        <v>1</v>
      </c>
      <c r="N25">
        <f>COUNTIFS(DataRegularSeason20242025!$D$3:$D$1315,$A25, DataRegularSeason20242025!$L$3:$L$1315, $A25,DataRegularSeason20242025!$N$3:$N$1315,1,DataRegularSeason20242025!$M$3:$M$1315,"OT")</f>
        <v>2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>F25-L25</f>
        <v>7</v>
      </c>
      <c r="Q25">
        <f>COUNTIFS(DataRegularSeason20242025!$D$3:$D$1315,$A25, DataRegularSeason20242025!$S$3:$S$1315, $A25,DataRegularSeason20242025!$M$3:$M$1315,"REG")</f>
        <v>5</v>
      </c>
      <c r="R25">
        <f>COUNTIFS(DataRegularSeason20242025!$D$3:$D$1315,$A25, DataRegularSeason20242025!$S$3:$S$1315, $A25,DataRegularSeason20242025!$M$3:$M$1315,"OT")</f>
        <v>1</v>
      </c>
      <c r="S25">
        <f>COUNTIFS(DataRegularSeason20242025!$D$3:$D$1315,$A25, DataRegularSeason20242025!$S$3:$S$1315, $A25,DataRegularSeason20242025!$M$3:$M$1315,"SO")</f>
        <v>1</v>
      </c>
      <c r="T25">
        <f>COUNTIFS(DataRegularSeason20242025!$E$3:$E$1315,$A25, DataRegularSeason20242025!$L$3:$L$1315, $A25, DataRegularSeason20242025!$N$3:$N$1315,1)</f>
        <v>5</v>
      </c>
      <c r="U25">
        <f>COUNTIFS(DataRegularSeason20242025!$E$3:$E$1315,$A25, DataRegularSeason20242025!$L$3:$L$1315, $A25,DataRegularSeason20242025!$N$3:$N$1315,1,DataRegularSeason20242025!$M$3:$M$1315,"REG")</f>
        <v>3</v>
      </c>
      <c r="V25">
        <f>COUNTIFS(DataRegularSeason20242025!$E$3:$E$1315,$A25, DataRegularSeason20242025!$L$3:$L$1315, $A25,DataRegularSeason20242025!$N$3:$N$1315,1,DataRegularSeason20242025!$M$3:$M$1315,"OT")</f>
        <v>2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>H25-T25</f>
        <v>3</v>
      </c>
      <c r="Y25">
        <f>COUNTIFS(DataRegularSeason20242025!$E$3:$E$1315,$A25, DataRegularSeason20242025!$S$3:$S$1315, $A25,DataRegularSeason20242025!$M$3:$M$1315,"REG")</f>
        <v>1</v>
      </c>
      <c r="Z25">
        <f>COUNTIFS(DataRegularSeason20242025!$E$3:$E$1315,$A25, DataRegularSeason20242025!$S$3:$S$1315, $A25,DataRegularSeason20242025!$M$3:$M$1315,"OT")</f>
        <v>1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0.44444444444444442</v>
      </c>
      <c r="AC25">
        <f>Table3[[#This Row],[W_A]]+Table3[[#This Row],[W_H]]</f>
        <v>8</v>
      </c>
      <c r="AD25">
        <f>Table3[[#This Row],[L_A]]+Table3[[#This Row],[L_H]]</f>
        <v>10</v>
      </c>
      <c r="AE25">
        <f>Table3[[#This Row],[RW_A]]+Table3[[#This Row],[RW_H]]</f>
        <v>4</v>
      </c>
      <c r="AF25">
        <f>Table3[[#This Row],[RL_A]]+Table3[[#This Row],[RL_H]]</f>
        <v>6</v>
      </c>
      <c r="AG25">
        <f>Table3[[#This Row],[OTW_A]]+Table3[[#This Row],[OTW_H]]</f>
        <v>4</v>
      </c>
      <c r="AH25">
        <f>Table3[[#This Row],[OTL_A]]+Table3[[#This Row],[OTL_H]]</f>
        <v>2</v>
      </c>
      <c r="AI25">
        <f>Table3[[#This Row],[SOW_A]]+Table3[[#This Row],[SOW_H]]</f>
        <v>0</v>
      </c>
      <c r="AJ25">
        <f>Table3[[#This Row],[SOL_A]]+Table3[[#This Row],[SOL_H]]</f>
        <v>2</v>
      </c>
      <c r="AK25" s="15" t="str">
        <f>_xlfn.CONCAT(TEXT(Table3[[#This Row],[OTW]]+Table3[[#This Row],[SOW]], "0"), "-", TEXT(Table3[[#This Row],[OTL]]+Table3[[#This Row],[SOL]],"0"))</f>
        <v>4-4</v>
      </c>
      <c r="AL25">
        <f>SUM(Table3[[#This Row],[OTW]],Table3[[#This Row],[OTL]],Table3[[#This Row],[SOW]],Table3[[#This Row],[SOL]])</f>
        <v>8</v>
      </c>
      <c r="AM25">
        <f>(Table3[[#This Row],[OTW]]+Table3[[#This Row],[SOW]])/IF(Table3[[#This Row],[Total_ExtraTimes]]=0,1,Table3[[#This Row],[Total_ExtraTimes]])</f>
        <v>0.5</v>
      </c>
      <c r="AN25">
        <f>Table3[[#This Row],[Total_ExtraTimes]]/MAX(1,Table3[[#This Row],[GP]])</f>
        <v>0.44444444444444442</v>
      </c>
      <c r="AO25">
        <f>(2*(Table3[[#This Row],[W_A]]+Table3[[#This Row],[W_H]]))+Table3[[#This Row],[OTL_A]]+Table3[[#This Row],[SOL_A]]+Table3[[#This Row],[OTL_H]]+Table3[[#This Row],[SOL_H]]</f>
        <v>20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25" s="10">
        <f>Table3[[#This Row],[PTS]]/(2*Table3[[#This Row],[GP]])</f>
        <v>0.55555555555555558</v>
      </c>
      <c r="AR25" s="10">
        <f>Table3[[#This Row],[PTS2]]/(3*Table3[[#This Row],[GP]])</f>
        <v>0.44444444444444442</v>
      </c>
      <c r="AS25">
        <f>(2*Table3[[#This Row],[GR]])+Table3[[#This Row],[PTS]]</f>
        <v>148</v>
      </c>
      <c r="AT25">
        <f>(3*Table3[[#This Row],[GR]])+Table3[[#This Row],[PTS2]]</f>
        <v>216</v>
      </c>
      <c r="AU25">
        <f>Table3[[#This Row],[PTS]]+(2 * Table3[[#This Row],[GR]] * Table3[[#This Row],[PTS%]])</f>
        <v>91.111111111111114</v>
      </c>
      <c r="AV25">
        <f>Table3[[#This Row],[PTS2]]+(3 * Table3[[#This Row],[GR]] * Table3[[#This Row],[PTS%2]])</f>
        <v>109.33333333333333</v>
      </c>
      <c r="AW25" s="15" t="str">
        <f>_xlfn.CONCAT(TEXT(Table3[[#This Row],[W]], "0"), "-", TEXT(Table3[[#This Row],[RL]],"0"), "-", TEXT(Table3[[#This Row],[OTL]]+Table3[[#This Row],[SOL]], "0"))</f>
        <v>8-6-4</v>
      </c>
      <c r="AX25">
        <f>COUNTIFS(DataRegularSeason20242025!$D$3:$D$1315,Table3[[#This Row],[Teams]],DataRegularSeason20242025!$K$3:$K$1315,0)</f>
        <v>1</v>
      </c>
      <c r="AY25">
        <f>SUMIF(DataRegularSeason20242025!$D$3:$D$1315,$A25, DataRegularSeason20242025!$J$3:$J$1315)</f>
        <v>24</v>
      </c>
      <c r="AZ25">
        <f>SUMIF(DataRegularSeason20242025!$D$3:$D$1315,$A25, DataRegularSeason20242025!$K$3:$K$1315)</f>
        <v>30</v>
      </c>
      <c r="BA25">
        <f>AY25-AZ25</f>
        <v>-6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30</v>
      </c>
      <c r="BD25">
        <f>SUMIF(DataRegularSeason20242025!$E$3:$E$1315,$A25,DataRegularSeason20242025!$J$3:$J$1315)</f>
        <v>32</v>
      </c>
      <c r="BE25">
        <f>BC25-BD25</f>
        <v>-2</v>
      </c>
      <c r="BF25">
        <f>AY25+BC25</f>
        <v>54</v>
      </c>
      <c r="BG25">
        <f>AZ25+BD25</f>
        <v>62</v>
      </c>
      <c r="BH25">
        <f>BF25-BG25</f>
        <v>-8</v>
      </c>
      <c r="BI25" s="12">
        <f>Table3[[#This Row],[GF]]/Table3[[#This Row],[GP]]</f>
        <v>3</v>
      </c>
      <c r="BJ25" s="12">
        <f>Table3[[#This Row],[GA]]/Table3[[#This Row],[GP]]</f>
        <v>3.4444444444444446</v>
      </c>
      <c r="BK25" s="12">
        <f>(Table3[[#This Row],[GF]]-Table3[[#This Row],[GA]])/Table3[[#This Row],[GP]]</f>
        <v>-0.44444444444444442</v>
      </c>
      <c r="BL25" s="42" t="str">
        <f>_xlfn.CONCAT(TEXT(Table3[[#This Row],[W_H]], "0"), "-", TEXT(Table3[[#This Row],[RL_H]],"0"), "-", TEXT(Table3[[#This Row],[OTL_H]]+Table3[[#This Row],[SOL_H]], "0"))</f>
        <v>5-1-2</v>
      </c>
      <c r="BM25" s="42" t="str">
        <f>_xlfn.CONCAT(TEXT(Table3[[#This Row],[W_A]], "0"), "-", TEXT(Table3[[#This Row],[RL_A]],"0"), "-", TEXT(Table3[[#This Row],[OTL_A]]+Table3[[#This Row],[SOL_A]], "0"))</f>
        <v>3-5-2</v>
      </c>
      <c r="BN25" s="42">
        <f>((2*(Table3[[#This Row],[W_H]]))+Table3[[#This Row],[OTL_H]]+Table3[[#This Row],[SOL_H]])/(2*Table3[[#This Row],[GP_H]])</f>
        <v>0.75</v>
      </c>
      <c r="BO25" s="42">
        <f>((2*(Table3[[#This Row],[W_A]]))+Table3[[#This Row],[OTL_A]]+Table3[[#This Row],[SOL_A]])/(2*Table3[[#This Row],[GP_A]])</f>
        <v>0.4</v>
      </c>
      <c r="BP25" s="16">
        <f>(Table3[[#This Row],[W]]*$CX$3)+(Table3[[#This Row],[L]]*$CX$4)+(Table3[[#This Row],[GF]]*$CX$5)+(Table3[[#This Row],[GA]]*$CX$6)</f>
        <v>21.3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88.317283950617281</v>
      </c>
      <c r="BR25" s="16">
        <f>(Table3[[#This Row],[W]]*0.7) + ((Table3[[#This Row],[GF]] - Table3[[#This Row],[GA]])*0.25)+(Table3[[#This Row],[GF]]*0.1)+(Table3[[#This Row],[GA]]*0.05)+(Table3[[#This Row],[L]]*0.3)</f>
        <v>15.1</v>
      </c>
      <c r="BS25" s="16">
        <f>Table3[[#This Row],[TeamCost83]]/Table3[[#This Row],[GP]]</f>
        <v>0.83888888888888891</v>
      </c>
      <c r="BT25">
        <f>COUNTIFS(Table2[AwayTeam],$A25,Table2[PredictedWinner], $A25, Table2[GameIsOver], 1)</f>
        <v>8</v>
      </c>
      <c r="BU25">
        <f>COUNTIFS(Table2[HomeTeam],$A25,Table2[PredictedWinner], $A25, Table2[GameIsOver], 1)</f>
        <v>5</v>
      </c>
      <c r="BV25">
        <f>BT25+BU25</f>
        <v>13</v>
      </c>
      <c r="BW25">
        <f>F25-BT25</f>
        <v>2</v>
      </c>
      <c r="BX25">
        <f>H25-BU25</f>
        <v>3</v>
      </c>
      <c r="BY25">
        <f>BW25+BX25</f>
        <v>5</v>
      </c>
      <c r="BZ25">
        <f>Table3[[#This Row],[TimesPredictedWinner]]/Table3[[#This Row],[GP]]</f>
        <v>0.72222222222222221</v>
      </c>
      <c r="CB25">
        <v>1990</v>
      </c>
      <c r="CD25" s="1">
        <v>45758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4.4000000000000004</v>
      </c>
      <c r="CJ25">
        <f>SUMIFS(Table2[GamePredictionScore], Table2[HomeTeam], Table3[[#This Row],[Teams]])</f>
        <v>3.5</v>
      </c>
      <c r="CK25">
        <f>Table3[[#This Row],[Column4]]+Table3[[#This Row],[Column3]]</f>
        <v>7.9</v>
      </c>
      <c r="CL25">
        <f>Table3[[#This Row],[Column5]]/Table3[[#This Row],[GP]]</f>
        <v>0.43888888888888888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19</v>
      </c>
      <c r="B26" t="s">
        <v>91</v>
      </c>
      <c r="C26" t="s">
        <v>92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15</v>
      </c>
      <c r="E26" s="10">
        <f>Table3[[#This Row],[Watched]]/Table3[[#This Row],[GP]]</f>
        <v>0.83333333333333337</v>
      </c>
      <c r="F26">
        <f>COUNTIFS(DataRegularSeason20242025!$N$3:$N$1315,1,DataRegularSeason20242025!$D$3:$D$1315,$A26)</f>
        <v>10</v>
      </c>
      <c r="G26">
        <f>41-Table3[[#This Row],[GP_A]]</f>
        <v>31</v>
      </c>
      <c r="H26">
        <f>COUNTIFS(DataRegularSeason20242025!$E$3:$E$1315,$A26,DataRegularSeason20242025!$N$3:$N$1315,1)</f>
        <v>8</v>
      </c>
      <c r="I26">
        <f>41-Table3[[#This Row],[GP_H]]</f>
        <v>33</v>
      </c>
      <c r="J26">
        <f>F26+H26</f>
        <v>18</v>
      </c>
      <c r="K26">
        <f>82-Table3[[#This Row],[GP]]</f>
        <v>64</v>
      </c>
      <c r="L26">
        <f>COUNTIFS(DataRegularSeason20242025!$D$3:$D$1315,$A26, DataRegularSeason20242025!$L$3:$L$1315, $A26,DataRegularSeason20242025!$N$3:$N$1315,1)</f>
        <v>8</v>
      </c>
      <c r="M26">
        <f>COUNTIFS(DataRegularSeason20242025!$D$3:$D$1315,$A26, DataRegularSeason20242025!$L$3:$L$1315, $A26,DataRegularSeason20242025!$N$3:$N$1315,1,DataRegularSeason20242025!$M$3:$M$1315,"REG")</f>
        <v>6</v>
      </c>
      <c r="N26">
        <f>COUNTIFS(DataRegularSeason20242025!$D$3:$D$1315,$A26, DataRegularSeason20242025!$L$3:$L$1315, $A26,DataRegularSeason20242025!$N$3:$N$1315,1,DataRegularSeason20242025!$M$3:$M$1315,"OT")</f>
        <v>2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>F26-L26</f>
        <v>2</v>
      </c>
      <c r="Q26">
        <f>COUNTIFS(DataRegularSeason20242025!$D$3:$D$1315,$A26, DataRegularSeason20242025!$S$3:$S$1315, $A26,DataRegularSeason20242025!$M$3:$M$1315,"REG")</f>
        <v>1</v>
      </c>
      <c r="R26">
        <f>COUNTIFS(DataRegularSeason20242025!$D$3:$D$1315,$A26, DataRegularSeason20242025!$S$3:$S$1315, $A26,DataRegularSeason20242025!$M$3:$M$1315,"OT")</f>
        <v>1</v>
      </c>
      <c r="S26">
        <f>COUNTIFS(DataRegularSeason20242025!$D$3:$D$1315,$A26, DataRegularSeason20242025!$S$3:$S$1315, $A26,DataRegularSeason20242025!$M$3:$M$1315,"SO")</f>
        <v>0</v>
      </c>
      <c r="T26">
        <f>COUNTIFS(DataRegularSeason20242025!$E$3:$E$1315,$A26, DataRegularSeason20242025!$L$3:$L$1315, $A26, DataRegularSeason20242025!$N$3:$N$1315,1)</f>
        <v>1</v>
      </c>
      <c r="U26">
        <f>COUNTIFS(DataRegularSeason20242025!$E$3:$E$1315,$A26, DataRegularSeason20242025!$L$3:$L$1315, $A26,DataRegularSeason20242025!$N$3:$N$1315,1,DataRegularSeason20242025!$M$3:$M$1315,"REG")</f>
        <v>1</v>
      </c>
      <c r="V26">
        <f>COUNTIFS(DataRegularSeason20242025!$E$3:$E$1315,$A26, DataRegularSeason20242025!$L$3:$L$1315, $A26,DataRegularSeason20242025!$N$3:$N$1315,1,DataRegularSeason20242025!$M$3:$M$1315,"OT")</f>
        <v>0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7</v>
      </c>
      <c r="Y26">
        <f>COUNTIFS(DataRegularSeason20242025!$E$3:$E$1315,$A26, DataRegularSeason20242025!$S$3:$S$1315, $A26,DataRegularSeason20242025!$M$3:$M$1315,"REG")</f>
        <v>6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0</v>
      </c>
      <c r="AB26">
        <f>Table3[[#This Row],[W]]/MAX(1,Table3[[#This Row],[W]]+Table3[[#This Row],[L]])</f>
        <v>0.5</v>
      </c>
      <c r="AC26">
        <f>Table3[[#This Row],[W_A]]+Table3[[#This Row],[W_H]]</f>
        <v>9</v>
      </c>
      <c r="AD26">
        <f>Table3[[#This Row],[L_A]]+Table3[[#This Row],[L_H]]</f>
        <v>9</v>
      </c>
      <c r="AE26">
        <f>Table3[[#This Row],[RW_A]]+Table3[[#This Row],[RW_H]]</f>
        <v>7</v>
      </c>
      <c r="AF26">
        <f>Table3[[#This Row],[RL_A]]+Table3[[#This Row],[RL_H]]</f>
        <v>7</v>
      </c>
      <c r="AG26">
        <f>Table3[[#This Row],[OTW_A]]+Table3[[#This Row],[OTW_H]]</f>
        <v>2</v>
      </c>
      <c r="AH26">
        <f>Table3[[#This Row],[OTL_A]]+Table3[[#This Row],[OTL_H]]</f>
        <v>2</v>
      </c>
      <c r="AI26">
        <f>Table3[[#This Row],[SOW_A]]+Table3[[#This Row],[SOW_H]]</f>
        <v>0</v>
      </c>
      <c r="AJ26">
        <f>Table3[[#This Row],[SOL_A]]+Table3[[#This Row],[SOL_H]]</f>
        <v>0</v>
      </c>
      <c r="AK26" s="15" t="str">
        <f>_xlfn.CONCAT(TEXT(Table3[[#This Row],[OTW]]+Table3[[#This Row],[SOW]], "0"), "-", TEXT(Table3[[#This Row],[OTL]]+Table3[[#This Row],[SOL]],"0"))</f>
        <v>2-2</v>
      </c>
      <c r="AL26">
        <f>SUM(Table3[[#This Row],[OTW]],Table3[[#This Row],[OTL]],Table3[[#This Row],[SOW]],Table3[[#This Row],[SOL]])</f>
        <v>4</v>
      </c>
      <c r="AM26">
        <f>(Table3[[#This Row],[OTW]]+Table3[[#This Row],[SOW]])/IF(Table3[[#This Row],[Total_ExtraTimes]]=0,1,Table3[[#This Row],[Total_ExtraTimes]])</f>
        <v>0.5</v>
      </c>
      <c r="AN26">
        <f>Table3[[#This Row],[Total_ExtraTimes]]/MAX(1,Table3[[#This Row],[GP]])</f>
        <v>0.22222222222222221</v>
      </c>
      <c r="AO26">
        <f>(2*(Table3[[#This Row],[W_A]]+Table3[[#This Row],[W_H]]))+Table3[[#This Row],[OTL_A]]+Table3[[#This Row],[SOL_A]]+Table3[[#This Row],[OTL_H]]+Table3[[#This Row],[SOL_H]]</f>
        <v>20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27</v>
      </c>
      <c r="AQ26" s="10">
        <f>Table3[[#This Row],[PTS]]/(2*Table3[[#This Row],[GP]])</f>
        <v>0.55555555555555558</v>
      </c>
      <c r="AR26" s="10">
        <f>Table3[[#This Row],[PTS2]]/(3*Table3[[#This Row],[GP]])</f>
        <v>0.5</v>
      </c>
      <c r="AS26">
        <f>(2*Table3[[#This Row],[GR]])+Table3[[#This Row],[PTS]]</f>
        <v>148</v>
      </c>
      <c r="AT26">
        <f>(3*Table3[[#This Row],[GR]])+Table3[[#This Row],[PTS2]]</f>
        <v>219</v>
      </c>
      <c r="AU26">
        <f>Table3[[#This Row],[PTS]]+(2 * Table3[[#This Row],[GR]] * Table3[[#This Row],[PTS%]])</f>
        <v>91.111111111111114</v>
      </c>
      <c r="AV26">
        <f>Table3[[#This Row],[PTS2]]+(3 * Table3[[#This Row],[GR]] * Table3[[#This Row],[PTS%2]])</f>
        <v>123</v>
      </c>
      <c r="AW26" s="15" t="str">
        <f>_xlfn.CONCAT(TEXT(Table3[[#This Row],[W]], "0"), "-", TEXT(Table3[[#This Row],[RL]],"0"), "-", TEXT(Table3[[#This Row],[OTL]]+Table3[[#This Row],[SOL]], "0"))</f>
        <v>9-7-2</v>
      </c>
      <c r="AX26">
        <f>COUNTIFS(DataRegularSeason20242025!$D$3:$D$1315,Table3[[#This Row],[Teams]],DataRegularSeason20242025!$K$3:$K$1315,0)</f>
        <v>2</v>
      </c>
      <c r="AY26">
        <f>SUMIF(DataRegularSeason20242025!$D$3:$D$1315,$A26, DataRegularSeason20242025!$J$3:$J$1315)</f>
        <v>36</v>
      </c>
      <c r="AZ26">
        <f>SUMIF(DataRegularSeason20242025!$D$3:$D$1315,$A26, DataRegularSeason20242025!$K$3:$K$1315)</f>
        <v>20</v>
      </c>
      <c r="BA26">
        <f>AY26-AZ26</f>
        <v>16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12</v>
      </c>
      <c r="BD26">
        <f>SUMIF(DataRegularSeason20242025!$E$3:$E$1315,$A26,DataRegularSeason20242025!$J$3:$J$1315)</f>
        <v>26</v>
      </c>
      <c r="BE26">
        <f>BC26-BD26</f>
        <v>-14</v>
      </c>
      <c r="BF26">
        <f>AY26+BC26</f>
        <v>48</v>
      </c>
      <c r="BG26">
        <f>AZ26+BD26</f>
        <v>46</v>
      </c>
      <c r="BH26">
        <f>BF26-BG26</f>
        <v>2</v>
      </c>
      <c r="BI26" s="12">
        <f>Table3[[#This Row],[GF]]/Table3[[#This Row],[GP]]</f>
        <v>2.6666666666666665</v>
      </c>
      <c r="BJ26" s="12">
        <f>Table3[[#This Row],[GA]]/Table3[[#This Row],[GP]]</f>
        <v>2.5555555555555554</v>
      </c>
      <c r="BK26" s="12">
        <f>(Table3[[#This Row],[GF]]-Table3[[#This Row],[GA]])/Table3[[#This Row],[GP]]</f>
        <v>0.1111111111111111</v>
      </c>
      <c r="BL26" s="42" t="str">
        <f>_xlfn.CONCAT(TEXT(Table3[[#This Row],[W_H]], "0"), "-", TEXT(Table3[[#This Row],[RL_H]],"0"), "-", TEXT(Table3[[#This Row],[OTL_H]]+Table3[[#This Row],[SOL_H]], "0"))</f>
        <v>1-6-1</v>
      </c>
      <c r="BM26" s="42" t="str">
        <f>_xlfn.CONCAT(TEXT(Table3[[#This Row],[W_A]], "0"), "-", TEXT(Table3[[#This Row],[RL_A]],"0"), "-", TEXT(Table3[[#This Row],[OTL_A]]+Table3[[#This Row],[SOL_A]], "0"))</f>
        <v>8-1-1</v>
      </c>
      <c r="BN26" s="42">
        <f>((2*(Table3[[#This Row],[W_H]]))+Table3[[#This Row],[OTL_H]]+Table3[[#This Row],[SOL_H]])/(2*Table3[[#This Row],[GP_H]])</f>
        <v>0.1875</v>
      </c>
      <c r="BO26" s="42">
        <f>((2*(Table3[[#This Row],[W_A]]))+Table3[[#This Row],[OTL_A]]+Table3[[#This Row],[SOL_A]])/(2*Table3[[#This Row],[GP_A]])</f>
        <v>0.85</v>
      </c>
      <c r="BP26" s="16">
        <f>(Table3[[#This Row],[W]]*$CX$3)+(Table3[[#This Row],[L]]*$CX$4)+(Table3[[#This Row],[GF]]*$CX$5)+(Table3[[#This Row],[GA]]*$CX$6)</f>
        <v>19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74.628395061728398</v>
      </c>
      <c r="BR26" s="16">
        <f>(Table3[[#This Row],[W]]*0.7) + ((Table3[[#This Row],[GF]] - Table3[[#This Row],[GA]])*0.25)+(Table3[[#This Row],[GF]]*0.1)+(Table3[[#This Row],[GA]]*0.05)+(Table3[[#This Row],[L]]*0.3)</f>
        <v>16.600000000000001</v>
      </c>
      <c r="BS26" s="16">
        <f>Table3[[#This Row],[TeamCost83]]/Table3[[#This Row],[GP]]</f>
        <v>0.92222222222222228</v>
      </c>
      <c r="BT26">
        <f>COUNTIFS(Table2[AwayTeam],$A26,Table2[PredictedWinner], $A26, Table2[GameIsOver], 1)</f>
        <v>2</v>
      </c>
      <c r="BU26">
        <f>COUNTIFS(Table2[HomeTeam],$A26,Table2[PredictedWinner], $A26, Table2[GameIsOver], 1)</f>
        <v>1</v>
      </c>
      <c r="BV26">
        <f>BT26+BU26</f>
        <v>3</v>
      </c>
      <c r="BW26">
        <f>F26-BT26</f>
        <v>8</v>
      </c>
      <c r="BX26">
        <f>H26-BU26</f>
        <v>7</v>
      </c>
      <c r="BY26">
        <f>BW26+BX26</f>
        <v>15</v>
      </c>
      <c r="BZ26">
        <f>Table3[[#This Row],[TimesPredictedWinner]]/Table3[[#This Row],[GP]]</f>
        <v>0.16666666666666666</v>
      </c>
      <c r="CB26">
        <v>1994</v>
      </c>
      <c r="CC26" s="1">
        <v>45759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1.7000000000000002</v>
      </c>
      <c r="CJ26">
        <f>SUMIFS(Table2[GamePredictionScore], Table2[HomeTeam], Table3[[#This Row],[Teams]])</f>
        <v>4.8999999999999995</v>
      </c>
      <c r="CK26">
        <f>Table3[[#This Row],[Column4]]+Table3[[#This Row],[Column3]]</f>
        <v>6.6</v>
      </c>
      <c r="CL26">
        <f>Table3[[#This Row],[Column5]]/Table3[[#This Row],[GP]]</f>
        <v>0.36666666666666664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36</v>
      </c>
      <c r="B27" t="s">
        <v>90</v>
      </c>
      <c r="C27" t="s">
        <v>88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10</v>
      </c>
      <c r="E27" s="10">
        <f>Table3[[#This Row],[Watched]]/Table3[[#This Row],[GP]]</f>
        <v>0.55555555555555558</v>
      </c>
      <c r="F27">
        <f>COUNTIFS(DataRegularSeason20242025!$N$3:$N$1315,1,DataRegularSeason20242025!$D$3:$D$1315,$A27)</f>
        <v>8</v>
      </c>
      <c r="G27">
        <f>41-Table3[[#This Row],[GP_A]]</f>
        <v>33</v>
      </c>
      <c r="H27">
        <f>COUNTIFS(DataRegularSeason20242025!$E$3:$E$1315,$A27,DataRegularSeason20242025!$N$3:$N$1315,1)</f>
        <v>10</v>
      </c>
      <c r="I27">
        <f>41-Table3[[#This Row],[GP_H]]</f>
        <v>31</v>
      </c>
      <c r="J27">
        <f>F27+H27</f>
        <v>18</v>
      </c>
      <c r="K27">
        <f>82-Table3[[#This Row],[GP]]</f>
        <v>64</v>
      </c>
      <c r="L27">
        <f>COUNTIFS(DataRegularSeason20242025!$D$3:$D$1315,$A27, DataRegularSeason20242025!$L$3:$L$1315, $A27,DataRegularSeason20242025!$N$3:$N$1315,1)</f>
        <v>3</v>
      </c>
      <c r="M27">
        <f>COUNTIFS(DataRegularSeason20242025!$D$3:$D$1315,$A27, DataRegularSeason20242025!$L$3:$L$1315, $A27,DataRegularSeason20242025!$N$3:$N$1315,1,DataRegularSeason20242025!$M$3:$M$1315,"REG")</f>
        <v>3</v>
      </c>
      <c r="N27">
        <f>COUNTIFS(DataRegularSeason20242025!$D$3:$D$1315,$A27, DataRegularSeason20242025!$L$3:$L$1315, $A27,DataRegularSeason20242025!$N$3:$N$1315,1,DataRegularSeason20242025!$M$3:$M$1315,"OT")</f>
        <v>0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5</v>
      </c>
      <c r="Q27">
        <f>COUNTIFS(DataRegularSeason20242025!$D$3:$D$1315,$A27, DataRegularSeason20242025!$S$3:$S$1315, $A27,DataRegularSeason20242025!$M$3:$M$1315,"REG")</f>
        <v>4</v>
      </c>
      <c r="R27">
        <f>COUNTIFS(DataRegularSeason20242025!$D$3:$D$1315,$A27, DataRegularSeason20242025!$S$3:$S$1315, $A27,DataRegularSeason20242025!$M$3:$M$1315,"OT")</f>
        <v>1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4</v>
      </c>
      <c r="U27">
        <f>COUNTIFS(DataRegularSeason20242025!$E$3:$E$1315,$A27, DataRegularSeason20242025!$L$3:$L$1315, $A27,DataRegularSeason20242025!$N$3:$N$1315,1,DataRegularSeason20242025!$M$3:$M$1315,"REG")</f>
        <v>2</v>
      </c>
      <c r="V27">
        <f>COUNTIFS(DataRegularSeason20242025!$E$3:$E$1315,$A27, DataRegularSeason20242025!$L$3:$L$1315, $A27,DataRegularSeason20242025!$N$3:$N$1315,1,DataRegularSeason20242025!$M$3:$M$1315,"OT")</f>
        <v>1</v>
      </c>
      <c r="W27">
        <f>COUNTIFS(DataRegularSeason20242025!$E$3:$E$1315,$A27, DataRegularSeason20242025!$L$3:$L$1315, $A27,DataRegularSeason20242025!$N$3:$N$1315,1,DataRegularSeason20242025!$M$3:$M$1315,"SO")</f>
        <v>1</v>
      </c>
      <c r="X27">
        <f>H27-T27</f>
        <v>6</v>
      </c>
      <c r="Y27">
        <f>COUNTIFS(DataRegularSeason20242025!$E$3:$E$1315,$A27, DataRegularSeason20242025!$S$3:$S$1315, $A27,DataRegularSeason20242025!$M$3:$M$1315,"REG")</f>
        <v>3</v>
      </c>
      <c r="Z27">
        <f>COUNTIFS(DataRegularSeason20242025!$E$3:$E$1315,$A27, DataRegularSeason20242025!$S$3:$S$1315, $A27,DataRegularSeason20242025!$M$3:$M$1315,"OT")</f>
        <v>3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0.3888888888888889</v>
      </c>
      <c r="AC27">
        <f>Table3[[#This Row],[W_A]]+Table3[[#This Row],[W_H]]</f>
        <v>7</v>
      </c>
      <c r="AD27">
        <f>Table3[[#This Row],[L_A]]+Table3[[#This Row],[L_H]]</f>
        <v>11</v>
      </c>
      <c r="AE27">
        <f>Table3[[#This Row],[RW_A]]+Table3[[#This Row],[RW_H]]</f>
        <v>5</v>
      </c>
      <c r="AF27">
        <f>Table3[[#This Row],[RL_A]]+Table3[[#This Row],[RL_H]]</f>
        <v>7</v>
      </c>
      <c r="AG27">
        <f>Table3[[#This Row],[OTW_A]]+Table3[[#This Row],[OTW_H]]</f>
        <v>1</v>
      </c>
      <c r="AH27">
        <f>Table3[[#This Row],[OTL_A]]+Table3[[#This Row],[OTL_H]]</f>
        <v>4</v>
      </c>
      <c r="AI27">
        <f>Table3[[#This Row],[SOW_A]]+Table3[[#This Row],[SOW_H]]</f>
        <v>1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2-4</v>
      </c>
      <c r="AL27">
        <f>SUM(Table3[[#This Row],[OTW]],Table3[[#This Row],[OTL]],Table3[[#This Row],[SOW]],Table3[[#This Row],[SOL]])</f>
        <v>6</v>
      </c>
      <c r="AM27">
        <f>(Table3[[#This Row],[OTW]]+Table3[[#This Row],[SOW]])/IF(Table3[[#This Row],[Total_ExtraTimes]]=0,1,Table3[[#This Row],[Total_ExtraTimes]])</f>
        <v>0.33333333333333331</v>
      </c>
      <c r="AN27">
        <f>Table3[[#This Row],[Total_ExtraTimes]]/MAX(1,Table3[[#This Row],[GP]])</f>
        <v>0.33333333333333331</v>
      </c>
      <c r="AO27">
        <f>(2*(Table3[[#This Row],[W_A]]+Table3[[#This Row],[W_H]]))+Table3[[#This Row],[OTL_A]]+Table3[[#This Row],[SOL_A]]+Table3[[#This Row],[OTL_H]]+Table3[[#This Row],[SOL_H]]</f>
        <v>18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27" s="10">
        <f>Table3[[#This Row],[PTS]]/(2*Table3[[#This Row],[GP]])</f>
        <v>0.5</v>
      </c>
      <c r="AR27" s="10">
        <f>Table3[[#This Row],[PTS2]]/(3*Table3[[#This Row],[GP]])</f>
        <v>0.42592592592592593</v>
      </c>
      <c r="AS27">
        <f>(2*Table3[[#This Row],[GR]])+Table3[[#This Row],[PTS]]</f>
        <v>146</v>
      </c>
      <c r="AT27">
        <f>(3*Table3[[#This Row],[GR]])+Table3[[#This Row],[PTS2]]</f>
        <v>215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104.77777777777777</v>
      </c>
      <c r="AW27" s="15" t="str">
        <f>_xlfn.CONCAT(TEXT(Table3[[#This Row],[W]], "0"), "-", TEXT(Table3[[#This Row],[RL]],"0"), "-", TEXT(Table3[[#This Row],[OTL]]+Table3[[#This Row],[SOL]], "0"))</f>
        <v>7-7-4</v>
      </c>
      <c r="AX27">
        <f>COUNTIFS(DataRegularSeason20242025!$D$3:$D$1315,Table3[[#This Row],[Teams]],DataRegularSeason20242025!$K$3:$K$1315,0)</f>
        <v>1</v>
      </c>
      <c r="AY27">
        <f>SUMIF(DataRegularSeason20242025!$D$3:$D$1315,$A27, DataRegularSeason20242025!$J$3:$J$1315)</f>
        <v>21</v>
      </c>
      <c r="AZ27">
        <f>SUMIF(DataRegularSeason20242025!$D$3:$D$1315,$A27, DataRegularSeason20242025!$K$3:$K$1315)</f>
        <v>23</v>
      </c>
      <c r="BA27">
        <f>AY27-AZ27</f>
        <v>-2</v>
      </c>
      <c r="BB27">
        <f>COUNTIFS(DataRegularSeason20242025!$E$3:$E$1315,Table3[[#This Row],[Teams]],DataRegularSeason20242025!$J$3:$J$1315,0)</f>
        <v>1</v>
      </c>
      <c r="BC27">
        <f>SUMIF(DataRegularSeason20242025!$E$3:$E$1315,$A27,DataRegularSeason20242025!$K$3:$K$1315)</f>
        <v>29</v>
      </c>
      <c r="BD27">
        <f>SUMIF(DataRegularSeason20242025!$E$3:$E$1315,$A27,DataRegularSeason20242025!$J$3:$J$1315)</f>
        <v>36</v>
      </c>
      <c r="BE27">
        <f>BC27-BD27</f>
        <v>-7</v>
      </c>
      <c r="BF27">
        <f>AY27+BC27</f>
        <v>50</v>
      </c>
      <c r="BG27">
        <f>AZ27+BD27</f>
        <v>59</v>
      </c>
      <c r="BH27">
        <f>BF27-BG27</f>
        <v>-9</v>
      </c>
      <c r="BI27" s="12">
        <f>Table3[[#This Row],[GF]]/Table3[[#This Row],[GP]]</f>
        <v>2.7777777777777777</v>
      </c>
      <c r="BJ27" s="12">
        <f>Table3[[#This Row],[GA]]/Table3[[#This Row],[GP]]</f>
        <v>3.2777777777777777</v>
      </c>
      <c r="BK27" s="12">
        <f>(Table3[[#This Row],[GF]]-Table3[[#This Row],[GA]])/Table3[[#This Row],[GP]]</f>
        <v>-0.5</v>
      </c>
      <c r="BL27" s="42" t="str">
        <f>_xlfn.CONCAT(TEXT(Table3[[#This Row],[W_H]], "0"), "-", TEXT(Table3[[#This Row],[RL_H]],"0"), "-", TEXT(Table3[[#This Row],[OTL_H]]+Table3[[#This Row],[SOL_H]], "0"))</f>
        <v>4-3-3</v>
      </c>
      <c r="BM27" s="42" t="str">
        <f>_xlfn.CONCAT(TEXT(Table3[[#This Row],[W_A]], "0"), "-", TEXT(Table3[[#This Row],[RL_A]],"0"), "-", TEXT(Table3[[#This Row],[OTL_A]]+Table3[[#This Row],[SOL_A]], "0"))</f>
        <v>3-4-1</v>
      </c>
      <c r="BN27" s="42">
        <f>((2*(Table3[[#This Row],[W_H]]))+Table3[[#This Row],[OTL_H]]+Table3[[#This Row],[SOL_H]])/(2*Table3[[#This Row],[GP_H]])</f>
        <v>0.55000000000000004</v>
      </c>
      <c r="BO27" s="42">
        <f>((2*(Table3[[#This Row],[W_A]]))+Table3[[#This Row],[OTL_A]]+Table3[[#This Row],[SOL_A]])/(2*Table3[[#This Row],[GP_A]])</f>
        <v>0.4375</v>
      </c>
      <c r="BP27" s="16">
        <f>(Table3[[#This Row],[W]]*$CX$3)+(Table3[[#This Row],[L]]*$CX$4)+(Table3[[#This Row],[GF]]*$CX$5)+(Table3[[#This Row],[GA]]*$CX$6)</f>
        <v>20.200000000000003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83.066666666666677</v>
      </c>
      <c r="BR27" s="16">
        <f>(Table3[[#This Row],[W]]*0.7) + ((Table3[[#This Row],[GF]] - Table3[[#This Row],[GA]])*0.25)+(Table3[[#This Row],[GF]]*0.1)+(Table3[[#This Row],[GA]]*0.05)+(Table3[[#This Row],[L]]*0.3)</f>
        <v>13.899999999999999</v>
      </c>
      <c r="BS27" s="16">
        <f>Table3[[#This Row],[TeamCost83]]/Table3[[#This Row],[GP]]</f>
        <v>0.77222222222222214</v>
      </c>
      <c r="BT27">
        <f>COUNTIFS(Table2[AwayTeam],$A27,Table2[PredictedWinner], $A27, Table2[GameIsOver], 1)</f>
        <v>3</v>
      </c>
      <c r="BU27">
        <f>COUNTIFS(Table2[HomeTeam],$A27,Table2[PredictedWinner], $A27, Table2[GameIsOver], 1)</f>
        <v>7</v>
      </c>
      <c r="BV27">
        <f>BT27+BU27</f>
        <v>10</v>
      </c>
      <c r="BW27">
        <f>F27-BT27</f>
        <v>5</v>
      </c>
      <c r="BX27">
        <f>H27-BU27</f>
        <v>3</v>
      </c>
      <c r="BY27">
        <f>BW27+BX27</f>
        <v>8</v>
      </c>
      <c r="BZ27">
        <f>Table3[[#This Row],[TimesPredictedWinner]]/Table3[[#This Row],[GP]]</f>
        <v>0.55555555555555558</v>
      </c>
      <c r="CD27" s="1">
        <v>45762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5.3000000000000007</v>
      </c>
      <c r="CJ27">
        <f>SUMIFS(Table2[GamePredictionScore], Table2[HomeTeam], Table3[[#This Row],[Teams]])</f>
        <v>4.5</v>
      </c>
      <c r="CK27">
        <f>Table3[[#This Row],[Column4]]+Table3[[#This Row],[Column3]]</f>
        <v>9.8000000000000007</v>
      </c>
      <c r="CL27">
        <f>Table3[[#This Row],[Column5]]/Table3[[#This Row],[GP]]</f>
        <v>0.54444444444444451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17</v>
      </c>
      <c r="B28" t="s">
        <v>91</v>
      </c>
      <c r="C28" t="s">
        <v>74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15</v>
      </c>
      <c r="E28" s="10">
        <f>Table3[[#This Row],[Watched]]/Table3[[#This Row],[GP]]</f>
        <v>0.88235294117647056</v>
      </c>
      <c r="F28">
        <f>COUNTIFS(DataRegularSeason20242025!$N$3:$N$1315,1,DataRegularSeason20242025!$D$3:$D$1315,$A28)</f>
        <v>5</v>
      </c>
      <c r="G28">
        <f>41-Table3[[#This Row],[GP_A]]</f>
        <v>36</v>
      </c>
      <c r="H28">
        <f>COUNTIFS(DataRegularSeason20242025!$E$3:$E$1315,$A28,DataRegularSeason20242025!$N$3:$N$1315,1)</f>
        <v>12</v>
      </c>
      <c r="I28">
        <f>41-Table3[[#This Row],[GP_H]]</f>
        <v>29</v>
      </c>
      <c r="J28">
        <f>F28+H28</f>
        <v>17</v>
      </c>
      <c r="K28">
        <f>82-Table3[[#This Row],[GP]]</f>
        <v>65</v>
      </c>
      <c r="L28">
        <f>COUNTIFS(DataRegularSeason20242025!$D$3:$D$1315,$A28, DataRegularSeason20242025!$L$3:$L$1315, $A28,DataRegularSeason20242025!$N$3:$N$1315,1)</f>
        <v>1</v>
      </c>
      <c r="M28">
        <f>COUNTIFS(DataRegularSeason20242025!$D$3:$D$1315,$A28, DataRegularSeason20242025!$L$3:$L$1315, $A28,DataRegularSeason20242025!$N$3:$N$1315,1,DataRegularSeason20242025!$M$3:$M$1315,"REG")</f>
        <v>1</v>
      </c>
      <c r="N28">
        <f>COUNTIFS(DataRegularSeason20242025!$D$3:$D$1315,$A28, DataRegularSeason20242025!$L$3:$L$1315, $A28,DataRegularSeason20242025!$N$3:$N$1315,1,DataRegularSeason20242025!$M$3:$M$1315,"OT")</f>
        <v>0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>F28-L28</f>
        <v>4</v>
      </c>
      <c r="Q28">
        <f>COUNTIFS(DataRegularSeason20242025!$D$3:$D$1315,$A28, DataRegularSeason20242025!$S$3:$S$1315, $A28,DataRegularSeason20242025!$M$3:$M$1315,"REG")</f>
        <v>4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7</v>
      </c>
      <c r="U28">
        <f>COUNTIFS(DataRegularSeason20242025!$E$3:$E$1315,$A28, DataRegularSeason20242025!$L$3:$L$1315, $A28,DataRegularSeason20242025!$N$3:$N$1315,1,DataRegularSeason20242025!$M$3:$M$1315,"REG")</f>
        <v>5</v>
      </c>
      <c r="V28">
        <f>COUNTIFS(DataRegularSeason20242025!$E$3:$E$1315,$A28, DataRegularSeason20242025!$L$3:$L$1315, $A28,DataRegularSeason20242025!$N$3:$N$1315,1,DataRegularSeason20242025!$M$3:$M$1315,"OT")</f>
        <v>2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5</v>
      </c>
      <c r="Y28">
        <f>COUNTIFS(DataRegularSeason20242025!$E$3:$E$1315,$A28, DataRegularSeason20242025!$S$3:$S$1315, $A28,DataRegularSeason20242025!$M$3:$M$1315,"REG")</f>
        <v>4</v>
      </c>
      <c r="Z28">
        <f>COUNTIFS(DataRegularSeason20242025!$E$3:$E$1315,$A28, DataRegularSeason20242025!$S$3:$S$1315, $A28,DataRegularSeason20242025!$M$3:$M$1315,"OT")</f>
        <v>1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0.47058823529411764</v>
      </c>
      <c r="AC28">
        <f>Table3[[#This Row],[W_A]]+Table3[[#This Row],[W_H]]</f>
        <v>8</v>
      </c>
      <c r="AD28">
        <f>Table3[[#This Row],[L_A]]+Table3[[#This Row],[L_H]]</f>
        <v>9</v>
      </c>
      <c r="AE28">
        <f>Table3[[#This Row],[RW_A]]+Table3[[#This Row],[RW_H]]</f>
        <v>6</v>
      </c>
      <c r="AF28">
        <f>Table3[[#This Row],[RL_A]]+Table3[[#This Row],[RL_H]]</f>
        <v>8</v>
      </c>
      <c r="AG28">
        <f>Table3[[#This Row],[OTW_A]]+Table3[[#This Row],[OTW_H]]</f>
        <v>2</v>
      </c>
      <c r="AH28">
        <f>Table3[[#This Row],[OTL_A]]+Table3[[#This Row],[OTL_H]]</f>
        <v>1</v>
      </c>
      <c r="AI28">
        <f>Table3[[#This Row],[SOW_A]]+Table3[[#This Row],[SOW_H]]</f>
        <v>0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2-1</v>
      </c>
      <c r="AL28">
        <f>SUM(Table3[[#This Row],[OTW]],Table3[[#This Row],[OTL]],Table3[[#This Row],[SOW]],Table3[[#This Row],[SOL]])</f>
        <v>3</v>
      </c>
      <c r="AM28">
        <f>(Table3[[#This Row],[OTW]]+Table3[[#This Row],[SOW]])/IF(Table3[[#This Row],[Total_ExtraTimes]]=0,1,Table3[[#This Row],[Total_ExtraTimes]])</f>
        <v>0.66666666666666663</v>
      </c>
      <c r="AN28">
        <f>Table3[[#This Row],[Total_ExtraTimes]]/MAX(1,Table3[[#This Row],[GP]])</f>
        <v>0.17647058823529413</v>
      </c>
      <c r="AO28">
        <f>(2*(Table3[[#This Row],[W_A]]+Table3[[#This Row],[W_H]]))+Table3[[#This Row],[OTL_A]]+Table3[[#This Row],[SOL_A]]+Table3[[#This Row],[OTL_H]]+Table3[[#This Row],[SOL_H]]</f>
        <v>17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28" s="10">
        <f>Table3[[#This Row],[PTS]]/(2*Table3[[#This Row],[GP]])</f>
        <v>0.5</v>
      </c>
      <c r="AR28" s="10">
        <f>Table3[[#This Row],[PTS2]]/(3*Table3[[#This Row],[GP]])</f>
        <v>0.45098039215686275</v>
      </c>
      <c r="AS28">
        <f>(2*Table3[[#This Row],[GR]])+Table3[[#This Row],[PTS]]</f>
        <v>147</v>
      </c>
      <c r="AT28">
        <f>(3*Table3[[#This Row],[GR]])+Table3[[#This Row],[PTS2]]</f>
        <v>218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110.94117647058823</v>
      </c>
      <c r="AW28" s="15" t="str">
        <f>_xlfn.CONCAT(TEXT(Table3[[#This Row],[W]], "0"), "-", TEXT(Table3[[#This Row],[RL]],"0"), "-", TEXT(Table3[[#This Row],[OTL]]+Table3[[#This Row],[SOL]], "0"))</f>
        <v>8-8-1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17</v>
      </c>
      <c r="AZ28">
        <f>SUMIF(DataRegularSeason20242025!$D$3:$D$1315,$A28, DataRegularSeason20242025!$K$3:$K$1315)</f>
        <v>24</v>
      </c>
      <c r="BA28">
        <f>AY28-AZ28</f>
        <v>-7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45</v>
      </c>
      <c r="BD28">
        <f>SUMIF(DataRegularSeason20242025!$E$3:$E$1315,$A28,DataRegularSeason20242025!$J$3:$J$1315)</f>
        <v>41</v>
      </c>
      <c r="BE28">
        <f>BC28-BD28</f>
        <v>4</v>
      </c>
      <c r="BF28">
        <f>AY28+BC28</f>
        <v>62</v>
      </c>
      <c r="BG28">
        <f>AZ28+BD28</f>
        <v>65</v>
      </c>
      <c r="BH28">
        <f>BF28-BG28</f>
        <v>-3</v>
      </c>
      <c r="BI28" s="12">
        <f>Table3[[#This Row],[GF]]/Table3[[#This Row],[GP]]</f>
        <v>3.6470588235294117</v>
      </c>
      <c r="BJ28" s="12">
        <f>Table3[[#This Row],[GA]]/Table3[[#This Row],[GP]]</f>
        <v>3.8235294117647061</v>
      </c>
      <c r="BK28" s="12">
        <f>(Table3[[#This Row],[GF]]-Table3[[#This Row],[GA]])/Table3[[#This Row],[GP]]</f>
        <v>-0.17647058823529413</v>
      </c>
      <c r="BL28" s="42" t="str">
        <f>_xlfn.CONCAT(TEXT(Table3[[#This Row],[W_H]], "0"), "-", TEXT(Table3[[#This Row],[RL_H]],"0"), "-", TEXT(Table3[[#This Row],[OTL_H]]+Table3[[#This Row],[SOL_H]], "0"))</f>
        <v>7-4-1</v>
      </c>
      <c r="BM28" s="42" t="str">
        <f>_xlfn.CONCAT(TEXT(Table3[[#This Row],[W_A]], "0"), "-", TEXT(Table3[[#This Row],[RL_A]],"0"), "-", TEXT(Table3[[#This Row],[OTL_A]]+Table3[[#This Row],[SOL_A]], "0"))</f>
        <v>1-4-0</v>
      </c>
      <c r="BN28" s="42">
        <f>((2*(Table3[[#This Row],[W_H]]))+Table3[[#This Row],[OTL_H]]+Table3[[#This Row],[SOL_H]])/(2*Table3[[#This Row],[GP_H]])</f>
        <v>0.625</v>
      </c>
      <c r="BO28" s="42">
        <f>((2*(Table3[[#This Row],[W_A]]))+Table3[[#This Row],[OTL_A]]+Table3[[#This Row],[SOL_A]])/(2*Table3[[#This Row],[GP_A]])</f>
        <v>0.2</v>
      </c>
      <c r="BP28" s="16">
        <f>(Table3[[#This Row],[W]]*$CX$3)+(Table3[[#This Row],[L]]*$CX$4)+(Table3[[#This Row],[GF]]*$CX$5)+(Table3[[#This Row],[GA]]*$CX$6)</f>
        <v>22.5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100.64117647058823</v>
      </c>
      <c r="BR28" s="16">
        <f>(Table3[[#This Row],[W]]*0.7) + ((Table3[[#This Row],[GF]] - Table3[[#This Row],[GA]])*0.25)+(Table3[[#This Row],[GF]]*0.1)+(Table3[[#This Row],[GA]]*0.05)+(Table3[[#This Row],[L]]*0.3)</f>
        <v>17</v>
      </c>
      <c r="BS28" s="16">
        <f>Table3[[#This Row],[TeamCost83]]/Table3[[#This Row],[GP]]</f>
        <v>1</v>
      </c>
      <c r="BT28">
        <f>COUNTIFS(Table2[AwayTeam],$A28,Table2[PredictedWinner], $A28, Table2[GameIsOver], 1)</f>
        <v>3</v>
      </c>
      <c r="BU28">
        <f>COUNTIFS(Table2[HomeTeam],$A28,Table2[PredictedWinner], $A28, Table2[GameIsOver], 1)</f>
        <v>5</v>
      </c>
      <c r="BV28">
        <f>BT28+BU28</f>
        <v>8</v>
      </c>
      <c r="BW28">
        <f>F28-BT28</f>
        <v>2</v>
      </c>
      <c r="BX28">
        <f>H28-BU28</f>
        <v>7</v>
      </c>
      <c r="BY28">
        <f>BW28+BX28</f>
        <v>9</v>
      </c>
      <c r="BZ28">
        <f>Table3[[#This Row],[TimesPredictedWinner]]/Table3[[#This Row],[GP]]</f>
        <v>0.47058823529411764</v>
      </c>
      <c r="CB28">
        <v>1967</v>
      </c>
      <c r="CD28" s="1">
        <v>45749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0.8</v>
      </c>
      <c r="CJ28">
        <f>SUMIFS(Table2[GamePredictionScore], Table2[HomeTeam], Table3[[#This Row],[Teams]])</f>
        <v>5.3000000000000007</v>
      </c>
      <c r="CK28">
        <f>Table3[[#This Row],[Column4]]+Table3[[#This Row],[Column3]]</f>
        <v>6.1000000000000005</v>
      </c>
      <c r="CL28">
        <f>Table3[[#This Row],[Column5]]/Table3[[#This Row],[GP]]</f>
        <v>0.35882352941176476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24</v>
      </c>
      <c r="B29" t="s">
        <v>90</v>
      </c>
      <c r="C29" t="s">
        <v>93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15</v>
      </c>
      <c r="E29" s="10">
        <f>Table3[[#This Row],[Watched]]/Table3[[#This Row],[GP]]</f>
        <v>0.83333333333333337</v>
      </c>
      <c r="F29">
        <f>COUNTIFS(DataRegularSeason20242025!$N$3:$N$1315,1,DataRegularSeason20242025!$D$3:$D$1315,$A29)</f>
        <v>9</v>
      </c>
      <c r="G29">
        <f>41-Table3[[#This Row],[GP_A]]</f>
        <v>32</v>
      </c>
      <c r="H29">
        <f>COUNTIFS(DataRegularSeason20242025!$E$3:$E$1315,$A29,DataRegularSeason20242025!$N$3:$N$1315,1)</f>
        <v>9</v>
      </c>
      <c r="I29">
        <f>41-Table3[[#This Row],[GP_H]]</f>
        <v>32</v>
      </c>
      <c r="J29">
        <f>F29+H29</f>
        <v>18</v>
      </c>
      <c r="K29">
        <f>82-Table3[[#This Row],[GP]]</f>
        <v>64</v>
      </c>
      <c r="L29">
        <f>COUNTIFS(DataRegularSeason20242025!$D$3:$D$1315,$A29, DataRegularSeason20242025!$L$3:$L$1315, $A29,DataRegularSeason20242025!$N$3:$N$1315,1)</f>
        <v>5</v>
      </c>
      <c r="M29">
        <f>COUNTIFS(DataRegularSeason20242025!$D$3:$D$1315,$A29, DataRegularSeason20242025!$L$3:$L$1315, $A29,DataRegularSeason20242025!$N$3:$N$1315,1,DataRegularSeason20242025!$M$3:$M$1315,"REG")</f>
        <v>2</v>
      </c>
      <c r="N29">
        <f>COUNTIFS(DataRegularSeason20242025!$D$3:$D$1315,$A29, DataRegularSeason20242025!$L$3:$L$1315, $A29,DataRegularSeason20242025!$N$3:$N$1315,1,DataRegularSeason20242025!$M$3:$M$1315,"OT")</f>
        <v>1</v>
      </c>
      <c r="O29">
        <f>COUNTIFS(DataRegularSeason20242025!$D$3:$D$1315,$A29, DataRegularSeason20242025!$L$3:$L$1315, $A29,DataRegularSeason20242025!$N$3:$N$1315,1,DataRegularSeason20242025!$M$3:$M$1315,"SO")</f>
        <v>2</v>
      </c>
      <c r="P29">
        <f>F29-L29</f>
        <v>4</v>
      </c>
      <c r="Q29">
        <f>COUNTIFS(DataRegularSeason20242025!$D$3:$D$1315,$A29, DataRegularSeason20242025!$S$3:$S$1315, $A29,DataRegularSeason20242025!$M$3:$M$1315,"REG")</f>
        <v>4</v>
      </c>
      <c r="R29">
        <f>COUNTIFS(DataRegularSeason20242025!$D$3:$D$1315,$A29, DataRegularSeason20242025!$S$3:$S$1315, $A29,DataRegularSeason20242025!$M$3:$M$1315,"OT")</f>
        <v>0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3</v>
      </c>
      <c r="U29">
        <f>COUNTIFS(DataRegularSeason20242025!$E$3:$E$1315,$A29, DataRegularSeason20242025!$L$3:$L$1315, $A29,DataRegularSeason20242025!$N$3:$N$1315,1,DataRegularSeason20242025!$M$3:$M$1315,"REG")</f>
        <v>2</v>
      </c>
      <c r="V29">
        <f>COUNTIFS(DataRegularSeason20242025!$E$3:$E$1315,$A29, DataRegularSeason20242025!$L$3:$L$1315, $A29,DataRegularSeason20242025!$N$3:$N$1315,1,DataRegularSeason20242025!$M$3:$M$1315,"OT")</f>
        <v>1</v>
      </c>
      <c r="W29">
        <f>COUNTIFS(DataRegularSeason20242025!$E$3:$E$1315,$A29, DataRegularSeason20242025!$L$3:$L$1315, $A29,DataRegularSeason20242025!$N$3:$N$1315,1,DataRegularSeason20242025!$M$3:$M$1315,"SO")</f>
        <v>0</v>
      </c>
      <c r="X29">
        <f>H29-T29</f>
        <v>6</v>
      </c>
      <c r="Y29">
        <f>COUNTIFS(DataRegularSeason20242025!$E$3:$E$1315,$A29, DataRegularSeason20242025!$S$3:$S$1315, $A29,DataRegularSeason20242025!$M$3:$M$1315,"REG")</f>
        <v>5</v>
      </c>
      <c r="Z29">
        <f>COUNTIFS(DataRegularSeason20242025!$E$3:$E$1315,$A29, DataRegularSeason20242025!$S$3:$S$1315, $A29,DataRegularSeason20242025!$M$3:$M$1315,"OT")</f>
        <v>1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0.44444444444444442</v>
      </c>
      <c r="AC29">
        <f>Table3[[#This Row],[W_A]]+Table3[[#This Row],[W_H]]</f>
        <v>8</v>
      </c>
      <c r="AD29">
        <f>Table3[[#This Row],[L_A]]+Table3[[#This Row],[L_H]]</f>
        <v>10</v>
      </c>
      <c r="AE29">
        <f>Table3[[#This Row],[RW_A]]+Table3[[#This Row],[RW_H]]</f>
        <v>4</v>
      </c>
      <c r="AF29">
        <f>Table3[[#This Row],[RL_A]]+Table3[[#This Row],[RL_H]]</f>
        <v>9</v>
      </c>
      <c r="AG29">
        <f>Table3[[#This Row],[OTW_A]]+Table3[[#This Row],[OTW_H]]</f>
        <v>2</v>
      </c>
      <c r="AH29">
        <f>Table3[[#This Row],[OTL_A]]+Table3[[#This Row],[OTL_H]]</f>
        <v>1</v>
      </c>
      <c r="AI29">
        <f>Table3[[#This Row],[SOW_A]]+Table3[[#This Row],[SOW_H]]</f>
        <v>2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4-1</v>
      </c>
      <c r="AL29">
        <f>SUM(Table3[[#This Row],[OTW]],Table3[[#This Row],[OTL]],Table3[[#This Row],[SOW]],Table3[[#This Row],[SOL]])</f>
        <v>5</v>
      </c>
      <c r="AM29">
        <f>(Table3[[#This Row],[OTW]]+Table3[[#This Row],[SOW]])/IF(Table3[[#This Row],[Total_ExtraTimes]]=0,1,Table3[[#This Row],[Total_ExtraTimes]])</f>
        <v>0.8</v>
      </c>
      <c r="AN29">
        <f>Table3[[#This Row],[Total_ExtraTimes]]/MAX(1,Table3[[#This Row],[GP]])</f>
        <v>0.27777777777777779</v>
      </c>
      <c r="AO29">
        <f>(2*(Table3[[#This Row],[W_A]]+Table3[[#This Row],[W_H]]))+Table3[[#This Row],[OTL_A]]+Table3[[#This Row],[SOL_A]]+Table3[[#This Row],[OTL_H]]+Table3[[#This Row],[SOL_H]]</f>
        <v>17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21</v>
      </c>
      <c r="AQ29" s="10">
        <f>Table3[[#This Row],[PTS]]/(2*Table3[[#This Row],[GP]])</f>
        <v>0.47222222222222221</v>
      </c>
      <c r="AR29" s="10">
        <f>Table3[[#This Row],[PTS2]]/(3*Table3[[#This Row],[GP]])</f>
        <v>0.3888888888888889</v>
      </c>
      <c r="AS29">
        <f>(2*Table3[[#This Row],[GR]])+Table3[[#This Row],[PTS]]</f>
        <v>145</v>
      </c>
      <c r="AT29">
        <f>(3*Table3[[#This Row],[GR]])+Table3[[#This Row],[PTS2]]</f>
        <v>213</v>
      </c>
      <c r="AU29">
        <f>Table3[[#This Row],[PTS]]+(2 * Table3[[#This Row],[GR]] * Table3[[#This Row],[PTS%]])</f>
        <v>77.444444444444443</v>
      </c>
      <c r="AV29">
        <f>Table3[[#This Row],[PTS2]]+(3 * Table3[[#This Row],[GR]] * Table3[[#This Row],[PTS%2]])</f>
        <v>95.666666666666671</v>
      </c>
      <c r="AW29" s="15" t="str">
        <f>_xlfn.CONCAT(TEXT(Table3[[#This Row],[W]], "0"), "-", TEXT(Table3[[#This Row],[RL]],"0"), "-", TEXT(Table3[[#This Row],[OTL]]+Table3[[#This Row],[SOL]], "0"))</f>
        <v>8-9-1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26</v>
      </c>
      <c r="AZ29">
        <f>SUMIF(DataRegularSeason20242025!$D$3:$D$1315,$A29, DataRegularSeason20242025!$K$3:$K$1315)</f>
        <v>30</v>
      </c>
      <c r="BA29">
        <f>AY29-AZ29</f>
        <v>-4</v>
      </c>
      <c r="BB29">
        <f>COUNTIFS(DataRegularSeason20242025!$E$3:$E$1315,Table3[[#This Row],[Teams]],DataRegularSeason20242025!$J$3:$J$1315,0)</f>
        <v>0</v>
      </c>
      <c r="BC29">
        <f>SUMIF(DataRegularSeason20242025!$E$3:$E$1315,$A29,DataRegularSeason20242025!$K$3:$K$1315)</f>
        <v>27</v>
      </c>
      <c r="BD29">
        <f>SUMIF(DataRegularSeason20242025!$E$3:$E$1315,$A29,DataRegularSeason20242025!$J$3:$J$1315)</f>
        <v>33</v>
      </c>
      <c r="BE29">
        <f>BC29-BD29</f>
        <v>-6</v>
      </c>
      <c r="BF29">
        <f>AY29+BC29</f>
        <v>53</v>
      </c>
      <c r="BG29">
        <f>AZ29+BD29</f>
        <v>63</v>
      </c>
      <c r="BH29">
        <f>BF29-BG29</f>
        <v>-10</v>
      </c>
      <c r="BI29" s="12">
        <f>Table3[[#This Row],[GF]]/Table3[[#This Row],[GP]]</f>
        <v>2.9444444444444446</v>
      </c>
      <c r="BJ29" s="12">
        <f>Table3[[#This Row],[GA]]/Table3[[#This Row],[GP]]</f>
        <v>3.5</v>
      </c>
      <c r="BK29" s="12">
        <f>(Table3[[#This Row],[GF]]-Table3[[#This Row],[GA]])/Table3[[#This Row],[GP]]</f>
        <v>-0.55555555555555558</v>
      </c>
      <c r="BL29" s="42" t="str">
        <f>_xlfn.CONCAT(TEXT(Table3[[#This Row],[W_H]], "0"), "-", TEXT(Table3[[#This Row],[RL_H]],"0"), "-", TEXT(Table3[[#This Row],[OTL_H]]+Table3[[#This Row],[SOL_H]], "0"))</f>
        <v>3-5-1</v>
      </c>
      <c r="BM29" s="42" t="str">
        <f>_xlfn.CONCAT(TEXT(Table3[[#This Row],[W_A]], "0"), "-", TEXT(Table3[[#This Row],[RL_A]],"0"), "-", TEXT(Table3[[#This Row],[OTL_A]]+Table3[[#This Row],[SOL_A]], "0"))</f>
        <v>5-4-0</v>
      </c>
      <c r="BN29" s="42">
        <f>((2*(Table3[[#This Row],[W_H]]))+Table3[[#This Row],[OTL_H]]+Table3[[#This Row],[SOL_H]])/(2*Table3[[#This Row],[GP_H]])</f>
        <v>0.3888888888888889</v>
      </c>
      <c r="BO29" s="42">
        <f>((2*(Table3[[#This Row],[W_A]]))+Table3[[#This Row],[OTL_A]]+Table3[[#This Row],[SOL_A]])/(2*Table3[[#This Row],[GP_A]])</f>
        <v>0.55555555555555558</v>
      </c>
      <c r="BP29" s="16">
        <f>(Table3[[#This Row],[W]]*$CX$3)+(Table3[[#This Row],[L]]*$CX$4)+(Table3[[#This Row],[GF]]*$CX$5)+(Table3[[#This Row],[GA]]*$CX$6)</f>
        <v>21.25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87.96358024691358</v>
      </c>
      <c r="BR29" s="16">
        <f>(Table3[[#This Row],[W]]*0.7) + ((Table3[[#This Row],[GF]] - Table3[[#This Row],[GA]])*0.25)+(Table3[[#This Row],[GF]]*0.1)+(Table3[[#This Row],[GA]]*0.05)+(Table3[[#This Row],[L]]*0.3)</f>
        <v>14.55</v>
      </c>
      <c r="BS29" s="16">
        <f>Table3[[#This Row],[TeamCost83]]/Table3[[#This Row],[GP]]</f>
        <v>0.80833333333333335</v>
      </c>
      <c r="BT29">
        <f>COUNTIFS(Table2[AwayTeam],$A29,Table2[PredictedWinner], $A29, Table2[GameIsOver], 1)</f>
        <v>3</v>
      </c>
      <c r="BU29">
        <f>COUNTIFS(Table2[HomeTeam],$A29,Table2[PredictedWinner], $A29, Table2[GameIsOver], 1)</f>
        <v>5</v>
      </c>
      <c r="BV29">
        <f>BT29+BU29</f>
        <v>8</v>
      </c>
      <c r="BW29">
        <f>F29-BT29</f>
        <v>6</v>
      </c>
      <c r="BX29">
        <f>H29-BU29</f>
        <v>4</v>
      </c>
      <c r="BY29">
        <f>BW29+BX29</f>
        <v>10</v>
      </c>
      <c r="BZ29">
        <f>Table3[[#This Row],[TimesPredictedWinner]]/Table3[[#This Row],[GP]]</f>
        <v>0.44444444444444442</v>
      </c>
      <c r="CC29" s="1">
        <v>45756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4.3999999999999995</v>
      </c>
      <c r="CJ29">
        <f>SUMIFS(Table2[GamePredictionScore], Table2[HomeTeam], Table3[[#This Row],[Teams]])</f>
        <v>4.7</v>
      </c>
      <c r="CK29">
        <f>Table3[[#This Row],[Column4]]+Table3[[#This Row],[Column3]]</f>
        <v>9.1</v>
      </c>
      <c r="CL29">
        <f>Table3[[#This Row],[Column5]]/Table3[[#This Row],[GP]]</f>
        <v>0.50555555555555554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28</v>
      </c>
      <c r="B30" t="s">
        <v>91</v>
      </c>
      <c r="C30" t="s">
        <v>74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11</v>
      </c>
      <c r="E30" s="10">
        <f>Table3[[#This Row],[Watched]]/Table3[[#This Row],[GP]]</f>
        <v>0.73333333333333328</v>
      </c>
      <c r="F30">
        <f>COUNTIFS(DataRegularSeason20242025!$N$3:$N$1315,1,DataRegularSeason20242025!$D$3:$D$1315,$A30)</f>
        <v>5</v>
      </c>
      <c r="G30">
        <f>41-Table3[[#This Row],[GP_A]]</f>
        <v>36</v>
      </c>
      <c r="H30">
        <f>COUNTIFS(DataRegularSeason20242025!$E$3:$E$1315,$A30,DataRegularSeason20242025!$N$3:$N$1315,1)</f>
        <v>10</v>
      </c>
      <c r="I30">
        <f>41-Table3[[#This Row],[GP_H]]</f>
        <v>31</v>
      </c>
      <c r="J30">
        <f>F30+H30</f>
        <v>15</v>
      </c>
      <c r="K30">
        <f>82-Table3[[#This Row],[GP]]</f>
        <v>67</v>
      </c>
      <c r="L30">
        <f>COUNTIFS(DataRegularSeason20242025!$D$3:$D$1315,$A30, DataRegularSeason20242025!$L$3:$L$1315, $A30,DataRegularSeason20242025!$N$3:$N$1315,1)</f>
        <v>0</v>
      </c>
      <c r="M30">
        <f>COUNTIFS(DataRegularSeason20242025!$D$3:$D$1315,$A30, DataRegularSeason20242025!$L$3:$L$1315, $A30,DataRegularSeason20242025!$N$3:$N$1315,1,DataRegularSeason20242025!$M$3:$M$1315,"REG")</f>
        <v>0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>F30-L30</f>
        <v>5</v>
      </c>
      <c r="Q30">
        <f>COUNTIFS(DataRegularSeason20242025!$D$3:$D$1315,$A30, DataRegularSeason20242025!$S$3:$S$1315, $A30,DataRegularSeason20242025!$M$3:$M$1315,"REG")</f>
        <v>3</v>
      </c>
      <c r="R30">
        <f>COUNTIFS(DataRegularSeason20242025!$D$3:$D$1315,$A30, DataRegularSeason20242025!$S$3:$S$1315, $A30,DataRegularSeason20242025!$M$3:$M$1315,"OT")</f>
        <v>2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5</v>
      </c>
      <c r="U30">
        <f>COUNTIFS(DataRegularSeason20242025!$E$3:$E$1315,$A30, DataRegularSeason20242025!$L$3:$L$1315, $A30,DataRegularSeason20242025!$N$3:$N$1315,1,DataRegularSeason20242025!$M$3:$M$1315,"REG")</f>
        <v>4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5</v>
      </c>
      <c r="Y30">
        <f>COUNTIFS(DataRegularSeason20242025!$E$3:$E$1315,$A30, DataRegularSeason20242025!$S$3:$S$1315, $A30,DataRegularSeason20242025!$M$3:$M$1315,"REG")</f>
        <v>3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0</v>
      </c>
      <c r="AB30">
        <f>Table3[[#This Row],[W]]/MAX(1,Table3[[#This Row],[W]]+Table3[[#This Row],[L]])</f>
        <v>0.33333333333333331</v>
      </c>
      <c r="AC30">
        <f>Table3[[#This Row],[W_A]]+Table3[[#This Row],[W_H]]</f>
        <v>5</v>
      </c>
      <c r="AD30">
        <f>Table3[[#This Row],[L_A]]+Table3[[#This Row],[L_H]]</f>
        <v>10</v>
      </c>
      <c r="AE30">
        <f>Table3[[#This Row],[RW_A]]+Table3[[#This Row],[RW_H]]</f>
        <v>4</v>
      </c>
      <c r="AF30">
        <f>Table3[[#This Row],[RL_A]]+Table3[[#This Row],[RL_H]]</f>
        <v>6</v>
      </c>
      <c r="AG30">
        <f>Table3[[#This Row],[OTW_A]]+Table3[[#This Row],[OTW_H]]</f>
        <v>0</v>
      </c>
      <c r="AH30">
        <f>Table3[[#This Row],[OTL_A]]+Table3[[#This Row],[OTL_H]]</f>
        <v>4</v>
      </c>
      <c r="AI30">
        <f>Table3[[#This Row],[SOW_A]]+Table3[[#This Row],[SOW_H]]</f>
        <v>1</v>
      </c>
      <c r="AJ30">
        <f>Table3[[#This Row],[SOL_A]]+Table3[[#This Row],[SOL_H]]</f>
        <v>0</v>
      </c>
      <c r="AK30" s="15" t="str">
        <f>_xlfn.CONCAT(TEXT(Table3[[#This Row],[OTW]]+Table3[[#This Row],[SOW]], "0"), "-", TEXT(Table3[[#This Row],[OTL]]+Table3[[#This Row],[SOL]],"0"))</f>
        <v>1-4</v>
      </c>
      <c r="AL30">
        <f>SUM(Table3[[#This Row],[OTW]],Table3[[#This Row],[OTL]],Table3[[#This Row],[SOW]],Table3[[#This Row],[SOL]])</f>
        <v>5</v>
      </c>
      <c r="AM30">
        <f>(Table3[[#This Row],[OTW]]+Table3[[#This Row],[SOW]])/IF(Table3[[#This Row],[Total_ExtraTimes]]=0,1,Table3[[#This Row],[Total_ExtraTimes]])</f>
        <v>0.2</v>
      </c>
      <c r="AN30">
        <f>Table3[[#This Row],[Total_ExtraTimes]]/MAX(1,Table3[[#This Row],[GP]])</f>
        <v>0.33333333333333331</v>
      </c>
      <c r="AO30">
        <f>(2*(Table3[[#This Row],[W_A]]+Table3[[#This Row],[W_H]]))+Table3[[#This Row],[OTL_A]]+Table3[[#This Row],[SOL_A]]+Table3[[#This Row],[OTL_H]]+Table3[[#This Row],[SOL_H]]</f>
        <v>14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30" s="10">
        <f>Table3[[#This Row],[PTS]]/(2*Table3[[#This Row],[GP]])</f>
        <v>0.46666666666666667</v>
      </c>
      <c r="AR30" s="10">
        <f>Table3[[#This Row],[PTS2]]/(3*Table3[[#This Row],[GP]])</f>
        <v>0.4</v>
      </c>
      <c r="AS30">
        <f>(2*Table3[[#This Row],[GR]])+Table3[[#This Row],[PTS]]</f>
        <v>148</v>
      </c>
      <c r="AT30">
        <f>(3*Table3[[#This Row],[GR]])+Table3[[#This Row],[PTS2]]</f>
        <v>219</v>
      </c>
      <c r="AU30">
        <f>Table3[[#This Row],[PTS]]+(2 * Table3[[#This Row],[GR]] * Table3[[#This Row],[PTS%]])</f>
        <v>76.533333333333331</v>
      </c>
      <c r="AV30">
        <f>Table3[[#This Row],[PTS2]]+(3 * Table3[[#This Row],[GR]] * Table3[[#This Row],[PTS%2]])</f>
        <v>98.4</v>
      </c>
      <c r="AW30" s="15" t="str">
        <f>_xlfn.CONCAT(TEXT(Table3[[#This Row],[W]], "0"), "-", TEXT(Table3[[#This Row],[RL]],"0"), "-", TEXT(Table3[[#This Row],[OTL]]+Table3[[#This Row],[SOL]], "0"))</f>
        <v>5-6-4</v>
      </c>
      <c r="AX30">
        <f>COUNTIFS(DataRegularSeason20242025!$D$3:$D$1315,Table3[[#This Row],[Teams]],DataRegularSeason20242025!$K$3:$K$1315,0)</f>
        <v>0</v>
      </c>
      <c r="AY30">
        <f>SUMIF(DataRegularSeason20242025!$D$3:$D$1315,$A30, DataRegularSeason20242025!$J$3:$J$1315)</f>
        <v>14</v>
      </c>
      <c r="AZ30">
        <f>SUMIF(DataRegularSeason20242025!$D$3:$D$1315,$A30, DataRegularSeason20242025!$K$3:$K$1315)</f>
        <v>24</v>
      </c>
      <c r="BA30">
        <f>AY30-AZ30</f>
        <v>-10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29</v>
      </c>
      <c r="BD30">
        <f>SUMIF(DataRegularSeason20242025!$E$3:$E$1315,$A30,DataRegularSeason20242025!$J$3:$J$1315)</f>
        <v>28</v>
      </c>
      <c r="BE30">
        <f>BC30-BD30</f>
        <v>1</v>
      </c>
      <c r="BF30">
        <f>AY30+BC30</f>
        <v>43</v>
      </c>
      <c r="BG30">
        <f>AZ30+BD30</f>
        <v>52</v>
      </c>
      <c r="BH30">
        <f>BF30-BG30</f>
        <v>-9</v>
      </c>
      <c r="BI30" s="12">
        <f>Table3[[#This Row],[GF]]/Table3[[#This Row],[GP]]</f>
        <v>2.8666666666666667</v>
      </c>
      <c r="BJ30" s="12">
        <f>Table3[[#This Row],[GA]]/Table3[[#This Row],[GP]]</f>
        <v>3.4666666666666668</v>
      </c>
      <c r="BK30" s="12">
        <f>(Table3[[#This Row],[GF]]-Table3[[#This Row],[GA]])/Table3[[#This Row],[GP]]</f>
        <v>-0.6</v>
      </c>
      <c r="BL30" s="42" t="str">
        <f>_xlfn.CONCAT(TEXT(Table3[[#This Row],[W_H]], "0"), "-", TEXT(Table3[[#This Row],[RL_H]],"0"), "-", TEXT(Table3[[#This Row],[OTL_H]]+Table3[[#This Row],[SOL_H]], "0"))</f>
        <v>5-3-2</v>
      </c>
      <c r="BM30" s="42" t="str">
        <f>_xlfn.CONCAT(TEXT(Table3[[#This Row],[W_A]], "0"), "-", TEXT(Table3[[#This Row],[RL_A]],"0"), "-", TEXT(Table3[[#This Row],[OTL_A]]+Table3[[#This Row],[SOL_A]], "0"))</f>
        <v>0-3-2</v>
      </c>
      <c r="BN30" s="42">
        <f>((2*(Table3[[#This Row],[W_H]]))+Table3[[#This Row],[OTL_H]]+Table3[[#This Row],[SOL_H]])/(2*Table3[[#This Row],[GP_H]])</f>
        <v>0.6</v>
      </c>
      <c r="BO30" s="42">
        <f>((2*(Table3[[#This Row],[W_A]]))+Table3[[#This Row],[OTL_A]]+Table3[[#This Row],[SOL_A]])/(2*Table3[[#This Row],[GP_A]])</f>
        <v>0.2</v>
      </c>
      <c r="BP30" s="16">
        <f>(Table3[[#This Row],[W]]*$CX$3)+(Table3[[#This Row],[L]]*$CX$4)+(Table3[[#This Row],[GF]]*$CX$5)+(Table3[[#This Row],[GA]]*$CX$6)</f>
        <v>17.149999999999999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82.986888888888899</v>
      </c>
      <c r="BR30" s="16">
        <f>(Table3[[#This Row],[W]]*0.7) + ((Table3[[#This Row],[GF]] - Table3[[#This Row],[GA]])*0.25)+(Table3[[#This Row],[GF]]*0.1)+(Table3[[#This Row],[GA]]*0.05)+(Table3[[#This Row],[L]]*0.3)</f>
        <v>11.15</v>
      </c>
      <c r="BS30" s="16">
        <f>Table3[[#This Row],[TeamCost83]]/Table3[[#This Row],[GP]]</f>
        <v>0.7433333333333334</v>
      </c>
      <c r="BT30">
        <f>COUNTIFS(Table2[AwayTeam],$A30,Table2[PredictedWinner], $A30, Table2[GameIsOver], 1)</f>
        <v>1</v>
      </c>
      <c r="BU30">
        <f>COUNTIFS(Table2[HomeTeam],$A30,Table2[PredictedWinner], $A30, Table2[GameIsOver], 1)</f>
        <v>5</v>
      </c>
      <c r="BV30">
        <f>BT30+BU30</f>
        <v>6</v>
      </c>
      <c r="BW30">
        <f>F30-BT30</f>
        <v>4</v>
      </c>
      <c r="BX30">
        <f>H30-BU30</f>
        <v>5</v>
      </c>
      <c r="BY30">
        <f>BW30+BX30</f>
        <v>9</v>
      </c>
      <c r="BZ30">
        <f>Table3[[#This Row],[TimesPredictedWinner]]/Table3[[#This Row],[GP]]</f>
        <v>0.4</v>
      </c>
      <c r="CC30" s="1">
        <v>45755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3.3</v>
      </c>
      <c r="CJ30">
        <f>SUMIFS(Table2[GamePredictionScore], Table2[HomeTeam], Table3[[#This Row],[Teams]])</f>
        <v>3.4000000000000004</v>
      </c>
      <c r="CK30">
        <f>Table3[[#This Row],[Column4]]+Table3[[#This Row],[Column3]]</f>
        <v>6.7</v>
      </c>
      <c r="CL30">
        <f>Table3[[#This Row],[Column5]]/Table3[[#This Row],[GP]]</f>
        <v>0.44666666666666666</v>
      </c>
      <c r="CU30" s="57"/>
      <c r="CV30" s="179" t="s">
        <v>760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12</v>
      </c>
      <c r="B31" t="s">
        <v>90</v>
      </c>
      <c r="C31" t="s">
        <v>88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13</v>
      </c>
      <c r="E31" s="10">
        <f>Table3[[#This Row],[Watched]]/Table3[[#This Row],[GP]]</f>
        <v>0.76470588235294112</v>
      </c>
      <c r="F31">
        <f>COUNTIFS(DataRegularSeason20242025!$N$3:$N$1315,1,DataRegularSeason20242025!$D$3:$D$1315,$A31)</f>
        <v>7</v>
      </c>
      <c r="G31">
        <f>41-Table3[[#This Row],[GP_A]]</f>
        <v>34</v>
      </c>
      <c r="H31">
        <f>COUNTIFS(DataRegularSeason20242025!$E$3:$E$1315,$A31,DataRegularSeason20242025!$N$3:$N$1315,1)</f>
        <v>10</v>
      </c>
      <c r="I31">
        <f>41-Table3[[#This Row],[GP_H]]</f>
        <v>31</v>
      </c>
      <c r="J31">
        <f>F31+H31</f>
        <v>17</v>
      </c>
      <c r="K31">
        <f>82-Table3[[#This Row],[GP]]</f>
        <v>65</v>
      </c>
      <c r="L31">
        <f>COUNTIFS(DataRegularSeason20242025!$D$3:$D$1315,$A31, DataRegularSeason20242025!$L$3:$L$1315, $A31,DataRegularSeason20242025!$N$3:$N$1315,1)</f>
        <v>3</v>
      </c>
      <c r="M31">
        <f>COUNTIFS(DataRegularSeason20242025!$D$3:$D$1315,$A31, DataRegularSeason20242025!$L$3:$L$1315, $A31,DataRegularSeason20242025!$N$3:$N$1315,1,DataRegularSeason20242025!$M$3:$M$1315,"REG")</f>
        <v>3</v>
      </c>
      <c r="N31">
        <f>COUNTIFS(DataRegularSeason20242025!$D$3:$D$1315,$A31, DataRegularSeason20242025!$L$3:$L$1315, $A31,DataRegularSeason20242025!$N$3:$N$1315,1,DataRegularSeason20242025!$M$3:$M$1315,"OT")</f>
        <v>0</v>
      </c>
      <c r="O31">
        <f>COUNTIFS(DataRegularSeason20242025!$D$3:$D$1315,$A31, DataRegularSeason20242025!$L$3:$L$1315, $A31,DataRegularSeason20242025!$N$3:$N$1315,1,DataRegularSeason20242025!$M$3:$M$1315,"SO")</f>
        <v>0</v>
      </c>
      <c r="P31">
        <f>F31-L31</f>
        <v>4</v>
      </c>
      <c r="Q31">
        <f>COUNTIFS(DataRegularSeason20242025!$D$3:$D$1315,$A31, DataRegularSeason20242025!$S$3:$S$1315, $A31,DataRegularSeason20242025!$M$3:$M$1315,"REG")</f>
        <v>4</v>
      </c>
      <c r="R31">
        <f>COUNTIFS(DataRegularSeason20242025!$D$3:$D$1315,$A31, DataRegularSeason20242025!$S$3:$S$1315, $A31,DataRegularSeason20242025!$M$3:$M$1315,"OT")</f>
        <v>0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3</v>
      </c>
      <c r="U31">
        <f>COUNTIFS(DataRegularSeason20242025!$E$3:$E$1315,$A31, DataRegularSeason20242025!$L$3:$L$1315, $A31,DataRegularSeason20242025!$N$3:$N$1315,1,DataRegularSeason20242025!$M$3:$M$1315,"REG")</f>
        <v>3</v>
      </c>
      <c r="V31">
        <f>COUNTIFS(DataRegularSeason20242025!$E$3:$E$1315,$A31, DataRegularSeason20242025!$L$3:$L$1315, $A31,DataRegularSeason20242025!$N$3:$N$1315,1,DataRegularSeason20242025!$M$3:$M$1315,"OT")</f>
        <v>0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>H31-T31</f>
        <v>7</v>
      </c>
      <c r="Y31">
        <f>COUNTIFS(DataRegularSeason20242025!$E$3:$E$1315,$A31, DataRegularSeason20242025!$S$3:$S$1315, $A31,DataRegularSeason20242025!$M$3:$M$1315,"REG")</f>
        <v>4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1</v>
      </c>
      <c r="AB31">
        <f>Table3[[#This Row],[W]]/MAX(1,Table3[[#This Row],[W]]+Table3[[#This Row],[L]])</f>
        <v>0.35294117647058826</v>
      </c>
      <c r="AC31">
        <f>Table3[[#This Row],[W_A]]+Table3[[#This Row],[W_H]]</f>
        <v>6</v>
      </c>
      <c r="AD31">
        <f>Table3[[#This Row],[L_A]]+Table3[[#This Row],[L_H]]</f>
        <v>11</v>
      </c>
      <c r="AE31">
        <f>Table3[[#This Row],[RW_A]]+Table3[[#This Row],[RW_H]]</f>
        <v>6</v>
      </c>
      <c r="AF31">
        <f>Table3[[#This Row],[RL_A]]+Table3[[#This Row],[RL_H]]</f>
        <v>8</v>
      </c>
      <c r="AG31">
        <f>Table3[[#This Row],[OTW_A]]+Table3[[#This Row],[OTW_H]]</f>
        <v>0</v>
      </c>
      <c r="AH31">
        <f>Table3[[#This Row],[OTL_A]]+Table3[[#This Row],[OTL_H]]</f>
        <v>2</v>
      </c>
      <c r="AI31">
        <f>Table3[[#This Row],[SOW_A]]+Table3[[#This Row],[SOW_H]]</f>
        <v>0</v>
      </c>
      <c r="AJ31">
        <f>Table3[[#This Row],[SOL_A]]+Table3[[#This Row],[SOL_H]]</f>
        <v>1</v>
      </c>
      <c r="AK31" s="15" t="str">
        <f>_xlfn.CONCAT(TEXT(Table3[[#This Row],[OTW]]+Table3[[#This Row],[SOW]], "0"), "-", TEXT(Table3[[#This Row],[OTL]]+Table3[[#This Row],[SOL]],"0"))</f>
        <v>0-3</v>
      </c>
      <c r="AL31">
        <f>SUM(Table3[[#This Row],[OTW]],Table3[[#This Row],[OTL]],Table3[[#This Row],[SOW]],Table3[[#This Row],[SOL]])</f>
        <v>3</v>
      </c>
      <c r="AM31">
        <f>(Table3[[#This Row],[OTW]]+Table3[[#This Row],[SOW]])/IF(Table3[[#This Row],[Total_ExtraTimes]]=0,1,Table3[[#This Row],[Total_ExtraTimes]])</f>
        <v>0</v>
      </c>
      <c r="AN31">
        <f>Table3[[#This Row],[Total_ExtraTimes]]/MAX(1,Table3[[#This Row],[GP]])</f>
        <v>0.17647058823529413</v>
      </c>
      <c r="AO31">
        <f>(2*(Table3[[#This Row],[W_A]]+Table3[[#This Row],[W_H]]))+Table3[[#This Row],[OTL_A]]+Table3[[#This Row],[SOL_A]]+Table3[[#This Row],[OTL_H]]+Table3[[#This Row],[SOL_H]]</f>
        <v>15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21</v>
      </c>
      <c r="AQ31" s="10">
        <f>Table3[[#This Row],[PTS]]/(2*Table3[[#This Row],[GP]])</f>
        <v>0.44117647058823528</v>
      </c>
      <c r="AR31" s="10">
        <f>Table3[[#This Row],[PTS2]]/(3*Table3[[#This Row],[GP]])</f>
        <v>0.41176470588235292</v>
      </c>
      <c r="AS31">
        <f>(2*Table3[[#This Row],[GR]])+Table3[[#This Row],[PTS]]</f>
        <v>145</v>
      </c>
      <c r="AT31">
        <f>(3*Table3[[#This Row],[GR]])+Table3[[#This Row],[PTS2]]</f>
        <v>216</v>
      </c>
      <c r="AU31">
        <f>Table3[[#This Row],[PTS]]+(2 * Table3[[#This Row],[GR]] * Table3[[#This Row],[PTS%]])</f>
        <v>72.35294117647058</v>
      </c>
      <c r="AV31">
        <f>Table3[[#This Row],[PTS2]]+(3 * Table3[[#This Row],[GR]] * Table3[[#This Row],[PTS%2]])</f>
        <v>101.29411764705883</v>
      </c>
      <c r="AW31" s="15" t="str">
        <f>_xlfn.CONCAT(TEXT(Table3[[#This Row],[W]], "0"), "-", TEXT(Table3[[#This Row],[RL]],"0"), "-", TEXT(Table3[[#This Row],[OTL]]+Table3[[#This Row],[SOL]], "0"))</f>
        <v>6-8-3</v>
      </c>
      <c r="AX31">
        <f>COUNTIFS(DataRegularSeason20242025!$D$3:$D$1315,Table3[[#This Row],[Teams]],DataRegularSeason20242025!$K$3:$K$1315,0)</f>
        <v>1</v>
      </c>
      <c r="AY31">
        <f>SUMIF(DataRegularSeason20242025!$D$3:$D$1315,$A31, DataRegularSeason20242025!$J$3:$J$1315)</f>
        <v>22</v>
      </c>
      <c r="AZ31">
        <f>SUMIF(DataRegularSeason20242025!$D$3:$D$1315,$A31, DataRegularSeason20242025!$K$3:$K$1315)</f>
        <v>25</v>
      </c>
      <c r="BA31">
        <f>AY31-AZ31</f>
        <v>-3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25</v>
      </c>
      <c r="BD31">
        <f>SUMIF(DataRegularSeason20242025!$E$3:$E$1315,$A31,DataRegularSeason20242025!$J$3:$J$1315)</f>
        <v>40</v>
      </c>
      <c r="BE31">
        <f>BC31-BD31</f>
        <v>-15</v>
      </c>
      <c r="BF31">
        <f>AY31+BC31</f>
        <v>47</v>
      </c>
      <c r="BG31">
        <f>AZ31+BD31</f>
        <v>65</v>
      </c>
      <c r="BH31">
        <f>BF31-BG31</f>
        <v>-18</v>
      </c>
      <c r="BI31" s="12">
        <f>Table3[[#This Row],[GF]]/Table3[[#This Row],[GP]]</f>
        <v>2.7647058823529411</v>
      </c>
      <c r="BJ31" s="12">
        <f>Table3[[#This Row],[GA]]/Table3[[#This Row],[GP]]</f>
        <v>3.8235294117647061</v>
      </c>
      <c r="BK31" s="12">
        <f>(Table3[[#This Row],[GF]]-Table3[[#This Row],[GA]])/Table3[[#This Row],[GP]]</f>
        <v>-1.0588235294117647</v>
      </c>
      <c r="BL31" s="42" t="str">
        <f>_xlfn.CONCAT(TEXT(Table3[[#This Row],[W_H]], "0"), "-", TEXT(Table3[[#This Row],[RL_H]],"0"), "-", TEXT(Table3[[#This Row],[OTL_H]]+Table3[[#This Row],[SOL_H]], "0"))</f>
        <v>3-4-3</v>
      </c>
      <c r="BM31" s="42" t="str">
        <f>_xlfn.CONCAT(TEXT(Table3[[#This Row],[W_A]], "0"), "-", TEXT(Table3[[#This Row],[RL_A]],"0"), "-", TEXT(Table3[[#This Row],[OTL_A]]+Table3[[#This Row],[SOL_A]], "0"))</f>
        <v>3-4-0</v>
      </c>
      <c r="BN31" s="42">
        <f>((2*(Table3[[#This Row],[W_H]]))+Table3[[#This Row],[OTL_H]]+Table3[[#This Row],[SOL_H]])/(2*Table3[[#This Row],[GP_H]])</f>
        <v>0.45</v>
      </c>
      <c r="BO31" s="42">
        <f>((2*(Table3[[#This Row],[W_A]]))+Table3[[#This Row],[OTL_A]]+Table3[[#This Row],[SOL_A]])/(2*Table3[[#This Row],[GP_A]])</f>
        <v>0.42857142857142855</v>
      </c>
      <c r="BP31" s="16">
        <f>(Table3[[#This Row],[W]]*$CX$3)+(Table3[[#This Row],[L]]*$CX$4)+(Table3[[#This Row],[GF]]*$CX$5)+(Table3[[#This Row],[GA]]*$CX$6)</f>
        <v>19.850000000000001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87.081487889273347</v>
      </c>
      <c r="BR31" s="16">
        <f>(Table3[[#This Row],[W]]*0.7) + ((Table3[[#This Row],[GF]] - Table3[[#This Row],[GA]])*0.25)+(Table3[[#This Row],[GF]]*0.1)+(Table3[[#This Row],[GA]]*0.05)+(Table3[[#This Row],[L]]*0.3)</f>
        <v>10.95</v>
      </c>
      <c r="BS31" s="16">
        <f>Table3[[#This Row],[TeamCost83]]/Table3[[#This Row],[GP]]</f>
        <v>0.64411764705882346</v>
      </c>
      <c r="BT31">
        <f>COUNTIFS(Table2[AwayTeam],$A31,Table2[PredictedWinner], $A31, Table2[GameIsOver], 1)</f>
        <v>4</v>
      </c>
      <c r="BU31">
        <f>COUNTIFS(Table2[HomeTeam],$A31,Table2[PredictedWinner], $A31, Table2[GameIsOver], 1)</f>
        <v>2</v>
      </c>
      <c r="BV31">
        <f>BT31+BU31</f>
        <v>6</v>
      </c>
      <c r="BW31">
        <f>F31-BT31</f>
        <v>3</v>
      </c>
      <c r="BX31">
        <f>H31-BU31</f>
        <v>8</v>
      </c>
      <c r="BY31">
        <f>BW31+BX31</f>
        <v>11</v>
      </c>
      <c r="BZ31">
        <f>Table3[[#This Row],[TimesPredictedWinner]]/Table3[[#This Row],[GP]]</f>
        <v>0.35294117647058826</v>
      </c>
      <c r="CB31">
        <v>2019</v>
      </c>
      <c r="CD31" s="1">
        <v>45762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3.3</v>
      </c>
      <c r="CJ31">
        <f>SUMIFS(Table2[GamePredictionScore], Table2[HomeTeam], Table3[[#This Row],[Teams]])</f>
        <v>4.4000000000000004</v>
      </c>
      <c r="CK31">
        <f>Table3[[#This Row],[Column4]]+Table3[[#This Row],[Column3]]</f>
        <v>7.7</v>
      </c>
      <c r="CL31">
        <f>Table3[[#This Row],[Column5]]/Table3[[#This Row],[GP]]</f>
        <v>0.45294117647058824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34</v>
      </c>
      <c r="B32" t="s">
        <v>90</v>
      </c>
      <c r="C32" t="s">
        <v>88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13</v>
      </c>
      <c r="E32" s="10">
        <f>Table3[[#This Row],[Watched]]/Table3[[#This Row],[GP]]</f>
        <v>0.72222222222222221</v>
      </c>
      <c r="F32">
        <f>COUNTIFS(DataRegularSeason20242025!$N$3:$N$1315,1,DataRegularSeason20242025!$D$3:$D$1315,$A32)</f>
        <v>7</v>
      </c>
      <c r="G32">
        <f>41-Table3[[#This Row],[GP_A]]</f>
        <v>34</v>
      </c>
      <c r="H32">
        <f>COUNTIFS(DataRegularSeason20242025!$E$3:$E$1315,$A32,DataRegularSeason20242025!$N$3:$N$1315,1)</f>
        <v>11</v>
      </c>
      <c r="I32">
        <f>41-Table3[[#This Row],[GP_H]]</f>
        <v>30</v>
      </c>
      <c r="J32">
        <f>F32+H32</f>
        <v>18</v>
      </c>
      <c r="K32">
        <f>82-Table3[[#This Row],[GP]]</f>
        <v>64</v>
      </c>
      <c r="L32">
        <f>COUNTIFS(DataRegularSeason20242025!$D$3:$D$1315,$A32, DataRegularSeason20242025!$L$3:$L$1315, $A32,DataRegularSeason20242025!$N$3:$N$1315,1)</f>
        <v>1</v>
      </c>
      <c r="M32">
        <f>COUNTIFS(DataRegularSeason20242025!$D$3:$D$1315,$A32, DataRegularSeason20242025!$L$3:$L$1315, $A32,DataRegularSeason20242025!$N$3:$N$1315,1,DataRegularSeason20242025!$M$3:$M$1315,"REG")</f>
        <v>1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0</v>
      </c>
      <c r="P32">
        <f>F32-L32</f>
        <v>6</v>
      </c>
      <c r="Q32">
        <f>COUNTIFS(DataRegularSeason20242025!$D$3:$D$1315,$A32, DataRegularSeason20242025!$S$3:$S$1315, $A32,DataRegularSeason20242025!$M$3:$M$1315,"REG")</f>
        <v>4</v>
      </c>
      <c r="R32">
        <f>COUNTIFS(DataRegularSeason20242025!$D$3:$D$1315,$A32, DataRegularSeason20242025!$S$3:$S$1315, $A32,DataRegularSeason20242025!$M$3:$M$1315,"OT")</f>
        <v>2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4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>H32-T32</f>
        <v>7</v>
      </c>
      <c r="Y32">
        <f>COUNTIFS(DataRegularSeason20242025!$E$3:$E$1315,$A32, DataRegularSeason20242025!$S$3:$S$1315, $A32,DataRegularSeason20242025!$M$3:$M$1315,"REG")</f>
        <v>5</v>
      </c>
      <c r="Z32">
        <f>COUNTIFS(DataRegularSeason20242025!$E$3:$E$1315,$A32, DataRegularSeason20242025!$S$3:$S$1315, $A32,DataRegularSeason20242025!$M$3:$M$1315,"OT")</f>
        <v>2</v>
      </c>
      <c r="AA32">
        <f>COUNTIFS(DataRegularSeason20242025!$E$3:$E$1315,$A32, DataRegularSeason20242025!$S$3:$S$1315, $A32,DataRegularSeason20242025!$M$3:$M$1315,"SO")</f>
        <v>0</v>
      </c>
      <c r="AB32">
        <f>Table3[[#This Row],[W]]/MAX(1,Table3[[#This Row],[W]]+Table3[[#This Row],[L]])</f>
        <v>0.27777777777777779</v>
      </c>
      <c r="AC32">
        <f>Table3[[#This Row],[W_A]]+Table3[[#This Row],[W_H]]</f>
        <v>5</v>
      </c>
      <c r="AD32">
        <f>Table3[[#This Row],[L_A]]+Table3[[#This Row],[L_H]]</f>
        <v>13</v>
      </c>
      <c r="AE32">
        <f>Table3[[#This Row],[RW_A]]+Table3[[#This Row],[RW_H]]</f>
        <v>4</v>
      </c>
      <c r="AF32">
        <f>Table3[[#This Row],[RL_A]]+Table3[[#This Row],[RL_H]]</f>
        <v>9</v>
      </c>
      <c r="AG32">
        <f>Table3[[#This Row],[OTW_A]]+Table3[[#This Row],[OTW_H]]</f>
        <v>0</v>
      </c>
      <c r="AH32">
        <f>Table3[[#This Row],[OTL_A]]+Table3[[#This Row],[OTL_H]]</f>
        <v>4</v>
      </c>
      <c r="AI32">
        <f>Table3[[#This Row],[SOW_A]]+Table3[[#This Row],[SOW_H]]</f>
        <v>1</v>
      </c>
      <c r="AJ32">
        <f>Table3[[#This Row],[SOL_A]]+Table3[[#This Row],[SOL_H]]</f>
        <v>0</v>
      </c>
      <c r="AK32" s="15" t="str">
        <f>_xlfn.CONCAT(TEXT(Table3[[#This Row],[OTW]]+Table3[[#This Row],[SOW]], "0"), "-", TEXT(Table3[[#This Row],[OTL]]+Table3[[#This Row],[SOL]],"0"))</f>
        <v>1-4</v>
      </c>
      <c r="AL32">
        <f>SUM(Table3[[#This Row],[OTW]],Table3[[#This Row],[OTL]],Table3[[#This Row],[SOW]],Table3[[#This Row],[SOL]])</f>
        <v>5</v>
      </c>
      <c r="AM32">
        <f>(Table3[[#This Row],[OTW]]+Table3[[#This Row],[SOW]])/IF(Table3[[#This Row],[Total_ExtraTimes]]=0,1,Table3[[#This Row],[Total_ExtraTimes]])</f>
        <v>0.2</v>
      </c>
      <c r="AN32">
        <f>Table3[[#This Row],[Total_ExtraTimes]]/MAX(1,Table3[[#This Row],[GP]])</f>
        <v>0.27777777777777779</v>
      </c>
      <c r="AO32">
        <f>(2*(Table3[[#This Row],[W_A]]+Table3[[#This Row],[W_H]]))+Table3[[#This Row],[OTL_A]]+Table3[[#This Row],[SOL_A]]+Table3[[#This Row],[OTL_H]]+Table3[[#This Row],[SOL_H]]</f>
        <v>14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32" s="10">
        <f>Table3[[#This Row],[PTS]]/(2*Table3[[#This Row],[GP]])</f>
        <v>0.3888888888888889</v>
      </c>
      <c r="AR32" s="10">
        <f>Table3[[#This Row],[PTS2]]/(3*Table3[[#This Row],[GP]])</f>
        <v>0.33333333333333331</v>
      </c>
      <c r="AS32">
        <f>(2*Table3[[#This Row],[GR]])+Table3[[#This Row],[PTS]]</f>
        <v>142</v>
      </c>
      <c r="AT32">
        <f>(3*Table3[[#This Row],[GR]])+Table3[[#This Row],[PTS2]]</f>
        <v>210</v>
      </c>
      <c r="AU32">
        <f>Table3[[#This Row],[PTS]]+(2 * Table3[[#This Row],[GR]] * Table3[[#This Row],[PTS%]])</f>
        <v>63.777777777777779</v>
      </c>
      <c r="AV32">
        <f>Table3[[#This Row],[PTS2]]+(3 * Table3[[#This Row],[GR]] * Table3[[#This Row],[PTS%2]])</f>
        <v>82</v>
      </c>
      <c r="AW32" s="15" t="str">
        <f>_xlfn.CONCAT(TEXT(Table3[[#This Row],[W]], "0"), "-", TEXT(Table3[[#This Row],[RL]],"0"), "-", TEXT(Table3[[#This Row],[OTL]]+Table3[[#This Row],[SOL]], "0"))</f>
        <v>5-9-4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17</v>
      </c>
      <c r="AZ32">
        <f>SUMIF(DataRegularSeason20242025!$D$3:$D$1315,$A32, DataRegularSeason20242025!$K$3:$K$1315)</f>
        <v>28</v>
      </c>
      <c r="BA32">
        <f>AY32-AZ32</f>
        <v>-11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30</v>
      </c>
      <c r="BD32">
        <f>SUMIF(DataRegularSeason20242025!$E$3:$E$1315,$A32,DataRegularSeason20242025!$J$3:$J$1315)</f>
        <v>37</v>
      </c>
      <c r="BE32">
        <f>BC32-BD32</f>
        <v>-7</v>
      </c>
      <c r="BF32">
        <f>AY32+BC32</f>
        <v>47</v>
      </c>
      <c r="BG32">
        <f>AZ32+BD32</f>
        <v>65</v>
      </c>
      <c r="BH32">
        <f>BF32-BG32</f>
        <v>-18</v>
      </c>
      <c r="BI32" s="12">
        <f>Table3[[#This Row],[GF]]/Table3[[#This Row],[GP]]</f>
        <v>2.6111111111111112</v>
      </c>
      <c r="BJ32" s="12">
        <f>Table3[[#This Row],[GA]]/Table3[[#This Row],[GP]]</f>
        <v>3.6111111111111112</v>
      </c>
      <c r="BK32" s="12">
        <f>(Table3[[#This Row],[GF]]-Table3[[#This Row],[GA]])/Table3[[#This Row],[GP]]</f>
        <v>-1</v>
      </c>
      <c r="BL32" s="42" t="str">
        <f>_xlfn.CONCAT(TEXT(Table3[[#This Row],[W_H]], "0"), "-", TEXT(Table3[[#This Row],[RL_H]],"0"), "-", TEXT(Table3[[#This Row],[OTL_H]]+Table3[[#This Row],[SOL_H]], "0"))</f>
        <v>4-5-2</v>
      </c>
      <c r="BM32" s="42" t="str">
        <f>_xlfn.CONCAT(TEXT(Table3[[#This Row],[W_A]], "0"), "-", TEXT(Table3[[#This Row],[RL_A]],"0"), "-", TEXT(Table3[[#This Row],[OTL_A]]+Table3[[#This Row],[SOL_A]], "0"))</f>
        <v>1-4-2</v>
      </c>
      <c r="BN32" s="42">
        <f>((2*(Table3[[#This Row],[W_H]]))+Table3[[#This Row],[OTL_H]]+Table3[[#This Row],[SOL_H]])/(2*Table3[[#This Row],[GP_H]])</f>
        <v>0.45454545454545453</v>
      </c>
      <c r="BO32" s="42">
        <f>((2*(Table3[[#This Row],[W_A]]))+Table3[[#This Row],[OTL_A]]+Table3[[#This Row],[SOL_A]])/(2*Table3[[#This Row],[GP_A]])</f>
        <v>0.2857142857142857</v>
      </c>
      <c r="BP32" s="16">
        <f>(Table3[[#This Row],[W]]*$CX$3)+(Table3[[#This Row],[L]]*$CX$4)+(Table3[[#This Row],[GF]]*$CX$5)+(Table3[[#This Row],[GA]]*$CX$6)</f>
        <v>19.95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83.398765432098756</v>
      </c>
      <c r="BR32" s="16">
        <f>(Table3[[#This Row],[W]]*0.7) + ((Table3[[#This Row],[GF]] - Table3[[#This Row],[GA]])*0.25)+(Table3[[#This Row],[GF]]*0.1)+(Table3[[#This Row],[GA]]*0.05)+(Table3[[#This Row],[L]]*0.3)</f>
        <v>10.85</v>
      </c>
      <c r="BS32" s="16">
        <f>Table3[[#This Row],[TeamCost83]]/Table3[[#This Row],[GP]]</f>
        <v>0.60277777777777775</v>
      </c>
      <c r="BT32">
        <f>COUNTIFS(Table2[AwayTeam],$A32,Table2[PredictedWinner], $A32, Table2[GameIsOver], 1)</f>
        <v>1</v>
      </c>
      <c r="BU32">
        <f>COUNTIFS(Table2[HomeTeam],$A32,Table2[PredictedWinner], $A32, Table2[GameIsOver], 1)</f>
        <v>4</v>
      </c>
      <c r="BV32">
        <f>BT32+BU32</f>
        <v>5</v>
      </c>
      <c r="BW32">
        <f>F32-BT32</f>
        <v>6</v>
      </c>
      <c r="BX32">
        <f>H32-BU32</f>
        <v>7</v>
      </c>
      <c r="BY32">
        <f>BW32+BX32</f>
        <v>13</v>
      </c>
      <c r="BZ32">
        <f>Table3[[#This Row],[TimesPredictedWinner]]/Table3[[#This Row],[GP]]</f>
        <v>0.27777777777777779</v>
      </c>
      <c r="CC32" s="1">
        <v>45743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4.4000000000000004</v>
      </c>
      <c r="CJ32">
        <f>SUMIFS(Table2[GamePredictionScore], Table2[HomeTeam], Table3[[#This Row],[Teams]])</f>
        <v>5.9</v>
      </c>
      <c r="CK32">
        <f>Table3[[#This Row],[Column4]]+Table3[[#This Row],[Column3]]</f>
        <v>10.3</v>
      </c>
      <c r="CL32">
        <f>Table3[[#This Row],[Column5]]/Table3[[#This Row],[GP]]</f>
        <v>0.5722222222222223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0</v>
      </c>
      <c r="CZ32" s="14">
        <f>(COUNTIFS(Table2[AwayTeam],UPPER($CV$30), Table2[ActualAwayScore],$CW32, Table2[ActualHomeScore],CZ$31)+COUNTIFS(Table2[HomeTeam],UPPER($CV$30), Table2[ActualAwayScore],CZ$31, Table2[ActualHomeScore],$CW32))*-1</f>
        <v>-1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-1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1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5</v>
      </c>
      <c r="DP32" s="14">
        <f>COUNTIFS(Table2[[ActualHomeScore]:[ActualHomeScore]],$DK32, Table2[[ActualAwayScore]:[ActualAwayScore]],DP$31)</f>
        <v>2</v>
      </c>
      <c r="DQ32" s="14">
        <f>COUNTIFS(Table2[[ActualHomeScore]:[ActualHomeScore]],$DK32, Table2[[ActualAwayScore]:[ActualAwayScore]],DQ$31)</f>
        <v>2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0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23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18</v>
      </c>
      <c r="E33" s="10">
        <f>Table3[[#This Row],[Watched]]/Table3[[#This Row],[GP]]</f>
        <v>1</v>
      </c>
      <c r="F33">
        <f>COUNTIFS(DataRegularSeason20242025!$N$3:$N$1315,1,DataRegularSeason20242025!$D$3:$D$1315,$A33)</f>
        <v>11</v>
      </c>
      <c r="G33">
        <f>41-Table3[[#This Row],[GP_A]]</f>
        <v>30</v>
      </c>
      <c r="H33">
        <f>COUNTIFS(DataRegularSeason20242025!$E$3:$E$1315,$A33,DataRegularSeason20242025!$N$3:$N$1315,1)</f>
        <v>7</v>
      </c>
      <c r="I33">
        <f>41-Table3[[#This Row],[GP_H]]</f>
        <v>34</v>
      </c>
      <c r="J33">
        <f>F33+H33</f>
        <v>18</v>
      </c>
      <c r="K33">
        <f>82-Table3[[#This Row],[GP]]</f>
        <v>64</v>
      </c>
      <c r="L33">
        <f>COUNTIFS(DataRegularSeason20242025!$D$3:$D$1315,$A33, DataRegularSeason20242025!$L$3:$L$1315, $A33,DataRegularSeason20242025!$N$3:$N$1315,1)</f>
        <v>2</v>
      </c>
      <c r="M33">
        <f>COUNTIFS(DataRegularSeason20242025!$D$3:$D$1315,$A33, DataRegularSeason20242025!$L$3:$L$1315, $A33,DataRegularSeason20242025!$N$3:$N$1315,1,DataRegularSeason20242025!$M$3:$M$1315,"REG")</f>
        <v>1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1</v>
      </c>
      <c r="P33">
        <f>F33-L33</f>
        <v>9</v>
      </c>
      <c r="Q33">
        <f>COUNTIFS(DataRegularSeason20242025!$D$3:$D$1315,$A33, DataRegularSeason20242025!$S$3:$S$1315, $A33,DataRegularSeason20242025!$M$3:$M$1315,"REG")</f>
        <v>8</v>
      </c>
      <c r="R33">
        <f>COUNTIFS(DataRegularSeason20242025!$D$3:$D$1315,$A33, DataRegularSeason20242025!$S$3:$S$1315, $A33,DataRegularSeason20242025!$M$3:$M$1315,"OT")</f>
        <v>0</v>
      </c>
      <c r="S33">
        <f>COUNTIFS(DataRegularSeason20242025!$D$3:$D$1315,$A33, DataRegularSeason20242025!$S$3:$S$1315, $A33,DataRegularSeason20242025!$M$3:$M$1315,"SO")</f>
        <v>1</v>
      </c>
      <c r="T33">
        <f>COUNTIFS(DataRegularSeason20242025!$E$3:$E$1315,$A33, DataRegularSeason20242025!$L$3:$L$1315, $A33, DataRegularSeason20242025!$N$3:$N$1315,1)</f>
        <v>2</v>
      </c>
      <c r="U33">
        <f>COUNTIFS(DataRegularSeason20242025!$E$3:$E$1315,$A33, DataRegularSeason20242025!$L$3:$L$1315, $A33,DataRegularSeason20242025!$N$3:$N$1315,1,DataRegularSeason20242025!$M$3:$M$1315,"REG")</f>
        <v>2</v>
      </c>
      <c r="V33">
        <f>COUNTIFS(DataRegularSeason20242025!$E$3:$E$1315,$A33, DataRegularSeason20242025!$L$3:$L$1315, $A33,DataRegularSeason20242025!$N$3:$N$1315,1,DataRegularSeason20242025!$M$3:$M$1315,"OT")</f>
        <v>0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>H33-T33</f>
        <v>5</v>
      </c>
      <c r="Y33">
        <f>COUNTIFS(DataRegularSeason20242025!$E$3:$E$1315,$A33, DataRegularSeason20242025!$S$3:$S$1315, $A33,DataRegularSeason20242025!$M$3:$M$1315,"REG")</f>
        <v>4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0.22222222222222221</v>
      </c>
      <c r="AC33">
        <f>Table3[[#This Row],[W_A]]+Table3[[#This Row],[W_H]]</f>
        <v>4</v>
      </c>
      <c r="AD33">
        <f>Table3[[#This Row],[L_A]]+Table3[[#This Row],[L_H]]</f>
        <v>14</v>
      </c>
      <c r="AE33">
        <f>Table3[[#This Row],[RW_A]]+Table3[[#This Row],[RW_H]]</f>
        <v>3</v>
      </c>
      <c r="AF33">
        <f>Table3[[#This Row],[RL_A]]+Table3[[#This Row],[RL_H]]</f>
        <v>12</v>
      </c>
      <c r="AG33">
        <f>Table3[[#This Row],[OTW_A]]+Table3[[#This Row],[OTW_H]]</f>
        <v>0</v>
      </c>
      <c r="AH33">
        <f>Table3[[#This Row],[OTL_A]]+Table3[[#This Row],[OTL_H]]</f>
        <v>1</v>
      </c>
      <c r="AI33">
        <f>Table3[[#This Row],[SOW_A]]+Table3[[#This Row],[SOW_H]]</f>
        <v>1</v>
      </c>
      <c r="AJ33">
        <f>Table3[[#This Row],[SOL_A]]+Table3[[#This Row],[SOL_H]]</f>
        <v>1</v>
      </c>
      <c r="AK33" s="15" t="str">
        <f>_xlfn.CONCAT(TEXT(Table3[[#This Row],[OTW]]+Table3[[#This Row],[SOW]], "0"), "-", TEXT(Table3[[#This Row],[OTL]]+Table3[[#This Row],[SOL]],"0"))</f>
        <v>1-2</v>
      </c>
      <c r="AL33">
        <f>SUM(Table3[[#This Row],[OTW]],Table3[[#This Row],[OTL]],Table3[[#This Row],[SOW]],Table3[[#This Row],[SOL]])</f>
        <v>3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0.16666666666666666</v>
      </c>
      <c r="AO33">
        <f>(2*(Table3[[#This Row],[W_A]]+Table3[[#This Row],[W_H]]))+Table3[[#This Row],[OTL_A]]+Table3[[#This Row],[SOL_A]]+Table3[[#This Row],[OTL_H]]+Table3[[#This Row],[SOL_H]]</f>
        <v>10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13</v>
      </c>
      <c r="AQ33" s="10">
        <f>Table3[[#This Row],[PTS]]/(2*Table3[[#This Row],[GP]])</f>
        <v>0.27777777777777779</v>
      </c>
      <c r="AR33" s="10">
        <f>Table3[[#This Row],[PTS2]]/(3*Table3[[#This Row],[GP]])</f>
        <v>0.24074074074074073</v>
      </c>
      <c r="AS33">
        <f>(2*Table3[[#This Row],[GR]])+Table3[[#This Row],[PTS]]</f>
        <v>138</v>
      </c>
      <c r="AT33">
        <f>(3*Table3[[#This Row],[GR]])+Table3[[#This Row],[PTS2]]</f>
        <v>205</v>
      </c>
      <c r="AU33">
        <f>Table3[[#This Row],[PTS]]+(2 * Table3[[#This Row],[GR]] * Table3[[#This Row],[PTS%]])</f>
        <v>45.555555555555557</v>
      </c>
      <c r="AV33">
        <f>Table3[[#This Row],[PTS2]]+(3 * Table3[[#This Row],[GR]] * Table3[[#This Row],[PTS%2]])</f>
        <v>59.222222222222221</v>
      </c>
      <c r="AW33" s="15" t="str">
        <f>_xlfn.CONCAT(TEXT(Table3[[#This Row],[W]], "0"), "-", TEXT(Table3[[#This Row],[RL]],"0"), "-", TEXT(Table3[[#This Row],[OTL]]+Table3[[#This Row],[SOL]], "0"))</f>
        <v>4-12-2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22</v>
      </c>
      <c r="AZ33">
        <f>SUMIF(DataRegularSeason20242025!$D$3:$D$1315,$A33, DataRegularSeason20242025!$K$3:$K$1315)</f>
        <v>40</v>
      </c>
      <c r="BA33">
        <f>AY33-AZ33</f>
        <v>-18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16</v>
      </c>
      <c r="BD33">
        <f>SUMIF(DataRegularSeason20242025!$E$3:$E$1315,$A33,DataRegularSeason20242025!$J$3:$J$1315)</f>
        <v>18</v>
      </c>
      <c r="BE33">
        <f>BC33-BD33</f>
        <v>-2</v>
      </c>
      <c r="BF33">
        <f>AY33+BC33</f>
        <v>38</v>
      </c>
      <c r="BG33">
        <f>AZ33+BD33</f>
        <v>58</v>
      </c>
      <c r="BH33">
        <f>BF33-BG33</f>
        <v>-20</v>
      </c>
      <c r="BI33" s="12">
        <f>Table3[[#This Row],[GF]]/Table3[[#This Row],[GP]]</f>
        <v>2.1111111111111112</v>
      </c>
      <c r="BJ33" s="12">
        <f>Table3[[#This Row],[GA]]/Table3[[#This Row],[GP]]</f>
        <v>3.2222222222222223</v>
      </c>
      <c r="BK33" s="12">
        <f>(Table3[[#This Row],[GF]]-Table3[[#This Row],[GA]])/Table3[[#This Row],[GP]]</f>
        <v>-1.1111111111111112</v>
      </c>
      <c r="BL33" s="42" t="str">
        <f>_xlfn.CONCAT(TEXT(Table3[[#This Row],[W_H]], "0"), "-", TEXT(Table3[[#This Row],[RL_H]],"0"), "-", TEXT(Table3[[#This Row],[OTL_H]]+Table3[[#This Row],[SOL_H]], "0"))</f>
        <v>2-4-1</v>
      </c>
      <c r="BM33" s="42" t="str">
        <f>_xlfn.CONCAT(TEXT(Table3[[#This Row],[W_A]], "0"), "-", TEXT(Table3[[#This Row],[RL_A]],"0"), "-", TEXT(Table3[[#This Row],[OTL_A]]+Table3[[#This Row],[SOL_A]], "0"))</f>
        <v>2-8-1</v>
      </c>
      <c r="BN33" s="42">
        <f>((2*(Table3[[#This Row],[W_H]]))+Table3[[#This Row],[OTL_H]]+Table3[[#This Row],[SOL_H]])/(2*Table3[[#This Row],[GP_H]])</f>
        <v>0.35714285714285715</v>
      </c>
      <c r="BO33" s="42">
        <f>((2*(Table3[[#This Row],[W_A]]))+Table3[[#This Row],[OTL_A]]+Table3[[#This Row],[SOL_A]])/(2*Table3[[#This Row],[GP_A]])</f>
        <v>0.22727272727272727</v>
      </c>
      <c r="BP33" s="16">
        <f>(Table3[[#This Row],[W]]*$CX$3)+(Table3[[#This Row],[L]]*$CX$4)+(Table3[[#This Row],[GF]]*$CX$5)+(Table3[[#This Row],[GA]]*$CX$6)</f>
        <v>17.700000000000003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71.708641975308637</v>
      </c>
      <c r="BR33" s="16">
        <f>(Table3[[#This Row],[W]]*0.7) + ((Table3[[#This Row],[GF]] - Table3[[#This Row],[GA]])*0.25)+(Table3[[#This Row],[GF]]*0.1)+(Table3[[#This Row],[GA]]*0.05)+(Table3[[#This Row],[L]]*0.3)</f>
        <v>8.6999999999999993</v>
      </c>
      <c r="BS33" s="16">
        <f>Table3[[#This Row],[TeamCost83]]/Table3[[#This Row],[GP]]</f>
        <v>0.48333333333333328</v>
      </c>
      <c r="BT33">
        <f>COUNTIFS(Table2[AwayTeam],$A33,Table2[PredictedWinner], $A33, Table2[GameIsOver], 1)</f>
        <v>8</v>
      </c>
      <c r="BU33">
        <f>COUNTIFS(Table2[HomeTeam],$A33,Table2[PredictedWinner], $A33, Table2[GameIsOver], 1)</f>
        <v>7</v>
      </c>
      <c r="BV33">
        <f>BT33+BU33</f>
        <v>15</v>
      </c>
      <c r="BW33">
        <f>F33-BT33</f>
        <v>3</v>
      </c>
      <c r="BX33">
        <f>H33-BU33</f>
        <v>0</v>
      </c>
      <c r="BY33">
        <f>BW33+BX33</f>
        <v>3</v>
      </c>
      <c r="BZ33">
        <f>Table3[[#This Row],[TimesPredictedWinner]]/Table3[[#This Row],[GP]]</f>
        <v>0.83333333333333337</v>
      </c>
      <c r="CB33">
        <v>1989</v>
      </c>
      <c r="CC33" s="1">
        <v>45762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2.7</v>
      </c>
      <c r="CJ33">
        <f>SUMIFS(Table2[GamePredictionScore], Table2[HomeTeam], Table3[[#This Row],[Teams]])</f>
        <v>1.8</v>
      </c>
      <c r="CK33">
        <f>Table3[[#This Row],[Column4]]+Table3[[#This Row],[Column3]]</f>
        <v>4.5</v>
      </c>
      <c r="CL33">
        <f>Table3[[#This Row],[Column5]]/Table3[[#This Row],[GP]]</f>
        <v>0.25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-1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2</v>
      </c>
      <c r="DM33" s="127"/>
      <c r="DN33" s="14">
        <f>COUNTIFS(Table2[[ActualHomeScore]:[ActualHomeScore]],$DK33, Table2[[ActualAwayScore]:[ActualAwayScore]],DN$31)</f>
        <v>8</v>
      </c>
      <c r="DO33" s="14">
        <f>COUNTIFS(Table2[[ActualHomeScore]:[ActualHomeScore]],$DK33, Table2[[ActualAwayScore]:[ActualAwayScore]],DO$31)</f>
        <v>6</v>
      </c>
      <c r="DP33" s="14">
        <f>COUNTIFS(Table2[[ActualHomeScore]:[ActualHomeScore]],$DK33, Table2[[ActualAwayScore]:[ActualAwayScore]],DP$31)</f>
        <v>8</v>
      </c>
      <c r="DQ33" s="14">
        <f>COUNTIFS(Table2[[ActualHomeScore]:[ActualHomeScore]],$DK33, Table2[[ActualAwayScore]:[ActualAwayScore]],DQ$31)</f>
        <v>6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0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-1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1</v>
      </c>
      <c r="DM34" s="14">
        <f>COUNTIFS(Table2[[ActualHomeScore]:[ActualHomeScore]],$DK34, Table2[[ActualAwayScore]:[ActualAwayScore]],DM$31)</f>
        <v>16</v>
      </c>
      <c r="DN34" s="127"/>
      <c r="DO34" s="14">
        <f>COUNTIFS(Table2[[ActualHomeScore]:[ActualHomeScore]],$DK34, Table2[[ActualAwayScore]:[ActualAwayScore]],DO$31)</f>
        <v>18</v>
      </c>
      <c r="DP34" s="14">
        <f>COUNTIFS(Table2[[ActualHomeScore]:[ActualHomeScore]],$DK34, Table2[[ActualAwayScore]:[ActualAwayScore]],DP$31)</f>
        <v>6</v>
      </c>
      <c r="DQ34" s="14">
        <f>COUNTIFS(Table2[[ActualHomeScore]:[ActualHomeScore]],$DK34, Table2[[ActualAwayScore]:[ActualAwayScore]],DQ$31)</f>
        <v>11</v>
      </c>
      <c r="DR34" s="14">
        <f>COUNTIFS(Table2[[ActualHomeScore]:[ActualHomeScore]],$DK34, Table2[[ActualAwayScore]:[ActualAwayScore]],DR$31)</f>
        <v>1</v>
      </c>
      <c r="DS34" s="14">
        <f>COUNTIFS(Table2[[ActualHomeScore]:[ActualHomeScore]],$DK34, Table2[[ActualAwayScore]:[ActualAwayScore]],DS$31)</f>
        <v>0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412</v>
      </c>
      <c r="E35">
        <f t="shared" ref="E35:CA35" si="13">SUM(E$2:E$33)</f>
        <v>24.746405228758167</v>
      </c>
      <c r="F35">
        <f t="shared" si="13"/>
        <v>266</v>
      </c>
      <c r="G35">
        <f t="shared" si="13"/>
        <v>1046</v>
      </c>
      <c r="H35">
        <f t="shared" si="13"/>
        <v>266</v>
      </c>
      <c r="I35">
        <f t="shared" si="13"/>
        <v>1046</v>
      </c>
      <c r="J35">
        <f t="shared" si="13"/>
        <v>532</v>
      </c>
      <c r="K35">
        <f t="shared" si="13"/>
        <v>2092</v>
      </c>
      <c r="L35">
        <f t="shared" si="13"/>
        <v>127</v>
      </c>
      <c r="M35">
        <f t="shared" si="13"/>
        <v>88</v>
      </c>
      <c r="N35">
        <f t="shared" si="13"/>
        <v>26</v>
      </c>
      <c r="O35">
        <f t="shared" si="13"/>
        <v>13</v>
      </c>
      <c r="P35">
        <f t="shared" si="13"/>
        <v>139</v>
      </c>
      <c r="Q35">
        <f t="shared" si="13"/>
        <v>105</v>
      </c>
      <c r="R35">
        <f t="shared" si="13"/>
        <v>24</v>
      </c>
      <c r="S35">
        <f t="shared" si="13"/>
        <v>10</v>
      </c>
      <c r="T35">
        <f t="shared" si="13"/>
        <v>139</v>
      </c>
      <c r="U35">
        <f t="shared" si="13"/>
        <v>105</v>
      </c>
      <c r="V35">
        <f t="shared" si="13"/>
        <v>24</v>
      </c>
      <c r="W35">
        <f t="shared" si="13"/>
        <v>10</v>
      </c>
      <c r="X35">
        <f t="shared" si="13"/>
        <v>127</v>
      </c>
      <c r="Y35">
        <f t="shared" si="13"/>
        <v>88</v>
      </c>
      <c r="Z35">
        <f t="shared" si="13"/>
        <v>26</v>
      </c>
      <c r="AA35">
        <f t="shared" si="13"/>
        <v>13</v>
      </c>
      <c r="AC35">
        <f t="shared" si="13"/>
        <v>266</v>
      </c>
      <c r="AD35">
        <f t="shared" si="13"/>
        <v>266</v>
      </c>
      <c r="AE35">
        <f t="shared" si="13"/>
        <v>193</v>
      </c>
      <c r="AF35">
        <f t="shared" si="13"/>
        <v>193</v>
      </c>
      <c r="AG35">
        <f t="shared" si="13"/>
        <v>50</v>
      </c>
      <c r="AH35">
        <f t="shared" si="13"/>
        <v>50</v>
      </c>
      <c r="AI35">
        <f t="shared" si="13"/>
        <v>23</v>
      </c>
      <c r="AJ35">
        <f t="shared" si="13"/>
        <v>23</v>
      </c>
      <c r="AO35">
        <f t="shared" si="13"/>
        <v>605</v>
      </c>
      <c r="AP35">
        <f t="shared" si="13"/>
        <v>798</v>
      </c>
      <c r="AQ35">
        <f t="shared" si="13"/>
        <v>18.254983660130716</v>
      </c>
      <c r="AR35">
        <f t="shared" si="13"/>
        <v>16.062282135076256</v>
      </c>
      <c r="AS35">
        <f t="shared" si="13"/>
        <v>4789</v>
      </c>
      <c r="AT35">
        <f t="shared" si="13"/>
        <v>7074</v>
      </c>
      <c r="AU35">
        <f t="shared" si="13"/>
        <v>2993.8173202614385</v>
      </c>
      <c r="AV35">
        <f t="shared" si="13"/>
        <v>3951.3214052287585</v>
      </c>
      <c r="AX35">
        <f t="shared" si="13"/>
        <v>12</v>
      </c>
      <c r="AY35">
        <f t="shared" si="13"/>
        <v>824</v>
      </c>
      <c r="AZ35">
        <f t="shared" si="13"/>
        <v>837</v>
      </c>
      <c r="BA35">
        <f t="shared" si="13"/>
        <v>-13</v>
      </c>
      <c r="BB35">
        <f t="shared" si="13"/>
        <v>6</v>
      </c>
      <c r="BC35">
        <f t="shared" si="13"/>
        <v>837</v>
      </c>
      <c r="BD35">
        <f t="shared" si="13"/>
        <v>824</v>
      </c>
      <c r="BE35">
        <f t="shared" si="13"/>
        <v>13</v>
      </c>
      <c r="BF35">
        <f t="shared" si="13"/>
        <v>1661</v>
      </c>
      <c r="BG35">
        <f t="shared" si="13"/>
        <v>1661</v>
      </c>
      <c r="BH35">
        <f t="shared" si="13"/>
        <v>0</v>
      </c>
      <c r="BI35">
        <f t="shared" si="13"/>
        <v>100.09281045751634</v>
      </c>
      <c r="BJ35">
        <f t="shared" si="13"/>
        <v>99.72320261437909</v>
      </c>
      <c r="BK35">
        <f t="shared" si="13"/>
        <v>0.36960784313725581</v>
      </c>
      <c r="BL35">
        <f t="shared" si="13"/>
        <v>0</v>
      </c>
      <c r="BM35">
        <f t="shared" si="13"/>
        <v>0</v>
      </c>
      <c r="BN35">
        <f t="shared" si="13"/>
        <v>19.237427849927855</v>
      </c>
      <c r="BO35">
        <f t="shared" si="13"/>
        <v>16.968326118326118</v>
      </c>
      <c r="BP35">
        <f t="shared" si="13"/>
        <v>628.04999999999995</v>
      </c>
      <c r="BQ35">
        <f t="shared" si="13"/>
        <v>2742.5216375138834</v>
      </c>
      <c r="BR35">
        <f t="shared" si="13"/>
        <v>515.15</v>
      </c>
      <c r="BS35">
        <f t="shared" si="13"/>
        <v>31.113398692810456</v>
      </c>
      <c r="BT35">
        <f t="shared" si="13"/>
        <v>120</v>
      </c>
      <c r="BU35">
        <f t="shared" si="13"/>
        <v>146</v>
      </c>
      <c r="BV35">
        <f t="shared" si="13"/>
        <v>266</v>
      </c>
      <c r="BW35">
        <f t="shared" si="13"/>
        <v>146</v>
      </c>
      <c r="BX35">
        <f t="shared" si="13"/>
        <v>120</v>
      </c>
      <c r="BY35">
        <f t="shared" si="13"/>
        <v>266</v>
      </c>
      <c r="BZ35">
        <f t="shared" si="13"/>
        <v>15.995016339869281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0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-2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3</v>
      </c>
      <c r="DM35" s="14">
        <f>COUNTIFS(Table2[[ActualHomeScore]:[ActualHomeScore]],$DK35, Table2[[ActualAwayScore]:[ActualAwayScore]],DM$31)</f>
        <v>10</v>
      </c>
      <c r="DN35" s="14">
        <f>COUNTIFS(Table2[[ActualHomeScore]:[ActualHomeScore]],$DK35, Table2[[ActualAwayScore]:[ActualAwayScore]],DN$31)</f>
        <v>21</v>
      </c>
      <c r="DO35" s="127"/>
      <c r="DP35" s="14">
        <f>COUNTIFS(Table2[[ActualHomeScore]:[ActualHomeScore]],$DK35, Table2[[ActualAwayScore]:[ActualAwayScore]],DP$31)</f>
        <v>19</v>
      </c>
      <c r="DQ35" s="14">
        <f>COUNTIFS(Table2[[ActualHomeScore]:[ActualHomeScore]],$DK35, Table2[[ActualAwayScore]:[ActualAwayScore]],DQ$31)</f>
        <v>5</v>
      </c>
      <c r="DR35" s="14">
        <f>COUNTIFS(Table2[[ActualHomeScore]:[ActualHomeScore]],$DK35, Table2[[ActualAwayScore]:[ActualAwayScore]],DR$31)</f>
        <v>2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1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12.875</v>
      </c>
      <c r="E36">
        <f t="shared" ref="E36:CA36" si="14">AVERAGE(E$2:E$33)</f>
        <v>0.77332516339869273</v>
      </c>
      <c r="F36">
        <f t="shared" si="14"/>
        <v>8.3125</v>
      </c>
      <c r="G36">
        <f t="shared" si="14"/>
        <v>32.6875</v>
      </c>
      <c r="H36">
        <f t="shared" si="14"/>
        <v>8.3125</v>
      </c>
      <c r="I36">
        <f t="shared" si="14"/>
        <v>32.6875</v>
      </c>
      <c r="J36">
        <f t="shared" si="14"/>
        <v>16.625</v>
      </c>
      <c r="K36">
        <f t="shared" si="14"/>
        <v>65.375</v>
      </c>
      <c r="L36">
        <f t="shared" si="14"/>
        <v>3.96875</v>
      </c>
      <c r="M36">
        <f t="shared" si="14"/>
        <v>2.75</v>
      </c>
      <c r="N36">
        <f t="shared" si="14"/>
        <v>0.8125</v>
      </c>
      <c r="O36">
        <f t="shared" si="14"/>
        <v>0.40625</v>
      </c>
      <c r="P36">
        <f t="shared" si="14"/>
        <v>4.34375</v>
      </c>
      <c r="Q36">
        <f t="shared" si="14"/>
        <v>3.28125</v>
      </c>
      <c r="R36">
        <f t="shared" si="14"/>
        <v>0.75</v>
      </c>
      <c r="S36">
        <f t="shared" si="14"/>
        <v>0.3125</v>
      </c>
      <c r="T36">
        <f t="shared" si="14"/>
        <v>4.34375</v>
      </c>
      <c r="U36">
        <f t="shared" si="14"/>
        <v>3.28125</v>
      </c>
      <c r="V36">
        <f t="shared" si="14"/>
        <v>0.75</v>
      </c>
      <c r="W36">
        <f t="shared" si="14"/>
        <v>0.3125</v>
      </c>
      <c r="X36">
        <f t="shared" si="14"/>
        <v>3.96875</v>
      </c>
      <c r="Y36">
        <f t="shared" si="14"/>
        <v>2.75</v>
      </c>
      <c r="Z36">
        <f t="shared" si="14"/>
        <v>0.8125</v>
      </c>
      <c r="AA36">
        <f t="shared" si="14"/>
        <v>0.40625</v>
      </c>
      <c r="AC36">
        <f t="shared" si="14"/>
        <v>8.3125</v>
      </c>
      <c r="AD36">
        <f t="shared" si="14"/>
        <v>8.3125</v>
      </c>
      <c r="AE36">
        <f t="shared" si="14"/>
        <v>6.03125</v>
      </c>
      <c r="AF36">
        <f t="shared" si="14"/>
        <v>6.03125</v>
      </c>
      <c r="AG36">
        <f t="shared" si="14"/>
        <v>1.5625</v>
      </c>
      <c r="AH36">
        <f t="shared" si="14"/>
        <v>1.5625</v>
      </c>
      <c r="AI36">
        <f t="shared" si="14"/>
        <v>0.71875</v>
      </c>
      <c r="AJ36">
        <f t="shared" si="14"/>
        <v>0.71875</v>
      </c>
      <c r="AO36">
        <f t="shared" si="14"/>
        <v>18.90625</v>
      </c>
      <c r="AP36">
        <f t="shared" si="14"/>
        <v>24.9375</v>
      </c>
      <c r="AQ36">
        <f t="shared" si="14"/>
        <v>0.57046823937908486</v>
      </c>
      <c r="AR36">
        <f t="shared" si="14"/>
        <v>0.50194631672113299</v>
      </c>
      <c r="AS36">
        <f t="shared" si="14"/>
        <v>149.65625</v>
      </c>
      <c r="AT36">
        <f t="shared" si="14"/>
        <v>221.0625</v>
      </c>
      <c r="AU36">
        <f t="shared" si="14"/>
        <v>93.556791258169952</v>
      </c>
      <c r="AV36">
        <f t="shared" si="14"/>
        <v>123.4787939133987</v>
      </c>
      <c r="AX36">
        <f t="shared" si="14"/>
        <v>0.375</v>
      </c>
      <c r="AY36">
        <f t="shared" si="14"/>
        <v>25.75</v>
      </c>
      <c r="AZ36">
        <f t="shared" si="14"/>
        <v>26.15625</v>
      </c>
      <c r="BA36">
        <f t="shared" si="14"/>
        <v>-0.40625</v>
      </c>
      <c r="BB36">
        <f t="shared" si="14"/>
        <v>0.1875</v>
      </c>
      <c r="BC36">
        <f t="shared" si="14"/>
        <v>26.15625</v>
      </c>
      <c r="BD36">
        <f t="shared" si="14"/>
        <v>25.75</v>
      </c>
      <c r="BE36">
        <f t="shared" si="14"/>
        <v>0.40625</v>
      </c>
      <c r="BF36">
        <f t="shared" si="14"/>
        <v>51.90625</v>
      </c>
      <c r="BG36">
        <f t="shared" si="14"/>
        <v>51.90625</v>
      </c>
      <c r="BH36">
        <f t="shared" si="14"/>
        <v>0</v>
      </c>
      <c r="BI36">
        <f t="shared" si="14"/>
        <v>3.1279003267973855</v>
      </c>
      <c r="BJ36">
        <f t="shared" si="14"/>
        <v>3.1163500816993466</v>
      </c>
      <c r="BK36">
        <f t="shared" si="14"/>
        <v>1.1550245098039244E-2</v>
      </c>
      <c r="BL36" t="e">
        <f t="shared" si="14"/>
        <v>#DIV/0!</v>
      </c>
      <c r="BM36" t="e">
        <f t="shared" si="14"/>
        <v>#DIV/0!</v>
      </c>
      <c r="BN36">
        <f t="shared" si="14"/>
        <v>0.60116962031024546</v>
      </c>
      <c r="BO36">
        <f t="shared" si="14"/>
        <v>0.53026019119769119</v>
      </c>
      <c r="BP36">
        <f t="shared" si="14"/>
        <v>19.626562499999999</v>
      </c>
      <c r="BQ36">
        <f t="shared" si="14"/>
        <v>85.703801172308857</v>
      </c>
      <c r="BR36">
        <f t="shared" si="14"/>
        <v>16.098437499999999</v>
      </c>
      <c r="BS36">
        <f t="shared" si="14"/>
        <v>0.97229370915032676</v>
      </c>
      <c r="BT36">
        <f t="shared" si="14"/>
        <v>3.75</v>
      </c>
      <c r="BU36">
        <f t="shared" si="14"/>
        <v>4.5625</v>
      </c>
      <c r="BV36">
        <f t="shared" si="14"/>
        <v>8.3125</v>
      </c>
      <c r="BW36">
        <f t="shared" si="14"/>
        <v>4.5625</v>
      </c>
      <c r="BX36">
        <f t="shared" si="14"/>
        <v>3.75</v>
      </c>
      <c r="BY36">
        <f t="shared" si="14"/>
        <v>8.3125</v>
      </c>
      <c r="BZ36">
        <f t="shared" si="14"/>
        <v>0.49984426062091503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0</v>
      </c>
      <c r="DM36" s="14">
        <f>COUNTIFS(Table2[[ActualHomeScore]:[ActualHomeScore]],$DK36, Table2[[ActualAwayScore]:[ActualAwayScore]],DM$31)</f>
        <v>10</v>
      </c>
      <c r="DN36" s="14">
        <f>COUNTIFS(Table2[[ActualHomeScore]:[ActualHomeScore]],$DK36, Table2[[ActualAwayScore]:[ActualAwayScore]],DN$31)</f>
        <v>6</v>
      </c>
      <c r="DO36" s="14">
        <f>COUNTIFS(Table2[[ActualHomeScore]:[ActualHomeScore]],$DK36, Table2[[ActualAwayScore]:[ActualAwayScore]],DO$31)</f>
        <v>24</v>
      </c>
      <c r="DP36" s="127"/>
      <c r="DQ36" s="14">
        <f>COUNTIFS(Table2[[ActualHomeScore]:[ActualHomeScore]],$DK36, Table2[[ActualAwayScore]:[ActualAwayScore]],DQ$31)</f>
        <v>11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0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2.1758618981911515</v>
      </c>
      <c r="E37">
        <f t="shared" ref="E37:CA37" si="15">_xlfn.STDEV.P(E$2:E$33)</f>
        <v>0.11550289162147281</v>
      </c>
      <c r="F37">
        <f t="shared" si="15"/>
        <v>1.6286017775994228</v>
      </c>
      <c r="G37">
        <f t="shared" si="15"/>
        <v>1.6286017775994228</v>
      </c>
      <c r="H37">
        <f t="shared" si="15"/>
        <v>1.6476782908080085</v>
      </c>
      <c r="I37">
        <f t="shared" si="15"/>
        <v>1.6476782908080085</v>
      </c>
      <c r="J37">
        <f t="shared" si="15"/>
        <v>0.8926785535678563</v>
      </c>
      <c r="K37">
        <f t="shared" si="15"/>
        <v>0.8926785535678563</v>
      </c>
      <c r="L37">
        <f t="shared" si="15"/>
        <v>1.722722681542215</v>
      </c>
      <c r="M37">
        <f t="shared" si="15"/>
        <v>1.4577379737113252</v>
      </c>
      <c r="N37">
        <f t="shared" si="15"/>
        <v>0.88167099872911781</v>
      </c>
      <c r="O37">
        <f t="shared" si="15"/>
        <v>0.65476021374240512</v>
      </c>
      <c r="P37">
        <f t="shared" si="15"/>
        <v>1.3831434985206705</v>
      </c>
      <c r="Q37">
        <f t="shared" si="15"/>
        <v>1.5458487757539545</v>
      </c>
      <c r="R37">
        <f t="shared" si="15"/>
        <v>0.8660254037844386</v>
      </c>
      <c r="S37">
        <f t="shared" si="15"/>
        <v>0.58296119081805098</v>
      </c>
      <c r="T37">
        <f t="shared" si="15"/>
        <v>1.4918397827850014</v>
      </c>
      <c r="U37">
        <f t="shared" si="15"/>
        <v>1.1245658884654113</v>
      </c>
      <c r="V37">
        <f t="shared" si="15"/>
        <v>0.90138781886599728</v>
      </c>
      <c r="W37">
        <f t="shared" si="15"/>
        <v>0.58296119081805098</v>
      </c>
      <c r="X37">
        <f t="shared" si="15"/>
        <v>1.722722681542215</v>
      </c>
      <c r="Y37">
        <f t="shared" si="15"/>
        <v>1.4142135623730951</v>
      </c>
      <c r="Z37">
        <f t="shared" si="15"/>
        <v>0.88167099872911781</v>
      </c>
      <c r="AA37">
        <f t="shared" si="15"/>
        <v>0.55109975276713741</v>
      </c>
      <c r="AC37">
        <f t="shared" si="15"/>
        <v>1.7577951388031541</v>
      </c>
      <c r="AD37">
        <f t="shared" si="15"/>
        <v>2.0681740134717872</v>
      </c>
      <c r="AE37">
        <f t="shared" si="15"/>
        <v>1.722722681542215</v>
      </c>
      <c r="AF37">
        <f t="shared" si="15"/>
        <v>1.9761764692202972</v>
      </c>
      <c r="AG37">
        <f t="shared" si="15"/>
        <v>1.2484365222148861</v>
      </c>
      <c r="AH37">
        <f t="shared" si="15"/>
        <v>1.3448396744593758</v>
      </c>
      <c r="AI37">
        <f t="shared" si="15"/>
        <v>0.83794297986199517</v>
      </c>
      <c r="AJ37">
        <f t="shared" si="15"/>
        <v>0.90947701317845298</v>
      </c>
      <c r="AO37">
        <f t="shared" si="15"/>
        <v>3.1658270542624405</v>
      </c>
      <c r="AP37">
        <f t="shared" si="15"/>
        <v>4.4786821443366573</v>
      </c>
      <c r="AQ37">
        <f t="shared" si="15"/>
        <v>9.9021247723964034E-2</v>
      </c>
      <c r="AR37">
        <f t="shared" si="15"/>
        <v>9.4400264956543634E-2</v>
      </c>
      <c r="AS37">
        <f t="shared" si="15"/>
        <v>3.7383934968780372</v>
      </c>
      <c r="AT37">
        <f t="shared" si="15"/>
        <v>5.5109975276713747</v>
      </c>
      <c r="AU37">
        <f t="shared" si="15"/>
        <v>16.239484626729983</v>
      </c>
      <c r="AV37">
        <f t="shared" si="15"/>
        <v>23.222465179309651</v>
      </c>
      <c r="AX37">
        <f t="shared" si="15"/>
        <v>0.59947894041408989</v>
      </c>
      <c r="AY37">
        <f t="shared" si="15"/>
        <v>6.9236912120631144</v>
      </c>
      <c r="AZ37">
        <f t="shared" si="15"/>
        <v>5.9849257253118857</v>
      </c>
      <c r="BA37">
        <f t="shared" si="15"/>
        <v>7.3945054559111663</v>
      </c>
      <c r="BB37">
        <f t="shared" si="15"/>
        <v>0.39031237489989989</v>
      </c>
      <c r="BC37">
        <f t="shared" si="15"/>
        <v>6.6993907139007796</v>
      </c>
      <c r="BD37">
        <f t="shared" si="15"/>
        <v>7.1894019222742029</v>
      </c>
      <c r="BE37">
        <f t="shared" si="15"/>
        <v>6.5185282800260982</v>
      </c>
      <c r="BF37">
        <f t="shared" si="15"/>
        <v>6.9523349270227195</v>
      </c>
      <c r="BG37">
        <f t="shared" si="15"/>
        <v>7.438747269365992</v>
      </c>
      <c r="BH37">
        <f t="shared" si="15"/>
        <v>9.6727710610765509</v>
      </c>
      <c r="BI37">
        <f t="shared" si="15"/>
        <v>0.42448509469270068</v>
      </c>
      <c r="BJ37">
        <f t="shared" si="15"/>
        <v>0.36284750088632745</v>
      </c>
      <c r="BK37">
        <f t="shared" si="15"/>
        <v>0.57187113508685705</v>
      </c>
      <c r="BL37" t="e">
        <f t="shared" si="15"/>
        <v>#DIV/0!</v>
      </c>
      <c r="BM37" t="e">
        <f t="shared" si="15"/>
        <v>#DIV/0!</v>
      </c>
      <c r="BN37">
        <f t="shared" si="15"/>
        <v>0.16205600874319157</v>
      </c>
      <c r="BO37">
        <f t="shared" si="15"/>
        <v>0.16253978266794869</v>
      </c>
      <c r="BP37">
        <f t="shared" si="15"/>
        <v>1.6194609623556069</v>
      </c>
      <c r="BQ37">
        <f t="shared" si="15"/>
        <v>7.2784211049870597</v>
      </c>
      <c r="BR37">
        <f t="shared" si="15"/>
        <v>3.2942536231434585</v>
      </c>
      <c r="BS37">
        <f t="shared" si="15"/>
        <v>0.20767739679858596</v>
      </c>
      <c r="BT37">
        <f t="shared" si="15"/>
        <v>2.1650635094610968</v>
      </c>
      <c r="BU37">
        <f t="shared" si="15"/>
        <v>2.0453835214941964</v>
      </c>
      <c r="BV37">
        <f t="shared" si="15"/>
        <v>3.3767356648100249</v>
      </c>
      <c r="BW37">
        <f t="shared" si="15"/>
        <v>2.060605190229317</v>
      </c>
      <c r="BX37">
        <f t="shared" si="15"/>
        <v>2.384848003542364</v>
      </c>
      <c r="BY37">
        <f t="shared" si="15"/>
        <v>3.3674684482560484</v>
      </c>
      <c r="BZ37">
        <f t="shared" si="15"/>
        <v>0.19909137566820573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5</v>
      </c>
      <c r="DN37" s="14">
        <f>COUNTIFS(Table2[[ActualHomeScore]:[ActualHomeScore]],$DK37, Table2[[ActualAwayScore]:[ActualAwayScore]],DN$31)</f>
        <v>9</v>
      </c>
      <c r="DO37" s="14">
        <f>COUNTIFS(Table2[[ActualHomeScore]:[ActualHomeScore]],$DK37, Table2[[ActualAwayScore]:[ActualAwayScore]],DO$31)</f>
        <v>6</v>
      </c>
      <c r="DP37" s="14">
        <f>COUNTIFS(Table2[[ActualHomeScore]:[ActualHomeScore]],$DK37, Table2[[ActualAwayScore]:[ActualAwayScore]],DP$31)</f>
        <v>3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0</v>
      </c>
      <c r="DM38" s="14">
        <f>COUNTIFS(Table2[[ActualHomeScore]:[ActualHomeScore]],$DK38, Table2[[ActualAwayScore]:[ActualAwayScore]],DM$31)</f>
        <v>2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9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2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2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1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0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0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</v>
      </c>
      <c r="CZ46" s="131">
        <f t="shared" si="16"/>
        <v>0.5</v>
      </c>
      <c r="DA46" s="131">
        <f t="shared" si="16"/>
        <v>0</v>
      </c>
      <c r="DB46" s="131">
        <f t="shared" si="16"/>
        <v>0.7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0.4</v>
      </c>
      <c r="DN46" s="131">
        <f t="shared" si="17"/>
        <v>1</v>
      </c>
      <c r="DO46" s="131">
        <f t="shared" si="17"/>
        <v>3.0000000000000004</v>
      </c>
      <c r="DP46" s="131">
        <f>ABS(DP32*DB18)</f>
        <v>1.4</v>
      </c>
      <c r="DQ46" s="131">
        <f t="shared" si="17"/>
        <v>1.6</v>
      </c>
      <c r="DR46" s="131">
        <f t="shared" si="17"/>
        <v>0</v>
      </c>
      <c r="DS46" s="131">
        <f t="shared" si="17"/>
        <v>0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</v>
      </c>
      <c r="CY47" s="127"/>
      <c r="CZ47" s="131">
        <f t="shared" si="18"/>
        <v>1.2999999999999998</v>
      </c>
      <c r="DA47" s="131">
        <f t="shared" si="18"/>
        <v>0.75</v>
      </c>
      <c r="DB47" s="131">
        <f t="shared" si="18"/>
        <v>0</v>
      </c>
      <c r="DC47" s="131">
        <f t="shared" si="18"/>
        <v>0.95</v>
      </c>
      <c r="DD47" s="131">
        <f t="shared" si="18"/>
        <v>1.05</v>
      </c>
      <c r="DE47" s="131">
        <f t="shared" si="18"/>
        <v>0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1.3</v>
      </c>
      <c r="DM47" s="127"/>
      <c r="DN47" s="131">
        <f t="shared" si="19"/>
        <v>5.1999999999999993</v>
      </c>
      <c r="DO47" s="131">
        <f t="shared" si="19"/>
        <v>4.5</v>
      </c>
      <c r="DP47" s="131">
        <f t="shared" si="19"/>
        <v>6.8000000000000007</v>
      </c>
      <c r="DQ47" s="131">
        <f t="shared" si="19"/>
        <v>5.6999999999999993</v>
      </c>
      <c r="DR47" s="131">
        <f t="shared" si="19"/>
        <v>2.1</v>
      </c>
      <c r="DS47" s="131">
        <f t="shared" si="19"/>
        <v>1.1500000000000001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</v>
      </c>
      <c r="CY48" s="131">
        <f t="shared" si="20"/>
        <v>0.9</v>
      </c>
      <c r="CZ48" s="127"/>
      <c r="DA48" s="131">
        <f t="shared" si="20"/>
        <v>0.90000000000000013</v>
      </c>
      <c r="DB48" s="131">
        <f t="shared" si="20"/>
        <v>3</v>
      </c>
      <c r="DC48" s="131">
        <f t="shared" si="20"/>
        <v>0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0.8</v>
      </c>
      <c r="DM48" s="131">
        <f t="shared" si="21"/>
        <v>14.4</v>
      </c>
      <c r="DN48" s="127"/>
      <c r="DO48" s="131">
        <f t="shared" si="21"/>
        <v>16.200000000000003</v>
      </c>
      <c r="DP48" s="131">
        <f t="shared" si="21"/>
        <v>6</v>
      </c>
      <c r="DQ48" s="131">
        <f t="shared" si="21"/>
        <v>12.100000000000001</v>
      </c>
      <c r="DR48" s="131">
        <f t="shared" si="21"/>
        <v>1.2000000000000002</v>
      </c>
      <c r="DS48" s="131">
        <f t="shared" si="21"/>
        <v>0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0</v>
      </c>
      <c r="CZ49" s="131">
        <f t="shared" si="22"/>
        <v>0</v>
      </c>
      <c r="DA49" s="127"/>
      <c r="DB49" s="131">
        <f t="shared" si="22"/>
        <v>2.2999999999999998</v>
      </c>
      <c r="DC49" s="131">
        <f t="shared" si="22"/>
        <v>1.25</v>
      </c>
      <c r="DD49" s="131">
        <f t="shared" si="22"/>
        <v>0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2.8499999999999996</v>
      </c>
      <c r="DM49" s="131">
        <f t="shared" si="23"/>
        <v>10.499999999999998</v>
      </c>
      <c r="DN49" s="131">
        <f t="shared" si="23"/>
        <v>24.15</v>
      </c>
      <c r="DO49" s="127"/>
      <c r="DP49" s="131">
        <f t="shared" si="23"/>
        <v>21.849999999999998</v>
      </c>
      <c r="DQ49" s="131">
        <f t="shared" si="23"/>
        <v>6.25</v>
      </c>
      <c r="DR49" s="131">
        <f t="shared" si="23"/>
        <v>2.7</v>
      </c>
      <c r="DS49" s="131">
        <f t="shared" si="23"/>
        <v>2.9</v>
      </c>
      <c r="DT49" s="131">
        <f t="shared" si="23"/>
        <v>1.55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0</v>
      </c>
      <c r="CZ50" s="131">
        <f t="shared" si="24"/>
        <v>0</v>
      </c>
      <c r="DA50" s="131">
        <f t="shared" si="24"/>
        <v>1.4</v>
      </c>
      <c r="DB50" s="127"/>
      <c r="DC50" s="131">
        <f t="shared" si="24"/>
        <v>0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0</v>
      </c>
      <c r="DM50" s="131">
        <f t="shared" si="25"/>
        <v>12</v>
      </c>
      <c r="DN50" s="131">
        <f t="shared" si="25"/>
        <v>7.8000000000000007</v>
      </c>
      <c r="DO50" s="131">
        <f t="shared" si="25"/>
        <v>33.599999999999994</v>
      </c>
      <c r="DP50" s="127"/>
      <c r="DQ50" s="131">
        <f t="shared" si="25"/>
        <v>15.400000000000002</v>
      </c>
      <c r="DR50" s="131">
        <f t="shared" si="25"/>
        <v>0</v>
      </c>
      <c r="DS50" s="131">
        <f t="shared" si="25"/>
        <v>1.6</v>
      </c>
      <c r="DT50" s="131">
        <f t="shared" si="25"/>
        <v>0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2.7</v>
      </c>
      <c r="CZ51" s="131">
        <f t="shared" si="26"/>
        <v>0</v>
      </c>
      <c r="DA51" s="131">
        <f t="shared" si="26"/>
        <v>0</v>
      </c>
      <c r="DB51" s="131">
        <f t="shared" si="26"/>
        <v>0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6.75</v>
      </c>
      <c r="DN51" s="131">
        <f t="shared" si="27"/>
        <v>13.049999999999999</v>
      </c>
      <c r="DO51" s="131">
        <f t="shared" si="27"/>
        <v>9.3000000000000007</v>
      </c>
      <c r="DP51" s="131">
        <f t="shared" si="27"/>
        <v>4.9499999999999993</v>
      </c>
      <c r="DQ51" s="127"/>
      <c r="DR51" s="131">
        <f t="shared" si="27"/>
        <v>4.95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0</v>
      </c>
      <c r="CZ52" s="131">
        <f t="shared" si="28"/>
        <v>0</v>
      </c>
      <c r="DA52" s="131">
        <f t="shared" si="28"/>
        <v>0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0</v>
      </c>
      <c r="DM52" s="131">
        <f t="shared" si="29"/>
        <v>3</v>
      </c>
      <c r="DN52" s="131">
        <f t="shared" si="29"/>
        <v>4.8</v>
      </c>
      <c r="DO52" s="131">
        <f t="shared" si="29"/>
        <v>15.299999999999999</v>
      </c>
      <c r="DP52" s="131">
        <f t="shared" si="29"/>
        <v>1.7999999999999998</v>
      </c>
      <c r="DQ52" s="131">
        <f t="shared" si="29"/>
        <v>3.8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0</v>
      </c>
      <c r="CZ53" s="131">
        <f t="shared" si="30"/>
        <v>0</v>
      </c>
      <c r="DA53" s="131">
        <f t="shared" si="30"/>
        <v>0</v>
      </c>
      <c r="DB53" s="131">
        <f t="shared" si="30"/>
        <v>0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0</v>
      </c>
      <c r="DN53" s="131">
        <f t="shared" si="31"/>
        <v>3.5</v>
      </c>
      <c r="DO53" s="131">
        <f t="shared" si="31"/>
        <v>3.7</v>
      </c>
      <c r="DP53" s="131">
        <f t="shared" si="31"/>
        <v>1.9500000000000002</v>
      </c>
      <c r="DQ53" s="131">
        <f t="shared" si="31"/>
        <v>0</v>
      </c>
      <c r="DR53" s="131">
        <f t="shared" si="31"/>
        <v>0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0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0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0</v>
      </c>
      <c r="DP55" s="131">
        <f t="shared" si="35"/>
        <v>0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17.700000000000003</v>
      </c>
      <c r="DW57" s="88">
        <f>SUM(DL46:DV56)</f>
        <v>315.79999999999995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4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3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2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1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5">
      <formula>LEN(TRIM(CC2))=0</formula>
    </cfRule>
  </conditionalFormatting>
  <conditionalFormatting sqref="CD2:CD33">
    <cfRule type="containsBlanks" dxfId="15" priority="4">
      <formula>LEN(TRIM(CD2))=0</formula>
    </cfRule>
  </conditionalFormatting>
  <conditionalFormatting sqref="CX18:DH2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23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18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1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2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0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0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0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0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0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0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22</v>
      </c>
      <c r="E3" s="62">
        <f>INDEX(Table3[PTS], MATCH(Table6[[#This Row],[Teams]], Table3[Teams],0))</f>
        <v>22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20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0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2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0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0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0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0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14</v>
      </c>
      <c r="E4" s="62">
        <f>INDEX(Table3[PTS], MATCH(Table6[[#This Row],[Teams]], Table3[Teams],0))</f>
        <v>14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20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0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0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0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0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22</v>
      </c>
      <c r="E5" s="62">
        <f>INDEX(Table3[PTS], MATCH(Table6[[#This Row],[Teams]], Table3[Teams],0))</f>
        <v>22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10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0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0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0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0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0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0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0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17</v>
      </c>
      <c r="E6" s="62">
        <f>INDEX(Table3[PTS], MATCH(Table6[[#This Row],[Teams]], Table3[Teams],0))</f>
        <v>17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17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0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0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0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0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10</v>
      </c>
      <c r="E7" s="62">
        <f>INDEX(Table3[PTS], MATCH(Table6[[#This Row],[Teams]], Table3[Teams],0))</f>
        <v>10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23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0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2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0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2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19</v>
      </c>
      <c r="E8" s="62">
        <f>INDEX(Table3[PTS], MATCH(Table6[[#This Row],[Teams]], Table3[Teams],0))</f>
        <v>19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19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0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2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2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0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0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27</v>
      </c>
      <c r="E9" s="62">
        <f>INDEX(Table3[PTS], MATCH(Table6[[#This Row],[Teams]], Table3[Teams],0))</f>
        <v>27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19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0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0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0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0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23</v>
      </c>
      <c r="E10" s="62">
        <f>INDEX(Table3[PTS], MATCH(Table6[[#This Row],[Teams]], Table3[Teams],0))</f>
        <v>23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18</v>
      </c>
      <c r="E11" s="62">
        <f>INDEX(Table3[PTS], MATCH(Table6[[#This Row],[Teams]], Table3[Teams],0))</f>
        <v>18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20</v>
      </c>
      <c r="E12" s="62">
        <f>INDEX(Table3[PTS], MATCH(Table6[[#This Row],[Teams]], Table3[Teams],0))</f>
        <v>20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20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4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2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0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17</v>
      </c>
      <c r="E13" s="62">
        <f>INDEX(Table3[PTS], MATCH(Table6[[#This Row],[Teams]], Table3[Teams],0))</f>
        <v>17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23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0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2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2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0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0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0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0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2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20</v>
      </c>
      <c r="E14" s="62">
        <f>INDEX(Table3[PTS], MATCH(Table6[[#This Row],[Teams]], Table3[Teams],0))</f>
        <v>20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27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1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2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0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0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0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0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0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2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0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18</v>
      </c>
      <c r="E15" s="62">
        <f>INDEX(Table3[PTS], MATCH(Table6[[#This Row],[Teams]], Table3[Teams],0))</f>
        <v>18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15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0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0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0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0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0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0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22</v>
      </c>
      <c r="E16" s="62">
        <f>INDEX(Table3[PTS], MATCH(Table6[[#This Row],[Teams]], Table3[Teams],0))</f>
        <v>22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18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0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0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0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0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1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0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0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0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23</v>
      </c>
      <c r="E17" s="62">
        <f>INDEX(Table3[PTS], MATCH(Table6[[#This Row],[Teams]], Table3[Teams],0))</f>
        <v>23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18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0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2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0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0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0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2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14</v>
      </c>
      <c r="E18" s="62">
        <f>INDEX(Table3[PTS], MATCH(Table6[[#This Row],[Teams]], Table3[Teams],0))</f>
        <v>14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14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0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0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0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18</v>
      </c>
      <c r="E19" s="62">
        <f>INDEX(Table3[PTS], MATCH(Table6[[#This Row],[Teams]], Table3[Teams],0))</f>
        <v>18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19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2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2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0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0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0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20</v>
      </c>
      <c r="E20" s="62">
        <f>INDEX(Table3[PTS], MATCH(Table6[[#This Row],[Teams]], Table3[Teams],0))</f>
        <v>20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20</v>
      </c>
      <c r="E21" s="62">
        <f>INDEX(Table3[PTS], MATCH(Table6[[#This Row],[Teams]], Table3[Teams],0))</f>
        <v>20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19</v>
      </c>
      <c r="E22" s="62">
        <f>INDEX(Table3[PTS], MATCH(Table6[[#This Row],[Teams]], Table3[Teams],0))</f>
        <v>19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17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0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0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0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2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0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2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0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0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21</v>
      </c>
      <c r="E23" s="62">
        <f>INDEX(Table3[PTS], MATCH(Table6[[#This Row],[Teams]], Table3[Teams],0))</f>
        <v>21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22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0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0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0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2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0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0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19</v>
      </c>
      <c r="E24" s="62">
        <f>INDEX(Table3[PTS], MATCH(Table6[[#This Row],[Teams]], Table3[Teams],0))</f>
        <v>19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23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0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0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0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0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0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19</v>
      </c>
      <c r="E25" s="62">
        <f>INDEX(Table3[PTS], MATCH(Table6[[#This Row],[Teams]], Table3[Teams],0))</f>
        <v>19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20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0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0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0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0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15</v>
      </c>
      <c r="E26" s="62">
        <f>INDEX(Table3[PTS], MATCH(Table6[[#This Row],[Teams]], Table3[Teams],0))</f>
        <v>15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18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0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0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0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0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1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2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18</v>
      </c>
      <c r="E27" s="62">
        <f>INDEX(Table3[PTS], MATCH(Table6[[#This Row],[Teams]], Table3[Teams],0))</f>
        <v>18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17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1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0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2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0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0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2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17</v>
      </c>
      <c r="E28" s="62">
        <f>INDEX(Table3[PTS], MATCH(Table6[[#This Row],[Teams]], Table3[Teams],0))</f>
        <v>17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21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0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0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1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0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18</v>
      </c>
      <c r="E29" s="62">
        <f>INDEX(Table3[PTS], MATCH(Table6[[#This Row],[Teams]], Table3[Teams],0))</f>
        <v>18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19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0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0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2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2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17</v>
      </c>
      <c r="E30" s="62">
        <f>INDEX(Table3[PTS], MATCH(Table6[[#This Row],[Teams]], Table3[Teams],0))</f>
        <v>17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18</v>
      </c>
      <c r="E31" s="62">
        <f>INDEX(Table3[PTS], MATCH(Table6[[#This Row],[Teams]], Table3[Teams],0))</f>
        <v>18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20</v>
      </c>
      <c r="E32" s="62">
        <f>INDEX(Table3[PTS], MATCH(Table6[[#This Row],[Teams]], Table3[Teams],0))</f>
        <v>20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17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0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0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0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0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0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17</v>
      </c>
      <c r="E33" s="116">
        <f>INDEX(Table3[PTS], MATCH(Table6[[#This Row],[Teams]], Table3[Teams],0))</f>
        <v>17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18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0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0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1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1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0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0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17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0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20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0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0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0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1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22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0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0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2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18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2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0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0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0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0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0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14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0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0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0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0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22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0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0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0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2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0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0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22</v>
      </c>
    </row>
    <row r="42" spans="1:53" x14ac:dyDescent="0.25">
      <c r="U42" cm="1">
        <f t="array" ref="U42">SMALL(U35:U39 + U25:U29,5)</f>
        <v>41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0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0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10</v>
      </c>
      <c r="BP3" s="166">
        <f>BO3+BO4</f>
        <v>16</v>
      </c>
      <c r="BQ3" s="167">
        <f>82-BP3</f>
        <v>66</v>
      </c>
    </row>
    <row r="4" spans="1:69" ht="12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0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6</v>
      </c>
      <c r="BP4" s="166"/>
      <c r="BQ4" s="167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0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11</v>
      </c>
      <c r="BP5" s="166">
        <f t="shared" ref="BP5" si="1">BO5+BO6</f>
        <v>18</v>
      </c>
      <c r="BQ5" s="167">
        <f t="shared" ref="BQ5" si="2">82-BP5</f>
        <v>64</v>
      </c>
    </row>
    <row r="6" spans="1:69" ht="12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0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1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7</v>
      </c>
      <c r="BP6" s="166"/>
      <c r="BQ6" s="167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0</v>
      </c>
      <c r="AK7" s="35"/>
      <c r="AL7" s="28">
        <f>COUNTIFS(DataRegularSeason20242025!$E$2:$E$1315,AK$1,DataRegularSeason20242025!$D$2:$D$1315,$A7,DataRegularSeason20242025!$N$2:$N$1315,1)</f>
        <v>0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0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10</v>
      </c>
      <c r="BP7" s="166">
        <f t="shared" ref="BP7" si="3">BO7+BO8</f>
        <v>18</v>
      </c>
      <c r="BQ7" s="167">
        <f t="shared" ref="BQ7" si="4">82-BP7</f>
        <v>64</v>
      </c>
    </row>
    <row r="8" spans="1:69" ht="12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8</v>
      </c>
      <c r="BP8" s="166"/>
      <c r="BQ8" s="167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0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0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0</v>
      </c>
      <c r="BO9" s="30">
        <f t="shared" si="0"/>
        <v>10</v>
      </c>
      <c r="BP9" s="166">
        <f t="shared" ref="BP9" si="5">BO9+BO10</f>
        <v>17</v>
      </c>
      <c r="BQ9" s="167">
        <f t="shared" ref="BQ9" si="6">82-BP9</f>
        <v>65</v>
      </c>
    </row>
    <row r="10" spans="1:69" ht="12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7</v>
      </c>
      <c r="BP10" s="166"/>
      <c r="BQ10" s="167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0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8</v>
      </c>
      <c r="BP11" s="166">
        <f t="shared" ref="BP11" si="7">BO11+BO12</f>
        <v>16</v>
      </c>
      <c r="BQ11" s="167">
        <f t="shared" ref="BQ11" si="8">82-BP11</f>
        <v>66</v>
      </c>
    </row>
    <row r="12" spans="1:69" ht="12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1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0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8</v>
      </c>
      <c r="BP12" s="166"/>
      <c r="BQ12" s="167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0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1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7</v>
      </c>
      <c r="BP13" s="166">
        <f t="shared" ref="BP13" si="9">BO13+BO14</f>
        <v>17</v>
      </c>
      <c r="BQ13" s="167">
        <f t="shared" ref="BQ13" si="10">82-BP13</f>
        <v>65</v>
      </c>
    </row>
    <row r="14" spans="1:69" ht="12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0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10</v>
      </c>
      <c r="BP14" s="166"/>
      <c r="BQ14" s="167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0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0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0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9</v>
      </c>
      <c r="BP15" s="166">
        <f t="shared" ref="BP15" si="11">BO15+BO16</f>
        <v>18</v>
      </c>
      <c r="BQ15" s="167">
        <f t="shared" ref="BQ15" si="12">82-BP15</f>
        <v>64</v>
      </c>
    </row>
    <row r="16" spans="1:69" ht="12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9</v>
      </c>
      <c r="BP16" s="166"/>
      <c r="BQ16" s="167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0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0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6</v>
      </c>
      <c r="BP17" s="166">
        <f t="shared" ref="BP17" si="13">BO17+BO18</f>
        <v>15</v>
      </c>
      <c r="BQ17" s="167">
        <f t="shared" ref="BQ17" si="14">82-BP17</f>
        <v>67</v>
      </c>
    </row>
    <row r="18" spans="1:69" ht="12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0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9</v>
      </c>
      <c r="BP18" s="166"/>
      <c r="BQ18" s="167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10</v>
      </c>
      <c r="BP19" s="166">
        <f t="shared" ref="BP19" si="15">BO19+BO20</f>
        <v>16</v>
      </c>
      <c r="BQ19" s="167">
        <f t="shared" ref="BQ19" si="16">82-BP19</f>
        <v>66</v>
      </c>
    </row>
    <row r="20" spans="1:69" ht="12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0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0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0</v>
      </c>
      <c r="BN20" s="39"/>
      <c r="BO20" s="34">
        <f t="shared" si="0"/>
        <v>6</v>
      </c>
      <c r="BP20" s="166"/>
      <c r="BQ20" s="167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10</v>
      </c>
      <c r="BP21" s="166">
        <f t="shared" ref="BP21" si="17">BO21+BO22</f>
        <v>17</v>
      </c>
      <c r="BQ21" s="167">
        <f t="shared" ref="BQ21" si="18">82-BP21</f>
        <v>65</v>
      </c>
    </row>
    <row r="22" spans="1:69" ht="12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0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0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7</v>
      </c>
      <c r="BP22" s="166"/>
      <c r="BQ22" s="167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0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8</v>
      </c>
      <c r="BP23" s="166">
        <f t="shared" ref="BP23" si="19">BO23+BO24</f>
        <v>17</v>
      </c>
      <c r="BQ23" s="167">
        <f t="shared" ref="BQ23" si="20">82-BP23</f>
        <v>65</v>
      </c>
    </row>
    <row r="24" spans="1:69" ht="12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0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0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9</v>
      </c>
      <c r="BP24" s="166"/>
      <c r="BQ24" s="167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8</v>
      </c>
      <c r="BP25" s="166">
        <f t="shared" ref="BP25" si="21">BO25+BO26</f>
        <v>18</v>
      </c>
      <c r="BQ25" s="167">
        <f t="shared" ref="BQ25" si="22">82-BP25</f>
        <v>64</v>
      </c>
    </row>
    <row r="26" spans="1:69" ht="12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0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0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10</v>
      </c>
      <c r="BP26" s="166"/>
      <c r="BQ26" s="167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0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7</v>
      </c>
      <c r="BP27" s="166">
        <f t="shared" ref="BP27" si="23">BO27+BO28</f>
        <v>18</v>
      </c>
      <c r="BQ27" s="167">
        <f t="shared" ref="BQ27" si="24">82-BP27</f>
        <v>64</v>
      </c>
    </row>
    <row r="28" spans="1:69" ht="12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0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11</v>
      </c>
      <c r="BP28" s="166"/>
      <c r="BQ28" s="167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0</v>
      </c>
      <c r="BO29" s="30">
        <f t="shared" si="0"/>
        <v>7</v>
      </c>
      <c r="BP29" s="166">
        <f t="shared" ref="BP29" si="25">BO29+BO30</f>
        <v>17</v>
      </c>
      <c r="BQ29" s="167">
        <f t="shared" ref="BQ29" si="26">82-BP29</f>
        <v>65</v>
      </c>
    </row>
    <row r="30" spans="1:69" ht="12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0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0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10</v>
      </c>
      <c r="BP30" s="166"/>
      <c r="BQ30" s="167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0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0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11</v>
      </c>
      <c r="BP31" s="166">
        <f t="shared" ref="BP31" si="27">BO31+BO32</f>
        <v>16</v>
      </c>
      <c r="BQ31" s="167">
        <f t="shared" ref="BQ31" si="28">82-BP31</f>
        <v>66</v>
      </c>
    </row>
    <row r="32" spans="1:69" ht="12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0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0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5</v>
      </c>
      <c r="BP32" s="166"/>
      <c r="BQ32" s="167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1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0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8</v>
      </c>
      <c r="BP33" s="166">
        <f t="shared" ref="BP33" si="29">BO33+BO34</f>
        <v>16</v>
      </c>
      <c r="BQ33" s="167">
        <f t="shared" ref="BQ33" si="30">82-BP33</f>
        <v>66</v>
      </c>
    </row>
    <row r="34" spans="1:69" ht="12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0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8</v>
      </c>
      <c r="BP34" s="166"/>
      <c r="BQ34" s="167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1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9</v>
      </c>
      <c r="BP35" s="166">
        <f t="shared" ref="BP35" si="31">BO35+BO36</f>
        <v>16</v>
      </c>
      <c r="BQ35" s="167">
        <f t="shared" ref="BQ35" si="32">82-BP35</f>
        <v>66</v>
      </c>
    </row>
    <row r="36" spans="1:69" ht="12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0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0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7</v>
      </c>
      <c r="BP36" s="166"/>
      <c r="BQ36" s="167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0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0"/>
        <v>10</v>
      </c>
      <c r="BP37" s="166">
        <f t="shared" ref="BP37" si="33">BO37+BO38</f>
        <v>16</v>
      </c>
      <c r="BQ37" s="167">
        <f t="shared" ref="BQ37" si="34">82-BP37</f>
        <v>66</v>
      </c>
    </row>
    <row r="38" spans="1:69" ht="12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0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0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0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0"/>
        <v>6</v>
      </c>
      <c r="BP38" s="166"/>
      <c r="BQ38" s="167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0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0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1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8</v>
      </c>
      <c r="BP39" s="166">
        <f t="shared" ref="BP39" si="35">BO39+BO40</f>
        <v>16</v>
      </c>
      <c r="BQ39" s="167">
        <f t="shared" ref="BQ39" si="36">82-BP39</f>
        <v>66</v>
      </c>
    </row>
    <row r="40" spans="1:69" ht="12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8</v>
      </c>
      <c r="BP40" s="166"/>
      <c r="BQ40" s="167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0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0</v>
      </c>
      <c r="W41" s="35"/>
      <c r="X41" s="28">
        <f>COUNTIFS(DataRegularSeason20242025!$E$2:$E$1315,W$1,DataRegularSeason20242025!$D$2:$D$1315,$A41,DataRegularSeason20242025!$N$2:$N$1315,1)</f>
        <v>0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0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8</v>
      </c>
      <c r="BP41" s="166">
        <f t="shared" ref="BP41" si="37">BO41+BO42</f>
        <v>16</v>
      </c>
      <c r="BQ41" s="167">
        <f t="shared" ref="BQ41" si="38">82-BP41</f>
        <v>66</v>
      </c>
    </row>
    <row r="42" spans="1:69" ht="12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8</v>
      </c>
      <c r="BP42" s="166"/>
      <c r="BQ42" s="167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0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10</v>
      </c>
      <c r="BP43" s="166">
        <f t="shared" ref="BP43" si="39">BO43+BO44</f>
        <v>18</v>
      </c>
      <c r="BQ43" s="167">
        <f t="shared" ref="BQ43" si="40">82-BP43</f>
        <v>64</v>
      </c>
    </row>
    <row r="44" spans="1:69" ht="12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0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8</v>
      </c>
      <c r="BP44" s="166"/>
      <c r="BQ44" s="167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0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0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5</v>
      </c>
      <c r="BP45" s="166">
        <f t="shared" ref="BP45" si="41">BO45+BO46</f>
        <v>16</v>
      </c>
      <c r="BQ45" s="167">
        <f t="shared" ref="BQ45" si="42">82-BP45</f>
        <v>66</v>
      </c>
    </row>
    <row r="46" spans="1:69" ht="12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11</v>
      </c>
      <c r="BP46" s="166"/>
      <c r="BQ46" s="167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0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10</v>
      </c>
      <c r="BP47" s="166">
        <f t="shared" ref="BP47" si="43">BO47+BO48</f>
        <v>17</v>
      </c>
      <c r="BQ47" s="167">
        <f t="shared" ref="BQ47" si="44">82-BP47</f>
        <v>65</v>
      </c>
    </row>
    <row r="48" spans="1:69" ht="12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0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0"/>
        <v>7</v>
      </c>
      <c r="BP48" s="166"/>
      <c r="BQ48" s="167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0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8</v>
      </c>
      <c r="BP49" s="166">
        <f t="shared" ref="BP49" si="45">BO49+BO50</f>
        <v>16</v>
      </c>
      <c r="BQ49" s="167">
        <f t="shared" ref="BQ49" si="46">82-BP49</f>
        <v>66</v>
      </c>
    </row>
    <row r="50" spans="1:69" ht="12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0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0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0"/>
        <v>8</v>
      </c>
      <c r="BP50" s="166"/>
      <c r="BQ50" s="167"/>
    </row>
    <row r="51" spans="1:69" ht="12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0</v>
      </c>
      <c r="BI51" s="35"/>
      <c r="BJ51" s="28">
        <f>COUNTIFS(DataRegularSeason20242025!$E$2:$E$1315,BI$1,DataRegularSeason20242025!$D$2:$D$1315,$A51,DataRegularSeason20242025!$N$2:$N$1315,1)</f>
        <v>1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7</v>
      </c>
      <c r="BP51" s="166">
        <f t="shared" ref="BP51" si="47">BO51+BO52</f>
        <v>18</v>
      </c>
      <c r="BQ51" s="167">
        <f t="shared" ref="BQ51" si="48">82-BP51</f>
        <v>64</v>
      </c>
    </row>
    <row r="52" spans="1:69" ht="12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1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11</v>
      </c>
      <c r="BP52" s="166"/>
      <c r="BQ52" s="167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0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0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0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5</v>
      </c>
      <c r="BP53" s="166">
        <f t="shared" ref="BP53" si="49">BO53+BO54</f>
        <v>15</v>
      </c>
      <c r="BQ53" s="167">
        <f t="shared" ref="BQ53" si="50">82-BP53</f>
        <v>67</v>
      </c>
    </row>
    <row r="54" spans="1:69" ht="12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0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10</v>
      </c>
      <c r="BP54" s="166"/>
      <c r="BQ54" s="167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0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8</v>
      </c>
      <c r="BP55" s="166">
        <f t="shared" ref="BP55" si="51">BO55+BO56</f>
        <v>16</v>
      </c>
      <c r="BQ55" s="167">
        <f t="shared" ref="BQ55" si="52">82-BP55</f>
        <v>66</v>
      </c>
    </row>
    <row r="56" spans="1:69" ht="12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0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0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0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8</v>
      </c>
      <c r="BP56" s="166"/>
      <c r="BQ56" s="167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9</v>
      </c>
      <c r="BP57" s="166">
        <f t="shared" ref="BP57" si="53">BO57+BO58</f>
        <v>16</v>
      </c>
      <c r="BQ57" s="167">
        <f t="shared" ref="BQ57" si="54">82-BP57</f>
        <v>66</v>
      </c>
    </row>
    <row r="58" spans="1:69" ht="12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0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0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0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7</v>
      </c>
      <c r="BP58" s="166"/>
      <c r="BQ58" s="167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0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8</v>
      </c>
      <c r="BP59" s="166">
        <f t="shared" ref="BP59" si="55">BO59+BO60</f>
        <v>16</v>
      </c>
      <c r="BQ59" s="167">
        <f t="shared" ref="BQ59" si="56">82-BP59</f>
        <v>66</v>
      </c>
    </row>
    <row r="60" spans="1:69" ht="12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0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0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0"/>
        <v>8</v>
      </c>
      <c r="BP60" s="166"/>
      <c r="BQ60" s="167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8</v>
      </c>
      <c r="BP61" s="166">
        <f t="shared" ref="BP61" si="57">BO61+BO62</f>
        <v>17</v>
      </c>
      <c r="BQ61" s="167">
        <f t="shared" ref="BQ61" si="58">82-BP61</f>
        <v>65</v>
      </c>
    </row>
    <row r="62" spans="1:69" ht="12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0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1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9</v>
      </c>
      <c r="BP62" s="166"/>
      <c r="BQ62" s="167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0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8</v>
      </c>
      <c r="BP63" s="166">
        <f t="shared" ref="BP63" si="59">BO63+BO64</f>
        <v>16</v>
      </c>
      <c r="BQ63" s="167">
        <f t="shared" ref="BQ63" si="60">82-BP63</f>
        <v>66</v>
      </c>
    </row>
    <row r="64" spans="1:69" ht="12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0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1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8</v>
      </c>
      <c r="BP64" s="166"/>
      <c r="BQ64" s="167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0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5</v>
      </c>
      <c r="BP65" s="166">
        <f t="shared" ref="BP65" si="61">BO65+BO66</f>
        <v>17</v>
      </c>
      <c r="BQ65" s="167">
        <f t="shared" ref="BQ65" si="62">82-BP65</f>
        <v>65</v>
      </c>
    </row>
    <row r="66" spans="1:69" ht="12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0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0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12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266</v>
      </c>
      <c r="BQ67" s="27">
        <f>SUM(BQ3:BQ66)/2</f>
        <v>1046</v>
      </c>
    </row>
    <row r="68" spans="1:69" x14ac:dyDescent="0.25">
      <c r="BP68" s="43">
        <f>2*BP67/SUM(BP3:BQ66)</f>
        <v>0.2027439024390244</v>
      </c>
      <c r="BQ68" s="43">
        <f>2*BQ67/SUM(BP3:BQ66)</f>
        <v>0.7972560975609756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W3" sqref="W3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0-0-0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0-0-0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1-0-0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0-0-1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0-0-0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0-0-0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1-0-0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1-0-0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0-0-0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0-0-0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0-1-0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0-1-0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0-0-0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0-2-0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0-0-0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0-0-0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0-0-0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0-0-0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0-1-0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0-0-1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0-0-0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1-0-0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0-0-0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0-0-0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0-0-0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0-0-0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0-0-0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1-0-0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0-0-0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0-0-0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0-0-0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0-0-0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0-0-0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1-0-0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0-1-0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1-0-0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0-1-0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1-0-0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0-0-0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0-0-0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0-0-0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0-0-0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0-1-0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1-0-0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0-0-0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0-0-1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1-0-0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0-1-0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0-0-0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0-0-0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0-0-0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1-0-0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0-0-0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0-0-0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1-0-0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0-0-0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0-0-0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0-0-0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0-0-1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1-0-0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0-0-0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0-0-0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0-0-0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0-0-0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0-0-0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0-0-0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0-0-0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1-0-0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1-0-0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0-1-0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0-0-0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0-0-0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0-0-0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0-0-0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0-0-0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0-0-0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0-0-1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1-0-0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0-0-0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0-0-0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0-0-0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0-0-0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0-0-0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1-0-0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0-0-0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0-0-0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1-0-0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1-0-0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0-1-0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0-0-0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0-0-0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0-0-0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0-0-0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1-0-0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0-0-0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0-0-0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0-0-0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0-0-0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0-0-1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0-1-0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0-1-0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0-0-0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0-0-0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0-0-0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0-1-0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0-0-0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0-0-0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0-0-0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0-0-0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0-1-0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0-0-0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0-0-0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0-0-0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0-0-0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0-0-0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0-0-0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0-0-0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1-0-0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0-0-0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0-0-0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1-0-0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0-0-0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0-0-0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1-0-0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0-1-0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2-0-0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0-1-0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1-0-0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1-0-0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0-0-0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0-0-0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0-0-0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0-0-0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0-0-0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0-0-0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1-0-0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0-0-0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1-0-0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0-1-0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1-0-0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0-0-1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0-0-0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0-0-0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1-0-0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0-1-0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0-0-0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0-0-0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1-0-0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0-0-0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0-0-0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0-0-0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0-0-0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0-0-0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0-0-0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1-0-0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1-0-0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0-0-0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0-0-0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0-0-0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0-0-0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0-0-0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0-0-0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0-0-1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1-1-0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0-1-1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1-0-0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0-0-0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0-0-0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0-0-0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0-0-0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0-1-0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0-0-0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0-0-0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1-0-0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1-0-0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0-0-0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0-0-0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0-0-0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1-0-0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1-1-0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0-0-0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0-0-0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1-0-0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0-0-0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0-0-1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0-0-0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0-1-0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0-0-0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0-0-0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0-0-0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1-0-0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0-0-0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1-1-0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0-0-0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0-0-0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1-1-0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0-0-0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0-1-0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0-0-0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0-0-0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1-0-0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2-0-0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0-0-0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0-0-0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0-0-0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1-1-0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0-0-0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0-0-0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0-0-0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0-1-0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0-0-0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0-0-1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0-1-0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0-0-0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0-0-0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1-0-0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0-1-0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0-0-0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0-0-0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0-0-0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0-0-0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0-1-0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0-1-0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0-0-0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0-1-0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1-0-0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0-0-0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0-0-0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0-0-0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0-0-0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0-1-0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1-1-0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0-0-0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0-0-0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0-0-0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0-0-0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0-0-0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1-0-0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0-0-0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0-0-0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0-0-0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0-1-0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0-0-0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0-0-0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0-0-0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0-0-0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0-0-1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0-0-0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1-0-1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0-0-0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0-0-0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0-0-0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0-1-0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0-1-0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0-0-0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1-0-1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0-0-1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0-0-0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0-0-0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0-0-0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0-0-0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0-1-0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1-0-0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0-0-0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1-0-0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 t="str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/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 t="str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/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1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0.5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 t="str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/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 t="str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/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1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 t="str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/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0.5357142857142857</v>
      </c>
      <c r="AI37" s="101">
        <f>AVERAGE($B37:$Q37)</f>
        <v>0.625</v>
      </c>
      <c r="AJ37" s="103">
        <f>AVERAGE($Z37:$AG37)</f>
        <v>0.5625</v>
      </c>
      <c r="AK37" s="103">
        <f>AVERAGE($R37:$Y37)</f>
        <v>0.5</v>
      </c>
      <c r="AL37" s="103">
        <f>AVERAGE($J37:$Q37)</f>
        <v>0.6</v>
      </c>
      <c r="AM37" s="103">
        <f>AVERAGE($B37:$I37)</f>
        <v>0.66666666666666663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 t="str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/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 t="str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/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0.25</v>
      </c>
      <c r="R38" t="str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/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 t="str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/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 t="str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/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 t="str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/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</v>
      </c>
      <c r="AI38" s="101">
        <f t="shared" ref="AI38:AI68" si="1">AVERAGE($B38:$Q38)</f>
        <v>0.25</v>
      </c>
      <c r="AJ38" s="103">
        <f t="shared" ref="AJ38:AJ68" si="2">AVERAGE($Z38:$AG38)</f>
        <v>0.33333333333333331</v>
      </c>
      <c r="AK38" s="103">
        <f t="shared" ref="AK38:AK68" si="3">AVERAGE($R38:$Y38)</f>
        <v>0.66666666666666663</v>
      </c>
      <c r="AL38" s="103">
        <f t="shared" ref="AL38:AL68" si="4">AVERAGE($J38:$Q38)</f>
        <v>0.16666666666666666</v>
      </c>
      <c r="AM38" s="103">
        <f t="shared" ref="AM38:AM68" si="5">AVERAGE($B38:$I38)</f>
        <v>0.41666666666666669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 t="str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/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 t="str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/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 t="str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/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 t="str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/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 t="str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/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0.46875</v>
      </c>
      <c r="AI39" s="101">
        <f t="shared" si="1"/>
        <v>0.375</v>
      </c>
      <c r="AJ39" s="103">
        <f t="shared" si="2"/>
        <v>0.5</v>
      </c>
      <c r="AK39" s="103">
        <f t="shared" si="3"/>
        <v>0.45</v>
      </c>
      <c r="AL39" s="103">
        <f t="shared" si="4"/>
        <v>0.4</v>
      </c>
      <c r="AM39" s="103">
        <f t="shared" si="5"/>
        <v>0.33333333333333331</v>
      </c>
    </row>
    <row r="40" spans="1:39" x14ac:dyDescent="0.25">
      <c r="A40" s="57" t="s">
        <v>27</v>
      </c>
      <c r="B40" s="24" t="str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/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1</v>
      </c>
      <c r="H40" t="str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/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 t="str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/>
      </c>
      <c r="Z40" t="str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/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 t="str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/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 t="str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/>
      </c>
      <c r="AH40" s="101">
        <f t="shared" si="0"/>
        <v>0.625</v>
      </c>
      <c r="AI40" s="101">
        <f t="shared" si="1"/>
        <v>0.75</v>
      </c>
      <c r="AJ40" s="103">
        <f t="shared" si="2"/>
        <v>0.66666666666666663</v>
      </c>
      <c r="AK40" s="103">
        <f t="shared" si="3"/>
        <v>0.58333333333333337</v>
      </c>
      <c r="AL40" s="103">
        <f t="shared" si="4"/>
        <v>0.6785714285714286</v>
      </c>
      <c r="AM40" s="103">
        <f t="shared" si="5"/>
        <v>1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1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 t="str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/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 t="str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/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 t="str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/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0.42857142857142855</v>
      </c>
      <c r="AI41" s="101">
        <f t="shared" si="1"/>
        <v>0.5625</v>
      </c>
      <c r="AJ41" s="103">
        <f t="shared" si="2"/>
        <v>0.66666666666666663</v>
      </c>
      <c r="AK41" s="103">
        <f t="shared" si="3"/>
        <v>0.25</v>
      </c>
      <c r="AL41" s="103">
        <f t="shared" si="4"/>
        <v>0.625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 t="str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/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1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 t="str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/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 t="str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/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 t="str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/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0.4642857142857143</v>
      </c>
      <c r="AI42" s="101">
        <f t="shared" si="1"/>
        <v>0.5625</v>
      </c>
      <c r="AJ42" s="103">
        <f t="shared" si="2"/>
        <v>0.5</v>
      </c>
      <c r="AK42" s="103">
        <f t="shared" si="3"/>
        <v>0.45</v>
      </c>
      <c r="AL42" s="103">
        <f t="shared" si="4"/>
        <v>0.5</v>
      </c>
      <c r="AM42" s="103">
        <f t="shared" si="5"/>
        <v>0.625</v>
      </c>
    </row>
    <row r="43" spans="1:39" x14ac:dyDescent="0.25">
      <c r="A43" s="57" t="s">
        <v>24</v>
      </c>
      <c r="B43" s="24" t="str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/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 t="str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/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 t="str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/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1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 t="str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/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 t="str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/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 t="str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/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0.52777777777777779</v>
      </c>
      <c r="AJ43" s="103">
        <f t="shared" si="2"/>
        <v>0.5</v>
      </c>
      <c r="AK43" s="103">
        <f t="shared" si="3"/>
        <v>0.5</v>
      </c>
      <c r="AL43" s="103">
        <f t="shared" si="4"/>
        <v>0.5714285714285714</v>
      </c>
      <c r="AM43" s="103">
        <f t="shared" si="5"/>
        <v>0.375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1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 t="str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/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 t="str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/>
      </c>
      <c r="P44" s="58" t="str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/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 t="str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/>
      </c>
      <c r="V44" s="58" t="str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/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 t="str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/>
      </c>
      <c r="AE44" s="58" t="str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/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0.625</v>
      </c>
      <c r="AJ44" s="104">
        <f t="shared" si="2"/>
        <v>0.4375</v>
      </c>
      <c r="AK44" s="104">
        <f t="shared" si="3"/>
        <v>0.75</v>
      </c>
      <c r="AL44" s="104">
        <f t="shared" si="4"/>
        <v>0.5</v>
      </c>
      <c r="AM44" s="104">
        <f t="shared" si="5"/>
        <v>0.65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1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 t="str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/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 t="str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/>
      </c>
      <c r="N45" t="str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/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 t="str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/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 t="str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/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 t="str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/>
      </c>
      <c r="AH45" s="101">
        <f t="shared" si="0"/>
        <v>0.58333333333333337</v>
      </c>
      <c r="AI45" s="101">
        <f t="shared" si="1"/>
        <v>0.52777777777777779</v>
      </c>
      <c r="AJ45" s="103">
        <f t="shared" si="2"/>
        <v>0.58333333333333337</v>
      </c>
      <c r="AK45" s="103" t="e">
        <f t="shared" si="3"/>
        <v>#DIV/0!</v>
      </c>
      <c r="AL45" s="103">
        <f t="shared" si="4"/>
        <v>0.5</v>
      </c>
      <c r="AM45" s="103">
        <f t="shared" si="5"/>
        <v>0.54166666666666663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1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 t="str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/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 t="str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/>
      </c>
      <c r="N46" t="str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/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 t="str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/>
      </c>
      <c r="V46" t="str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/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1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 t="str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/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0.625</v>
      </c>
      <c r="AI46" s="101">
        <f t="shared" si="1"/>
        <v>0.75</v>
      </c>
      <c r="AJ46" s="103">
        <f t="shared" si="2"/>
        <v>0.58333333333333337</v>
      </c>
      <c r="AK46" s="103">
        <f t="shared" si="3"/>
        <v>0.66666666666666663</v>
      </c>
      <c r="AL46" s="103">
        <f t="shared" si="4"/>
        <v>0.5</v>
      </c>
      <c r="AM46" s="103">
        <f t="shared" si="5"/>
        <v>0.83333333333333337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 t="str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/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 t="str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/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 t="str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/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 t="str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/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 t="str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/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1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0.58333333333333337</v>
      </c>
      <c r="AI47" s="101">
        <f t="shared" si="1"/>
        <v>0.6</v>
      </c>
      <c r="AJ47" s="103">
        <f t="shared" si="2"/>
        <v>0.66666666666666663</v>
      </c>
      <c r="AK47" s="103">
        <f t="shared" si="3"/>
        <v>0.5</v>
      </c>
      <c r="AL47" s="103">
        <f t="shared" si="4"/>
        <v>0.7</v>
      </c>
      <c r="AM47" s="103">
        <f t="shared" si="5"/>
        <v>0.5</v>
      </c>
    </row>
    <row r="48" spans="1:39" x14ac:dyDescent="0.25">
      <c r="A48" s="57" t="s">
        <v>36</v>
      </c>
      <c r="B48" s="24" t="str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/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 t="str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/>
      </c>
      <c r="J48" t="str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/>
      </c>
      <c r="K48" t="str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/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 t="str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/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0.4375</v>
      </c>
      <c r="AI48" s="101">
        <f t="shared" si="1"/>
        <v>0.5</v>
      </c>
      <c r="AJ48" s="103" t="e">
        <f t="shared" si="2"/>
        <v>#DIV/0!</v>
      </c>
      <c r="AK48" s="103">
        <f t="shared" si="3"/>
        <v>0.4375</v>
      </c>
      <c r="AL48" s="103">
        <f t="shared" si="4"/>
        <v>0.5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 t="str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/>
      </c>
      <c r="K49" t="str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/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 t="str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/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 t="str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/>
      </c>
      <c r="AC49" t="str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/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0.39285714285714285</v>
      </c>
      <c r="AI49" s="101">
        <f t="shared" si="1"/>
        <v>0.4375</v>
      </c>
      <c r="AJ49" s="103">
        <f t="shared" si="2"/>
        <v>0.5</v>
      </c>
      <c r="AK49" s="103">
        <f t="shared" si="3"/>
        <v>0.25</v>
      </c>
      <c r="AL49" s="103">
        <f t="shared" si="4"/>
        <v>0.375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 t="str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/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 t="str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/>
      </c>
      <c r="U50" t="str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/>
      </c>
      <c r="V50" t="str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/>
      </c>
      <c r="W50" t="str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/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 t="str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/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 t="str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/>
      </c>
      <c r="AH50" s="101">
        <f t="shared" si="0"/>
        <v>0.25</v>
      </c>
      <c r="AI50" s="101">
        <f t="shared" si="1"/>
        <v>0.55555555555555558</v>
      </c>
      <c r="AJ50" s="103">
        <f t="shared" si="2"/>
        <v>0.625</v>
      </c>
      <c r="AK50" s="103">
        <f t="shared" si="3"/>
        <v>0</v>
      </c>
      <c r="AL50" s="103">
        <f t="shared" si="4"/>
        <v>0.5</v>
      </c>
      <c r="AM50" s="103">
        <f t="shared" si="5"/>
        <v>0.6</v>
      </c>
    </row>
    <row r="51" spans="1:39" x14ac:dyDescent="0.25">
      <c r="A51" s="57" t="s">
        <v>14</v>
      </c>
      <c r="B51" s="24" t="str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/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 t="str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/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 t="str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/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1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 t="str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/>
      </c>
      <c r="V51" t="str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/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1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0.33333333333333331</v>
      </c>
      <c r="AI51" s="101">
        <f t="shared" si="1"/>
        <v>0.58333333333333337</v>
      </c>
      <c r="AJ51" s="103">
        <f t="shared" si="2"/>
        <v>0.33333333333333331</v>
      </c>
      <c r="AK51" s="103" t="e">
        <f t="shared" si="3"/>
        <v>#DIV/0!</v>
      </c>
      <c r="AL51" s="103">
        <f t="shared" si="4"/>
        <v>0.70833333333333337</v>
      </c>
      <c r="AM51" s="103">
        <f t="shared" si="5"/>
        <v>0.33333333333333331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0.75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1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 t="str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/>
      </c>
      <c r="S52" s="58" t="str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/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 t="str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/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0.83333333333333337</v>
      </c>
      <c r="AI52" s="102">
        <f t="shared" si="1"/>
        <v>0.5</v>
      </c>
      <c r="AJ52" s="104" t="e">
        <f t="shared" si="2"/>
        <v>#DIV/0!</v>
      </c>
      <c r="AK52" s="104">
        <f t="shared" si="3"/>
        <v>0.83333333333333337</v>
      </c>
      <c r="AL52" s="104">
        <f t="shared" si="4"/>
        <v>0.6</v>
      </c>
      <c r="AM52" s="104">
        <f t="shared" si="5"/>
        <v>0.41666666666666669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 t="str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/>
      </c>
      <c r="D53" t="str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/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 t="str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/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 t="str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/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1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0.5625</v>
      </c>
      <c r="AI53" s="101">
        <f>AVERAGE($B53:$Q53)</f>
        <v>0.6785714285714286</v>
      </c>
      <c r="AJ53" s="103">
        <f t="shared" si="2"/>
        <v>0.5</v>
      </c>
      <c r="AK53" s="103">
        <f t="shared" si="3"/>
        <v>0.6</v>
      </c>
      <c r="AL53" s="103">
        <f t="shared" si="4"/>
        <v>0.5</v>
      </c>
      <c r="AM53" s="103">
        <f t="shared" si="5"/>
        <v>0.8125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 t="str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/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 t="str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/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1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 t="str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/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 t="str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/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0.5</v>
      </c>
      <c r="AH54" s="101">
        <f t="shared" si="0"/>
        <v>0.5714285714285714</v>
      </c>
      <c r="AI54" s="101">
        <f t="shared" si="1"/>
        <v>0.5</v>
      </c>
      <c r="AJ54" s="103">
        <f t="shared" si="2"/>
        <v>0.66666666666666663</v>
      </c>
      <c r="AK54" s="103">
        <f t="shared" si="3"/>
        <v>0.5</v>
      </c>
      <c r="AL54" s="103">
        <f t="shared" si="4"/>
        <v>0.6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 t="str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/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 t="str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/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 t="str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/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 t="str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/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 t="str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/>
      </c>
      <c r="AB55" t="str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/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1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0.625</v>
      </c>
      <c r="AI55" s="101">
        <f t="shared" si="1"/>
        <v>0.41666666666666669</v>
      </c>
      <c r="AJ55" s="103">
        <f t="shared" si="2"/>
        <v>0.75</v>
      </c>
      <c r="AK55" s="103">
        <f t="shared" si="3"/>
        <v>0.5</v>
      </c>
      <c r="AL55" s="103">
        <f t="shared" si="4"/>
        <v>0.375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 t="str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/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 t="str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/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 t="str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/>
      </c>
      <c r="L56" t="str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/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 t="str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/>
      </c>
      <c r="P56" t="str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/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0.75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0.25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0.55000000000000004</v>
      </c>
      <c r="AI56" s="101">
        <f t="shared" si="1"/>
        <v>0.5</v>
      </c>
      <c r="AJ56" s="103">
        <f t="shared" si="2"/>
        <v>0.58333333333333337</v>
      </c>
      <c r="AK56" s="103">
        <f t="shared" si="3"/>
        <v>0.5357142857142857</v>
      </c>
      <c r="AL56" s="103">
        <f t="shared" si="4"/>
        <v>0.5</v>
      </c>
      <c r="AM56" s="103">
        <f t="shared" si="5"/>
        <v>0.5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 t="str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/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 t="str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/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 t="str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/>
      </c>
      <c r="P57" t="str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/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0.5</v>
      </c>
      <c r="S57" t="str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/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 t="str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/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1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1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0.75</v>
      </c>
      <c r="AI57" s="101">
        <f t="shared" si="1"/>
        <v>0.6071428571428571</v>
      </c>
      <c r="AJ57" s="103">
        <f t="shared" si="2"/>
        <v>0.9</v>
      </c>
      <c r="AK57" s="103">
        <f t="shared" si="3"/>
        <v>0.5625</v>
      </c>
      <c r="AL57" s="103">
        <f t="shared" si="4"/>
        <v>0.5</v>
      </c>
      <c r="AM57" s="103">
        <f t="shared" si="5"/>
        <v>0.65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 t="str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/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 t="str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/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 t="str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/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0.25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 t="str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/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</v>
      </c>
      <c r="AI58" s="101">
        <f t="shared" si="1"/>
        <v>0.54166666666666663</v>
      </c>
      <c r="AJ58" s="103">
        <f t="shared" si="2"/>
        <v>0.5</v>
      </c>
      <c r="AK58" s="103">
        <f t="shared" si="3"/>
        <v>0.5</v>
      </c>
      <c r="AL58" s="103">
        <f t="shared" si="4"/>
        <v>0.58333333333333337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 t="str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/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1</v>
      </c>
      <c r="N59" t="str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/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 t="str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/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</v>
      </c>
      <c r="AH59" s="101">
        <f t="shared" si="0"/>
        <v>0.53125</v>
      </c>
      <c r="AI59" s="101">
        <f t="shared" si="1"/>
        <v>0.5357142857142857</v>
      </c>
      <c r="AJ59" s="103">
        <f t="shared" si="2"/>
        <v>0.5</v>
      </c>
      <c r="AK59" s="103">
        <f t="shared" si="3"/>
        <v>0.54166666666666663</v>
      </c>
      <c r="AL59" s="103">
        <f t="shared" si="4"/>
        <v>0.5</v>
      </c>
      <c r="AM59" s="103">
        <f t="shared" si="5"/>
        <v>0.5625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 t="str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/>
      </c>
      <c r="E60" s="58" t="str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/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 t="str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/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1</v>
      </c>
      <c r="T60" s="58" t="str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/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0.75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 t="str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/>
      </c>
      <c r="AD60" s="58" t="str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/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0.25</v>
      </c>
      <c r="AG60" s="59" t="str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/>
      </c>
      <c r="AH60" s="102">
        <f t="shared" si="0"/>
        <v>0.61111111111111116</v>
      </c>
      <c r="AI60" s="102">
        <f t="shared" si="1"/>
        <v>0.4</v>
      </c>
      <c r="AJ60" s="104">
        <f t="shared" si="2"/>
        <v>0.4375</v>
      </c>
      <c r="AK60" s="104">
        <f t="shared" si="3"/>
        <v>0.75</v>
      </c>
      <c r="AL60" s="104">
        <f t="shared" si="4"/>
        <v>0.33333333333333331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 t="str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/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 t="str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/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0.75</v>
      </c>
      <c r="V61" t="str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/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 t="str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/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 t="str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/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0.25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0.59375</v>
      </c>
      <c r="AI61" s="101">
        <f t="shared" si="1"/>
        <v>0.25</v>
      </c>
      <c r="AJ61" s="103">
        <f t="shared" si="2"/>
        <v>0.5</v>
      </c>
      <c r="AK61" s="103">
        <f t="shared" si="3"/>
        <v>0.75</v>
      </c>
      <c r="AL61" s="103">
        <f t="shared" si="4"/>
        <v>0.25</v>
      </c>
      <c r="AM61" s="103">
        <f t="shared" si="5"/>
        <v>0.25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 t="str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/>
      </c>
      <c r="D62" t="str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/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 t="str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/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 t="str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/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0.5</v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 t="str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/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 t="str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/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0.375</v>
      </c>
      <c r="AI62" s="101">
        <f t="shared" si="1"/>
        <v>0.5</v>
      </c>
      <c r="AJ62" s="103">
        <f t="shared" si="2"/>
        <v>0.375</v>
      </c>
      <c r="AK62" s="103">
        <f t="shared" si="3"/>
        <v>0.375</v>
      </c>
      <c r="AL62" s="103">
        <f t="shared" si="4"/>
        <v>0.5</v>
      </c>
      <c r="AM62" s="103" t="e">
        <f t="shared" si="5"/>
        <v>#DIV/0!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 t="str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/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 t="str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/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 t="str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/>
      </c>
      <c r="T63" t="str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/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 t="str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/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0.39285714285714285</v>
      </c>
      <c r="AI63" s="101">
        <f t="shared" si="1"/>
        <v>0.5357142857142857</v>
      </c>
      <c r="AJ63" s="103">
        <f t="shared" si="2"/>
        <v>0.45</v>
      </c>
      <c r="AK63" s="103">
        <f t="shared" si="3"/>
        <v>0.25</v>
      </c>
      <c r="AL63" s="103">
        <f t="shared" si="4"/>
        <v>0.625</v>
      </c>
      <c r="AM63" s="103">
        <f t="shared" si="5"/>
        <v>0.5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 t="str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/>
      </c>
      <c r="D64" t="str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/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 t="str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/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 t="str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/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0.25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 t="str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/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 t="str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/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0.32142857142857145</v>
      </c>
      <c r="AI64" s="101">
        <f t="shared" si="1"/>
        <v>0.5</v>
      </c>
      <c r="AJ64" s="103">
        <f t="shared" si="2"/>
        <v>0.375</v>
      </c>
      <c r="AK64" s="103">
        <f t="shared" si="3"/>
        <v>0.25</v>
      </c>
      <c r="AL64" s="103">
        <f t="shared" si="4"/>
        <v>0.5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 t="str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/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 t="str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/>
      </c>
      <c r="L65" t="str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/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0.5</v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 t="str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/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 t="str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/>
      </c>
      <c r="Z65" t="str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/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</v>
      </c>
      <c r="AH65" s="101">
        <f t="shared" si="0"/>
        <v>0.5</v>
      </c>
      <c r="AI65" s="101">
        <f t="shared" si="1"/>
        <v>0.65625</v>
      </c>
      <c r="AJ65" s="103">
        <f t="shared" si="2"/>
        <v>0.5</v>
      </c>
      <c r="AK65" s="103">
        <f t="shared" si="3"/>
        <v>0.5</v>
      </c>
      <c r="AL65" s="103">
        <f t="shared" si="4"/>
        <v>0.66666666666666663</v>
      </c>
      <c r="AM65" s="103">
        <f t="shared" si="5"/>
        <v>0.65</v>
      </c>
    </row>
    <row r="66" spans="1:39" x14ac:dyDescent="0.25">
      <c r="A66" s="57" t="s">
        <v>29</v>
      </c>
      <c r="B66" s="24" t="str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/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 t="str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/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 t="str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/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 t="str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/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 t="str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/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0.53125</v>
      </c>
      <c r="AI66" s="101">
        <f t="shared" si="1"/>
        <v>0.42857142857142855</v>
      </c>
      <c r="AJ66" s="103">
        <f t="shared" si="2"/>
        <v>0.4</v>
      </c>
      <c r="AK66" s="103">
        <f t="shared" si="3"/>
        <v>0.75</v>
      </c>
      <c r="AL66" s="103">
        <f t="shared" si="4"/>
        <v>0.375</v>
      </c>
      <c r="AM66" s="103">
        <f t="shared" si="5"/>
        <v>0.5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 t="str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/>
      </c>
      <c r="D67" t="str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/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 t="str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/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0.5</v>
      </c>
      <c r="W67" t="str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/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0.5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0.5</v>
      </c>
      <c r="AC67" t="str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/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</v>
      </c>
      <c r="AI67" s="101">
        <f t="shared" si="1"/>
        <v>0.6071428571428571</v>
      </c>
      <c r="AJ67" s="103">
        <f t="shared" si="2"/>
        <v>0.66666666666666663</v>
      </c>
      <c r="AK67" s="103">
        <f t="shared" si="3"/>
        <v>0.375</v>
      </c>
      <c r="AL67" s="103">
        <f t="shared" si="4"/>
        <v>0.6</v>
      </c>
      <c r="AM67" s="103">
        <f t="shared" si="5"/>
        <v>0.625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 t="str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/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 t="str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/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 t="str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/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0.5</v>
      </c>
      <c r="Y68" s="59" t="str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/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0.42499999999999999</v>
      </c>
      <c r="AI68" s="102">
        <f t="shared" si="1"/>
        <v>0.5</v>
      </c>
      <c r="AJ68" s="104">
        <f t="shared" si="2"/>
        <v>0.3125</v>
      </c>
      <c r="AK68" s="104">
        <f t="shared" si="3"/>
        <v>0.5</v>
      </c>
      <c r="AL68" s="104">
        <f t="shared" si="4"/>
        <v>0.5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2025-11-13T04:23:10Z</dcterms:modified>
</cp:coreProperties>
</file>