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60B36AD-2BA1-4336-BB81-21DB604687E6}"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10" i="2"/>
  <c r="BW10" i="2" s="1"/>
  <c r="BX12" i="2"/>
  <c r="BW12" i="2" s="1"/>
  <c r="BX4" i="2"/>
  <c r="BW4" i="2" s="1"/>
  <c r="BX5" i="2"/>
  <c r="BW5" i="2" s="1"/>
  <c r="BX11" i="2"/>
  <c r="BW11" i="2" s="1"/>
  <c r="BX13" i="2"/>
  <c r="BW13" i="2" s="1"/>
  <c r="BX14" i="2"/>
  <c r="BW14" i="2" s="1"/>
  <c r="BX7" i="2"/>
  <c r="BW7" i="2" s="1"/>
  <c r="BX8" i="2"/>
  <c r="BW8" i="2" s="1"/>
  <c r="BX17" i="2"/>
  <c r="BW17" i="2" s="1"/>
  <c r="BX15" i="2"/>
  <c r="BW15" i="2" s="1"/>
  <c r="BX18" i="2"/>
  <c r="BW18" i="2" s="1"/>
  <c r="BX20" i="2"/>
  <c r="BW20" i="2" s="1"/>
  <c r="BX22" i="2"/>
  <c r="BW22" i="2" s="1"/>
  <c r="BX23" i="2"/>
  <c r="BW23" i="2" s="1"/>
  <c r="BX16" i="2"/>
  <c r="BW16" i="2" s="1"/>
  <c r="BX25" i="2"/>
  <c r="BW25" i="2" s="1"/>
  <c r="BX19" i="2"/>
  <c r="BW19" i="2" s="1"/>
  <c r="BX27" i="2"/>
  <c r="BW27" i="2" s="1"/>
  <c r="BX28" i="2"/>
  <c r="BW28" i="2" s="1"/>
  <c r="BX21" i="2"/>
  <c r="BW21" i="2" s="1"/>
  <c r="BX26" i="2"/>
  <c r="BW26" i="2" s="1"/>
  <c r="BX24" i="2"/>
  <c r="BW24" i="2" s="1"/>
  <c r="BX30" i="2"/>
  <c r="BW30" i="2" s="1"/>
  <c r="BX29" i="2"/>
  <c r="BW29"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7" i="7"/>
  <c r="E7" i="7"/>
  <c r="F7" i="7"/>
  <c r="G7" i="7"/>
  <c r="H7" i="7"/>
  <c r="I7" i="7"/>
  <c r="J7"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7" i="2"/>
  <c r="AX7" i="2"/>
  <c r="AX23" i="2"/>
  <c r="AX21" i="2"/>
  <c r="AX32" i="2"/>
  <c r="AX19" i="2"/>
  <c r="AX8" i="2"/>
  <c r="AX20" i="2"/>
  <c r="AX11" i="2"/>
  <c r="AX13" i="2"/>
  <c r="AX28" i="2"/>
  <c r="AX29" i="2"/>
  <c r="AX26" i="2"/>
  <c r="AX24" i="2"/>
  <c r="AX27" i="2"/>
  <c r="AX10" i="2"/>
  <c r="AX16" i="2"/>
  <c r="AX14" i="2"/>
  <c r="AX5" i="2"/>
  <c r="AX12" i="2"/>
  <c r="AX15" i="2"/>
  <c r="AX4" i="2"/>
  <c r="AX6" i="2"/>
  <c r="AX30" i="2"/>
  <c r="AX18" i="2"/>
  <c r="AX25" i="2"/>
  <c r="AX22" i="2"/>
  <c r="AX33" i="2"/>
  <c r="AX31" i="2"/>
  <c r="AX3" i="2"/>
  <c r="AT9" i="2"/>
  <c r="AT2" i="2"/>
  <c r="AT17" i="2"/>
  <c r="AT7" i="2"/>
  <c r="AT23" i="2"/>
  <c r="AT21" i="2"/>
  <c r="AT32" i="2"/>
  <c r="AT19" i="2"/>
  <c r="AT8" i="2"/>
  <c r="AT20" i="2"/>
  <c r="AT11" i="2"/>
  <c r="AT13" i="2"/>
  <c r="AT28" i="2"/>
  <c r="AT29" i="2"/>
  <c r="AT26" i="2"/>
  <c r="AT24" i="2"/>
  <c r="AT27" i="2"/>
  <c r="AT10" i="2"/>
  <c r="AT16" i="2"/>
  <c r="AT14" i="2"/>
  <c r="AT5" i="2"/>
  <c r="AT12" i="2"/>
  <c r="AT15" i="2"/>
  <c r="AT4" i="2"/>
  <c r="AT6" i="2"/>
  <c r="AT30" i="2"/>
  <c r="AT18" i="2"/>
  <c r="AT25" i="2"/>
  <c r="AT22"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3" i="2"/>
  <c r="AV23" i="2"/>
  <c r="AY23" i="2"/>
  <c r="AZ23" i="2"/>
  <c r="AU29" i="2"/>
  <c r="AV29" i="2"/>
  <c r="AY29" i="2"/>
  <c r="AZ29" i="2"/>
  <c r="AU11" i="2"/>
  <c r="AV11" i="2"/>
  <c r="AY11" i="2"/>
  <c r="AZ11" i="2"/>
  <c r="AU15" i="2"/>
  <c r="AV15" i="2"/>
  <c r="AY15" i="2"/>
  <c r="AZ15" i="2"/>
  <c r="AU17" i="2"/>
  <c r="AV17" i="2"/>
  <c r="AY17" i="2"/>
  <c r="AZ17" i="2"/>
  <c r="AU32" i="2"/>
  <c r="AV32" i="2"/>
  <c r="AY32" i="2"/>
  <c r="AZ32" i="2"/>
  <c r="AU13" i="2"/>
  <c r="AV13" i="2"/>
  <c r="AY13" i="2"/>
  <c r="AZ13" i="2"/>
  <c r="AU4" i="2"/>
  <c r="AV4" i="2"/>
  <c r="AY4" i="2"/>
  <c r="AZ4" i="2"/>
  <c r="AU16" i="2"/>
  <c r="AV16" i="2"/>
  <c r="AY16" i="2"/>
  <c r="AZ16" i="2"/>
  <c r="AU9" i="2"/>
  <c r="AV9" i="2"/>
  <c r="AY9" i="2"/>
  <c r="AZ9" i="2"/>
  <c r="AU7" i="2"/>
  <c r="AV7" i="2"/>
  <c r="AY7" i="2"/>
  <c r="AZ7" i="2"/>
  <c r="AU10" i="2"/>
  <c r="AV10" i="2"/>
  <c r="AY10" i="2"/>
  <c r="AZ10" i="2"/>
  <c r="AU12" i="2"/>
  <c r="AV12" i="2"/>
  <c r="AY12" i="2"/>
  <c r="AZ12" i="2"/>
  <c r="AU22" i="2"/>
  <c r="AV22" i="2"/>
  <c r="AY22" i="2"/>
  <c r="AZ22" i="2"/>
  <c r="AU14" i="2"/>
  <c r="AV14" i="2"/>
  <c r="AY14" i="2"/>
  <c r="AZ14" i="2"/>
  <c r="AU31" i="2"/>
  <c r="AV31" i="2"/>
  <c r="AY31" i="2"/>
  <c r="AZ31" i="2"/>
  <c r="AU24" i="2"/>
  <c r="AV24" i="2"/>
  <c r="AY24" i="2"/>
  <c r="AZ24" i="2"/>
  <c r="AU19" i="2"/>
  <c r="AV19" i="2"/>
  <c r="AY19" i="2"/>
  <c r="AZ19" i="2"/>
  <c r="AU18" i="2"/>
  <c r="AV18" i="2"/>
  <c r="AY18" i="2"/>
  <c r="AZ18" i="2"/>
  <c r="AU27" i="2"/>
  <c r="AV27" i="2"/>
  <c r="AY27" i="2"/>
  <c r="AZ27" i="2"/>
  <c r="AU28" i="2"/>
  <c r="AV28" i="2"/>
  <c r="AY28" i="2"/>
  <c r="AZ28" i="2"/>
  <c r="AU30" i="2"/>
  <c r="AV30" i="2"/>
  <c r="AY30" i="2"/>
  <c r="AZ30" i="2"/>
  <c r="AU33" i="2"/>
  <c r="AV33" i="2"/>
  <c r="AY33" i="2"/>
  <c r="AZ33" i="2"/>
  <c r="AU25" i="2"/>
  <c r="AV25" i="2"/>
  <c r="AY25" i="2"/>
  <c r="AZ25" i="2"/>
  <c r="AU8" i="2"/>
  <c r="AV8" i="2"/>
  <c r="AY8" i="2"/>
  <c r="AZ8" i="2"/>
  <c r="AU5" i="2"/>
  <c r="AV5" i="2"/>
  <c r="AY5" i="2"/>
  <c r="AZ5" i="2"/>
  <c r="AU21" i="2"/>
  <c r="AV21" i="2"/>
  <c r="AY21" i="2"/>
  <c r="AZ21" i="2"/>
  <c r="AU20" i="2"/>
  <c r="AV20" i="2"/>
  <c r="AY20" i="2"/>
  <c r="AZ20"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O943" i="1" s="1"/>
  <c r="H944" i="1"/>
  <c r="H945" i="1"/>
  <c r="O945" i="1" s="1"/>
  <c r="H946" i="1"/>
  <c r="O946" i="1" s="1"/>
  <c r="H947" i="1"/>
  <c r="O947" i="1" s="1"/>
  <c r="H948" i="1"/>
  <c r="O948" i="1" s="1"/>
  <c r="H949" i="1"/>
  <c r="O949" i="1" s="1"/>
  <c r="H951" i="1"/>
  <c r="O951" i="1" s="1"/>
  <c r="H952" i="1"/>
  <c r="O952" i="1" s="1"/>
  <c r="H953" i="1"/>
  <c r="H954" i="1"/>
  <c r="H950" i="1"/>
  <c r="O950" i="1" s="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DF57" i="2" l="1"/>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Y17" i="9"/>
  <c r="BA15" i="9"/>
  <c r="AG24" i="9"/>
  <c r="AQ28" i="9"/>
  <c r="AN24"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AB9" i="11"/>
  <c r="T13" i="11"/>
  <c r="AF16" i="11"/>
  <c r="O5" i="11"/>
  <c r="E15" i="11"/>
  <c r="X9" i="11"/>
  <c r="V13" i="11"/>
  <c r="X15" i="11"/>
  <c r="AB16" i="11"/>
  <c r="T17" i="11"/>
  <c r="AG7" i="11"/>
  <c r="AG11" i="11"/>
  <c r="X10" i="11"/>
  <c r="M20" i="11"/>
  <c r="I28" i="11"/>
  <c r="AA32" i="11"/>
  <c r="G33" i="11"/>
  <c r="AF27" i="11"/>
  <c r="R28" i="11"/>
  <c r="P32" i="11"/>
  <c r="AB18" i="11"/>
  <c r="AE19" i="11"/>
  <c r="Q20" i="11"/>
  <c r="M22"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S9" i="9" s="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U12" i="9" s="1"/>
  <c r="AM396" i="1"/>
  <c r="AL396" i="1"/>
  <c r="AL380" i="1"/>
  <c r="AM380" i="1"/>
  <c r="AL363" i="1"/>
  <c r="AM363" i="1"/>
  <c r="AL347" i="1"/>
  <c r="AM347" i="1"/>
  <c r="AL331" i="1"/>
  <c r="AM331" i="1"/>
  <c r="AL315" i="1"/>
  <c r="AM315" i="1"/>
  <c r="AL299" i="1"/>
  <c r="AM299" i="1"/>
  <c r="AL283" i="1"/>
  <c r="AM283" i="1"/>
  <c r="AL267" i="1"/>
  <c r="AM267" i="1"/>
  <c r="AL251" i="1"/>
  <c r="AM251" i="1"/>
  <c r="AL235" i="1"/>
  <c r="AE23" i="9" s="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Q12" i="9" s="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Q8" i="9" s="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57"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01" i="1"/>
  <c r="AC595" i="1"/>
  <c r="AC577" i="1"/>
  <c r="AC553" i="1"/>
  <c r="AC547"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9" i="2"/>
  <c r="D31" i="2"/>
  <c r="AT7" i="4"/>
  <c r="D29" i="2"/>
  <c r="D15" i="2"/>
  <c r="D16" i="2"/>
  <c r="BL15" i="4"/>
  <c r="D14" i="2"/>
  <c r="D5" i="2"/>
  <c r="D17" i="2"/>
  <c r="D30" i="2"/>
  <c r="D25"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12" i="2"/>
  <c r="D8" i="2"/>
  <c r="D2" i="2"/>
  <c r="S22" i="1"/>
  <c r="Q8" i="2" s="1"/>
  <c r="S16" i="1"/>
  <c r="S28" i="2" s="1"/>
  <c r="S10" i="1"/>
  <c r="R2" i="2" s="1"/>
  <c r="S31" i="1"/>
  <c r="S11"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1" i="2"/>
  <c r="D57" i="4"/>
  <c r="BG54" i="4"/>
  <c r="D20" i="2"/>
  <c r="F27" i="4"/>
  <c r="D10" i="2"/>
  <c r="S3" i="1"/>
  <c r="S14" i="1"/>
  <c r="Q10" i="2" s="1"/>
  <c r="S8" i="1"/>
  <c r="Q5" i="2" s="1"/>
  <c r="S71" i="1"/>
  <c r="Q9" i="2" s="1"/>
  <c r="S47" i="1"/>
  <c r="R16" i="2" s="1"/>
  <c r="S35" i="1"/>
  <c r="R30" i="2" s="1"/>
  <c r="S29" i="1"/>
  <c r="R18" i="2" s="1"/>
  <c r="BH27" i="4"/>
  <c r="F23" i="4"/>
  <c r="AZ41" i="4"/>
  <c r="BN29" i="4"/>
  <c r="BM16" i="4"/>
  <c r="BL61" i="4"/>
  <c r="BH51" i="4"/>
  <c r="BH53" i="4"/>
  <c r="E16" i="4"/>
  <c r="E38" i="4"/>
  <c r="BM26" i="4"/>
  <c r="BG42" i="4"/>
  <c r="BD47" i="4"/>
  <c r="BL55" i="4"/>
  <c r="C34" i="4"/>
  <c r="D4" i="2"/>
  <c r="BN19" i="4"/>
  <c r="E18" i="4"/>
  <c r="D13" i="2"/>
  <c r="D24" i="2"/>
  <c r="D6" i="2"/>
  <c r="D26" i="2"/>
  <c r="D27" i="2"/>
  <c r="D32" i="2"/>
  <c r="S13" i="1"/>
  <c r="R22" i="2" s="1"/>
  <c r="S7" i="1"/>
  <c r="Q32" i="2" s="1"/>
  <c r="S82" i="1"/>
  <c r="Q3" i="2" s="1"/>
  <c r="S40" i="1"/>
  <c r="Z2" i="2" s="1"/>
  <c r="S34" i="1"/>
  <c r="Q24" i="2" s="1"/>
  <c r="D22" i="2"/>
  <c r="D28" i="2"/>
  <c r="D21" i="2"/>
  <c r="BJ17" i="4"/>
  <c r="D23" i="2"/>
  <c r="S24" i="1"/>
  <c r="S18" i="1"/>
  <c r="AA24"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5" i="2"/>
  <c r="W16" i="2"/>
  <c r="N3" i="2"/>
  <c r="U27" i="2"/>
  <c r="Y27" i="2"/>
  <c r="W19" i="2"/>
  <c r="O5" i="2"/>
  <c r="U20" i="2"/>
  <c r="W30" i="2"/>
  <c r="AA26" i="2"/>
  <c r="Z27" i="2"/>
  <c r="O3" i="2"/>
  <c r="U10" i="2"/>
  <c r="Y10" i="2"/>
  <c r="W11" i="2"/>
  <c r="Z10" i="2"/>
  <c r="V27" i="2"/>
  <c r="AA32" i="2"/>
  <c r="AA5" i="2"/>
  <c r="V10" i="2"/>
  <c r="O32" i="2"/>
  <c r="W27" i="2"/>
  <c r="V32" i="2"/>
  <c r="Y32" i="2"/>
  <c r="Z32" i="2"/>
  <c r="U32" i="2"/>
  <c r="W32" i="2"/>
  <c r="AA15" i="2"/>
  <c r="N9" i="2"/>
  <c r="W31" i="2"/>
  <c r="O9" i="2"/>
  <c r="M9" i="2"/>
  <c r="W29" i="2"/>
  <c r="O58" i="1"/>
  <c r="AD58" i="1" s="1"/>
  <c r="O26" i="1"/>
  <c r="AD26" i="1" s="1"/>
  <c r="O42" i="1"/>
  <c r="AD42" i="1" s="1"/>
  <c r="O45" i="1"/>
  <c r="AD45" i="1" s="1"/>
  <c r="O61" i="1"/>
  <c r="AD61" i="1" s="1"/>
  <c r="O29" i="1"/>
  <c r="AD29" i="1" s="1"/>
  <c r="O56" i="1"/>
  <c r="AD56" i="1" s="1"/>
  <c r="N19" i="2"/>
  <c r="W17" i="2"/>
  <c r="O27" i="1"/>
  <c r="AD27" i="1" s="1"/>
  <c r="O43" i="1"/>
  <c r="AD43" i="1" s="1"/>
  <c r="O59" i="1"/>
  <c r="AD59" i="1" s="1"/>
  <c r="U12" i="2"/>
  <c r="O52" i="1"/>
  <c r="AD52" i="1" s="1"/>
  <c r="Z15" i="2"/>
  <c r="O36" i="1"/>
  <c r="AD36" i="1" s="1"/>
  <c r="Z25" i="2"/>
  <c r="V22" i="2"/>
  <c r="AE66" i="4"/>
  <c r="O34" i="1"/>
  <c r="AD34" i="1" s="1"/>
  <c r="AA25" i="2"/>
  <c r="N4" i="2"/>
  <c r="M33" i="2"/>
  <c r="O50" i="1"/>
  <c r="AD50" i="1" s="1"/>
  <c r="N16" i="2"/>
  <c r="J65" i="4"/>
  <c r="W23" i="2"/>
  <c r="N20" i="2"/>
  <c r="V31" i="2"/>
  <c r="O46" i="1"/>
  <c r="AD46" i="1" s="1"/>
  <c r="N33" i="2"/>
  <c r="V15" i="2"/>
  <c r="N5" i="2"/>
  <c r="N30" i="2"/>
  <c r="N18" i="2"/>
  <c r="W33" i="2"/>
  <c r="O30" i="1"/>
  <c r="AD30" i="1" s="1"/>
  <c r="N6" i="2"/>
  <c r="N7" i="2"/>
  <c r="N14" i="2"/>
  <c r="U14" i="2"/>
  <c r="O11" i="2"/>
  <c r="O62" i="1"/>
  <c r="AD62" i="1" s="1"/>
  <c r="M11" i="2"/>
  <c r="U24" i="2"/>
  <c r="N28" i="2"/>
  <c r="V7" i="2"/>
  <c r="AH65" i="4"/>
  <c r="V8" i="2"/>
  <c r="V17" i="2"/>
  <c r="V14" i="2"/>
  <c r="V5" i="2"/>
  <c r="W15" i="2"/>
  <c r="V3" i="2"/>
  <c r="V16" i="2"/>
  <c r="W5" i="2"/>
  <c r="BO12" i="2"/>
  <c r="V11" i="2"/>
  <c r="W25" i="2"/>
  <c r="BN8" i="2"/>
  <c r="Y5" i="2"/>
  <c r="BN9" i="2"/>
  <c r="V6" i="2"/>
  <c r="BO10" i="2"/>
  <c r="V12" i="2"/>
  <c r="V4" i="2"/>
  <c r="BO18" i="2"/>
  <c r="N8" i="2"/>
  <c r="W22" i="2"/>
  <c r="BK62" i="4"/>
  <c r="W3" i="2"/>
  <c r="W2" i="2"/>
  <c r="W6" i="2"/>
  <c r="U7" i="2"/>
  <c r="W8" i="2"/>
  <c r="U8" i="2"/>
  <c r="W28" i="2"/>
  <c r="BO19" i="2"/>
  <c r="BN3" i="2"/>
  <c r="H7" i="2"/>
  <c r="I7" i="2" s="1"/>
  <c r="H27" i="2"/>
  <c r="I27" i="2" s="1"/>
  <c r="H13" i="2"/>
  <c r="I13" i="2" s="1"/>
  <c r="H12" i="2"/>
  <c r="I12" i="2" s="1"/>
  <c r="N13" i="2"/>
  <c r="N2" i="2"/>
  <c r="U15" i="2"/>
  <c r="U2" i="2"/>
  <c r="V29" i="2"/>
  <c r="V21" i="2"/>
  <c r="W24" i="2"/>
  <c r="W7" i="2"/>
  <c r="BN13" i="2"/>
  <c r="BO3" i="2"/>
  <c r="H31" i="2"/>
  <c r="I31" i="2" s="1"/>
  <c r="H29" i="2"/>
  <c r="I29" i="2" s="1"/>
  <c r="O17" i="2"/>
  <c r="M17" i="2"/>
  <c r="U11" i="2"/>
  <c r="U6" i="2"/>
  <c r="W14" i="2"/>
  <c r="BO28" i="2"/>
  <c r="BO14" i="2"/>
  <c r="H24" i="2"/>
  <c r="I24" i="2" s="1"/>
  <c r="U29" i="2"/>
  <c r="U21" i="2"/>
  <c r="V24" i="2"/>
  <c r="W4" i="2"/>
  <c r="Y25" i="2"/>
  <c r="BO9" i="2"/>
  <c r="BO22" i="2"/>
  <c r="BN32" i="2"/>
  <c r="H3" i="2"/>
  <c r="I3" i="2" s="1"/>
  <c r="BN23" i="2"/>
  <c r="H19" i="2"/>
  <c r="I19" i="2" s="1"/>
  <c r="M26" i="2"/>
  <c r="BO33" i="2"/>
  <c r="H8" i="2"/>
  <c r="I8" i="2" s="1"/>
  <c r="H18" i="2"/>
  <c r="I18" i="2" s="1"/>
  <c r="T17" i="2"/>
  <c r="N11" i="2"/>
  <c r="U5" i="2"/>
  <c r="U4" i="2"/>
  <c r="V25" i="2"/>
  <c r="T18" i="2"/>
  <c r="H23" i="2"/>
  <c r="I23" i="2" s="1"/>
  <c r="L25" i="2"/>
  <c r="N26" i="2"/>
  <c r="U17" i="2"/>
  <c r="V30" i="2"/>
  <c r="W9" i="2"/>
  <c r="W18" i="2"/>
  <c r="BN21" i="2"/>
  <c r="H5" i="2"/>
  <c r="I5" i="2" s="1"/>
  <c r="M15" i="2"/>
  <c r="U25" i="2"/>
  <c r="V28" i="2"/>
  <c r="H20" i="2"/>
  <c r="I20" i="2" s="1"/>
  <c r="O4" i="2"/>
  <c r="U30" i="2"/>
  <c r="V9" i="2"/>
  <c r="V18" i="2"/>
  <c r="W20" i="2"/>
  <c r="BN28" i="2"/>
  <c r="BO32" i="2"/>
  <c r="M20" i="2"/>
  <c r="U31" i="2"/>
  <c r="U28" i="2"/>
  <c r="Y15" i="2"/>
  <c r="U9" i="2"/>
  <c r="U18" i="2"/>
  <c r="V20" i="2"/>
  <c r="H4" i="2"/>
  <c r="I4" i="2" s="1"/>
  <c r="BO5" i="2"/>
  <c r="H32" i="2"/>
  <c r="I32" i="2" s="1"/>
  <c r="H22" i="2"/>
  <c r="I22" i="2" s="1"/>
  <c r="U3" i="2"/>
  <c r="U22" i="2"/>
  <c r="V33" i="2"/>
  <c r="V23" i="2"/>
  <c r="BN10" i="2"/>
  <c r="BO23" i="2"/>
  <c r="H10" i="2"/>
  <c r="I10" i="2" s="1"/>
  <c r="H21" i="2"/>
  <c r="I21" i="2" s="1"/>
  <c r="M6" i="2"/>
  <c r="V19" i="2"/>
  <c r="BN6" i="2"/>
  <c r="H11" i="2"/>
  <c r="I11" i="2" s="1"/>
  <c r="Z13" i="2"/>
  <c r="N31" i="2"/>
  <c r="N22" i="2"/>
  <c r="U33" i="2"/>
  <c r="U23" i="2"/>
  <c r="V2" i="2"/>
  <c r="BO27" i="2"/>
  <c r="BO20" i="2"/>
  <c r="BO8" i="2"/>
  <c r="BN12" i="2"/>
  <c r="O51" i="1"/>
  <c r="AD51" i="1" s="1"/>
  <c r="H14" i="2"/>
  <c r="I14" i="2" s="1"/>
  <c r="H25" i="2"/>
  <c r="I25" i="2" s="1"/>
  <c r="H16" i="2"/>
  <c r="I16" i="2" s="1"/>
  <c r="H15" i="2"/>
  <c r="I15" i="2" s="1"/>
  <c r="H33" i="2"/>
  <c r="I33" i="2" s="1"/>
  <c r="H30" i="2"/>
  <c r="I30" i="2" s="1"/>
  <c r="U16" i="2"/>
  <c r="U19" i="2"/>
  <c r="W12" i="2"/>
  <c r="W26" i="2"/>
  <c r="Y26" i="2"/>
  <c r="U26" i="2"/>
  <c r="V26" i="2"/>
  <c r="W13" i="2"/>
  <c r="U13" i="2"/>
  <c r="Y13" i="2"/>
  <c r="V13" i="2"/>
  <c r="Z26" i="2"/>
  <c r="H28" i="2"/>
  <c r="I28" i="2" s="1"/>
  <c r="M23" i="2"/>
  <c r="N23" i="2"/>
  <c r="AA13" i="2"/>
  <c r="Z5" i="2"/>
  <c r="M10" i="2"/>
  <c r="M29" i="2"/>
  <c r="O29" i="2"/>
  <c r="BO30" i="2"/>
  <c r="BN27" i="2"/>
  <c r="BO31" i="2"/>
  <c r="BN14" i="2"/>
  <c r="BO24" i="2"/>
  <c r="BO17" i="2"/>
  <c r="BO29" i="2"/>
  <c r="T29" i="2"/>
  <c r="M5" i="2"/>
  <c r="M4" i="2"/>
  <c r="N17" i="2"/>
  <c r="O25" i="2"/>
  <c r="O28" i="1"/>
  <c r="AD28" i="1" s="1"/>
  <c r="L3" i="2"/>
  <c r="BN5" i="2"/>
  <c r="BN24" i="2"/>
  <c r="BN17" i="2"/>
  <c r="BN29" i="2"/>
  <c r="T19" i="2"/>
  <c r="T23" i="2"/>
  <c r="M8" i="2"/>
  <c r="N25" i="2"/>
  <c r="O31" i="2"/>
  <c r="O30" i="2"/>
  <c r="L20" i="2"/>
  <c r="BN33" i="2"/>
  <c r="L18" i="2"/>
  <c r="BN22" i="2"/>
  <c r="BO7" i="2"/>
  <c r="BO4" i="2"/>
  <c r="L15" i="2"/>
  <c r="T24" i="2"/>
  <c r="T26" i="2"/>
  <c r="M25" i="2"/>
  <c r="O28" i="2"/>
  <c r="BO6" i="2"/>
  <c r="L16" i="2"/>
  <c r="L8" i="2"/>
  <c r="L31" i="2"/>
  <c r="BN7" i="2"/>
  <c r="BN4" i="2"/>
  <c r="L23" i="2"/>
  <c r="T31" i="2"/>
  <c r="M31" i="2"/>
  <c r="M30" i="2"/>
  <c r="O13" i="2"/>
  <c r="O18" i="2"/>
  <c r="L28" i="2"/>
  <c r="L10" i="2"/>
  <c r="BO2" i="2"/>
  <c r="L30" i="2"/>
  <c r="L12" i="2"/>
  <c r="T3" i="2"/>
  <c r="T14" i="2"/>
  <c r="M28" i="2"/>
  <c r="O22" i="2"/>
  <c r="BN2" i="2"/>
  <c r="BO21" i="2"/>
  <c r="L9" i="2"/>
  <c r="L13" i="2"/>
  <c r="BO11" i="2"/>
  <c r="T2" i="2"/>
  <c r="T22" i="2"/>
  <c r="M13" i="2"/>
  <c r="M18" i="2"/>
  <c r="O20" i="2"/>
  <c r="O10" i="2"/>
  <c r="BO25" i="2"/>
  <c r="BN19" i="2"/>
  <c r="BN11" i="2"/>
  <c r="T6" i="2"/>
  <c r="T12" i="2"/>
  <c r="M22" i="2"/>
  <c r="N10" i="2"/>
  <c r="O33" i="2"/>
  <c r="O23" i="2"/>
  <c r="L6" i="2"/>
  <c r="BN25" i="2"/>
  <c r="BO16" i="2"/>
  <c r="T20" i="2"/>
  <c r="T10" i="2"/>
  <c r="O16" i="2"/>
  <c r="O19" i="2"/>
  <c r="H6" i="2"/>
  <c r="I6" i="2" s="1"/>
  <c r="L5" i="2"/>
  <c r="L24" i="2"/>
  <c r="BN16" i="2"/>
  <c r="L17" i="2"/>
  <c r="L29" i="2"/>
  <c r="T21" i="2"/>
  <c r="T7" i="2"/>
  <c r="O15" i="2"/>
  <c r="O2" i="2"/>
  <c r="L33" i="2"/>
  <c r="L22" i="2"/>
  <c r="T5" i="2"/>
  <c r="T16" i="2"/>
  <c r="M16" i="2"/>
  <c r="M19" i="2"/>
  <c r="O6" i="2"/>
  <c r="H9" i="2"/>
  <c r="I9" i="2" s="1"/>
  <c r="L7" i="2"/>
  <c r="L4" i="2"/>
  <c r="BO15" i="2"/>
  <c r="T8" i="2"/>
  <c r="T4" i="2"/>
  <c r="M2" i="2"/>
  <c r="O21" i="2"/>
  <c r="F9" i="2"/>
  <c r="G9" i="2" s="1"/>
  <c r="BN20" i="2"/>
  <c r="BN18" i="2"/>
  <c r="BN15" i="2"/>
  <c r="T25" i="2"/>
  <c r="T13" i="2"/>
  <c r="N29" i="2"/>
  <c r="N21" i="2"/>
  <c r="O26" i="2"/>
  <c r="O12" i="2"/>
  <c r="L2" i="2"/>
  <c r="BN31" i="2"/>
  <c r="T33" i="2"/>
  <c r="T32" i="2"/>
  <c r="M21" i="2"/>
  <c r="N12" i="2"/>
  <c r="O24" i="2"/>
  <c r="O7" i="2"/>
  <c r="H2" i="2"/>
  <c r="L21" i="2"/>
  <c r="BN30" i="2"/>
  <c r="L19" i="2"/>
  <c r="BO13" i="2"/>
  <c r="L11" i="2"/>
  <c r="T30" i="2"/>
  <c r="M12" i="2"/>
  <c r="O14" i="2"/>
  <c r="L14" i="2"/>
  <c r="T28" i="2"/>
  <c r="T15" i="2"/>
  <c r="M24" i="2"/>
  <c r="M7" i="2"/>
  <c r="N32" i="2"/>
  <c r="T27" i="2"/>
  <c r="T11" i="2"/>
  <c r="M32" i="2"/>
  <c r="M14" i="2"/>
  <c r="O8" i="2"/>
  <c r="M27" i="2"/>
  <c r="T9" i="2"/>
  <c r="N27" i="2"/>
  <c r="O27" i="2"/>
  <c r="BC5" i="2"/>
  <c r="L27" i="2"/>
  <c r="BC25" i="2"/>
  <c r="F21" i="2"/>
  <c r="G21" i="2" s="1"/>
  <c r="F28" i="2"/>
  <c r="G28" i="2" s="1"/>
  <c r="F14" i="2"/>
  <c r="F16" i="2"/>
  <c r="F32" i="2"/>
  <c r="G32" i="2" s="1"/>
  <c r="H17" i="2"/>
  <c r="I17" i="2" s="1"/>
  <c r="F5" i="2"/>
  <c r="G5" i="2" s="1"/>
  <c r="F27" i="2"/>
  <c r="G27" i="2" s="1"/>
  <c r="F22" i="2"/>
  <c r="G22" i="2" s="1"/>
  <c r="F4" i="2"/>
  <c r="G4" i="2" s="1"/>
  <c r="F17" i="2"/>
  <c r="G17" i="2" s="1"/>
  <c r="F15" i="2"/>
  <c r="G15" i="2" s="1"/>
  <c r="F3" i="2"/>
  <c r="G3" i="2" s="1"/>
  <c r="F8" i="2"/>
  <c r="G8" i="2" s="1"/>
  <c r="F18" i="2"/>
  <c r="G18" i="2" s="1"/>
  <c r="F12" i="2"/>
  <c r="G12" i="2" s="1"/>
  <c r="F13" i="2"/>
  <c r="G13" i="2" s="1"/>
  <c r="F11" i="2"/>
  <c r="G11" i="2" s="1"/>
  <c r="F2" i="2"/>
  <c r="F25" i="2"/>
  <c r="G25" i="2" s="1"/>
  <c r="F19" i="2"/>
  <c r="G19" i="2" s="1"/>
  <c r="F10" i="2"/>
  <c r="G10" i="2" s="1"/>
  <c r="F29" i="2"/>
  <c r="G29" i="2" s="1"/>
  <c r="F6" i="2"/>
  <c r="G6" i="2" s="1"/>
  <c r="F33" i="2"/>
  <c r="G33" i="2" s="1"/>
  <c r="F24" i="2"/>
  <c r="G24" i="2" s="1"/>
  <c r="F7" i="2"/>
  <c r="G7" i="2" s="1"/>
  <c r="F23" i="2"/>
  <c r="G23" i="2" s="1"/>
  <c r="F20" i="2"/>
  <c r="G20" i="2" s="1"/>
  <c r="F30" i="2"/>
  <c r="G30" i="2" s="1"/>
  <c r="F31" i="2"/>
  <c r="G31" i="2" s="1"/>
  <c r="BA25" i="2"/>
  <c r="BB24" i="2"/>
  <c r="BA20" i="2"/>
  <c r="L32" i="2"/>
  <c r="AW33" i="2"/>
  <c r="BC23" i="2"/>
  <c r="AW3" i="2"/>
  <c r="BB21" i="2"/>
  <c r="BC30" i="2"/>
  <c r="BA3" i="2"/>
  <c r="BB5" i="2"/>
  <c r="BC8" i="2"/>
  <c r="AW24" i="2"/>
  <c r="AW6" i="2"/>
  <c r="BC20" i="2"/>
  <c r="BA5" i="2"/>
  <c r="BB4" i="2"/>
  <c r="AW17" i="2"/>
  <c r="AW15" i="2"/>
  <c r="BB11" i="2"/>
  <c r="AW30" i="2"/>
  <c r="BB27" i="2"/>
  <c r="BC31" i="2"/>
  <c r="AW10" i="2"/>
  <c r="BB22" i="2"/>
  <c r="BC9" i="2"/>
  <c r="BA16" i="2"/>
  <c r="AW32" i="2"/>
  <c r="BC21" i="2"/>
  <c r="BC28" i="2"/>
  <c r="BC14" i="2"/>
  <c r="BA12" i="2"/>
  <c r="AW7" i="2"/>
  <c r="BB9" i="2"/>
  <c r="BB17" i="2"/>
  <c r="BC29" i="2"/>
  <c r="AW9" i="2"/>
  <c r="BA17" i="2"/>
  <c r="AW28" i="2"/>
  <c r="AW18" i="2"/>
  <c r="BB14" i="2"/>
  <c r="BA7" i="2"/>
  <c r="BC13" i="2"/>
  <c r="BA13" i="2"/>
  <c r="AW23" i="2"/>
  <c r="BB6" i="2"/>
  <c r="BC2" i="2"/>
  <c r="BA6" i="2"/>
  <c r="AW20" i="2"/>
  <c r="BB28" i="2"/>
  <c r="AW27" i="2"/>
  <c r="AW19" i="2"/>
  <c r="BA29" i="2"/>
  <c r="BA24" i="2"/>
  <c r="AW31" i="2"/>
  <c r="BB7" i="2"/>
  <c r="AW16" i="2"/>
  <c r="BA4" i="2"/>
  <c r="BA15" i="2"/>
  <c r="AW11" i="2"/>
  <c r="BA8" i="2"/>
  <c r="BB3" i="2"/>
  <c r="AW25" i="2"/>
  <c r="BB33" i="2"/>
  <c r="BA28" i="2"/>
  <c r="BA19" i="2"/>
  <c r="BC22" i="2"/>
  <c r="BB12" i="2"/>
  <c r="BA23" i="2"/>
  <c r="BB20" i="2"/>
  <c r="BA21" i="2"/>
  <c r="AW5" i="2"/>
  <c r="BB8" i="2"/>
  <c r="BA33" i="2"/>
  <c r="BA30" i="2"/>
  <c r="BC19" i="2"/>
  <c r="BA14" i="2"/>
  <c r="BA10" i="2"/>
  <c r="BC16" i="2"/>
  <c r="AW4" i="2"/>
  <c r="AW13" i="2"/>
  <c r="BA32" i="2"/>
  <c r="BC11" i="2"/>
  <c r="BB29" i="2"/>
  <c r="BC3" i="2"/>
  <c r="BA27" i="2"/>
  <c r="BC18" i="2"/>
  <c r="BC10" i="2"/>
  <c r="BC32" i="2"/>
  <c r="BC15" i="2"/>
  <c r="BA11" i="2"/>
  <c r="AW29" i="2"/>
  <c r="AW2" i="2"/>
  <c r="BA2" i="2"/>
  <c r="AW21" i="2"/>
  <c r="BA18" i="2"/>
  <c r="BA31" i="2"/>
  <c r="BA22" i="2"/>
  <c r="BC12" i="2"/>
  <c r="AW8" i="2"/>
  <c r="BC27" i="2"/>
  <c r="AW12" i="2"/>
  <c r="BA9" i="2"/>
  <c r="BB16" i="2"/>
  <c r="BC4" i="2"/>
  <c r="BB23" i="2"/>
  <c r="BB2" i="2"/>
  <c r="BC6" i="2"/>
  <c r="BB25" i="2"/>
  <c r="BC33" i="2"/>
  <c r="BB19" i="2"/>
  <c r="BC24" i="2"/>
  <c r="BB10" i="2"/>
  <c r="BC7" i="2"/>
  <c r="BB32" i="2"/>
  <c r="BC17" i="2"/>
  <c r="BB18" i="2"/>
  <c r="BB13" i="2"/>
  <c r="AW14" i="2"/>
  <c r="BB30" i="2"/>
  <c r="BB31" i="2"/>
  <c r="AW22" i="2"/>
  <c r="BB15"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3"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Q23" i="11" l="1"/>
  <c r="W17" i="1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3" i="2"/>
  <c r="BJ5" i="2"/>
  <c r="BJ32" i="2"/>
  <c r="BJ25" i="2"/>
  <c r="BJ10" i="2"/>
  <c r="BJ26"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7"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3" i="2"/>
  <c r="BH32" i="2"/>
  <c r="BH10" i="2"/>
  <c r="AD225" i="1"/>
  <c r="AD164" i="1"/>
  <c r="BH15" i="2"/>
  <c r="AD168" i="1"/>
  <c r="AC170" i="1"/>
  <c r="AC156" i="1"/>
  <c r="AA19" i="2"/>
  <c r="AI19" i="2" s="1"/>
  <c r="AC231" i="1"/>
  <c r="BH27" i="2"/>
  <c r="AD239" i="1"/>
  <c r="AC236" i="1"/>
  <c r="AC150" i="1"/>
  <c r="AC122" i="1"/>
  <c r="BD20" i="1"/>
  <c r="AD123" i="1"/>
  <c r="AC102" i="1"/>
  <c r="BH5"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7" i="7"/>
  <c r="L11" i="7"/>
  <c r="L7"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7" i="7"/>
  <c r="X7" i="7"/>
  <c r="M7" i="7"/>
  <c r="S7" i="7"/>
  <c r="Y7" i="7"/>
  <c r="N7" i="7"/>
  <c r="T7" i="7"/>
  <c r="P7" i="7"/>
  <c r="V7" i="7"/>
  <c r="O7" i="7"/>
  <c r="Q7" i="7"/>
  <c r="U7" i="7"/>
  <c r="W7"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7" i="7"/>
  <c r="AQ7" i="7"/>
  <c r="BG7" i="7"/>
  <c r="BW7" i="7"/>
  <c r="CM7" i="7"/>
  <c r="DC7" i="7"/>
  <c r="DS7" i="7"/>
  <c r="EI7" i="7"/>
  <c r="EY7" i="7"/>
  <c r="FO7" i="7"/>
  <c r="GE7" i="7"/>
  <c r="GU7" i="7"/>
  <c r="AB7" i="7"/>
  <c r="AR7" i="7"/>
  <c r="BH7" i="7"/>
  <c r="BX7" i="7"/>
  <c r="CN7" i="7"/>
  <c r="DD7" i="7"/>
  <c r="DT7" i="7"/>
  <c r="EJ7" i="7"/>
  <c r="EZ7" i="7"/>
  <c r="FP7" i="7"/>
  <c r="GF7" i="7"/>
  <c r="AC7" i="7"/>
  <c r="BI7" i="7"/>
  <c r="BY7" i="7"/>
  <c r="CO7" i="7"/>
  <c r="DE7" i="7"/>
  <c r="DU7" i="7"/>
  <c r="EK7" i="7"/>
  <c r="FA7" i="7"/>
  <c r="FQ7" i="7"/>
  <c r="GG7" i="7"/>
  <c r="AD7" i="7"/>
  <c r="AT7" i="7"/>
  <c r="BJ7" i="7"/>
  <c r="BZ7" i="7"/>
  <c r="CP7" i="7"/>
  <c r="DF7" i="7"/>
  <c r="DV7" i="7"/>
  <c r="EL7" i="7"/>
  <c r="FB7" i="7"/>
  <c r="FR7" i="7"/>
  <c r="GH7" i="7"/>
  <c r="AE7" i="7"/>
  <c r="AU7" i="7"/>
  <c r="BK7" i="7"/>
  <c r="CA7" i="7"/>
  <c r="CQ7" i="7"/>
  <c r="DG7" i="7"/>
  <c r="DW7" i="7"/>
  <c r="EM7" i="7"/>
  <c r="FC7" i="7"/>
  <c r="FS7" i="7"/>
  <c r="GI7" i="7"/>
  <c r="AF7" i="7"/>
  <c r="AV7" i="7"/>
  <c r="BL7" i="7"/>
  <c r="CB7" i="7"/>
  <c r="CR7" i="7"/>
  <c r="DH7" i="7"/>
  <c r="DX7" i="7"/>
  <c r="EN7" i="7"/>
  <c r="FD7" i="7"/>
  <c r="FT7" i="7"/>
  <c r="GJ7" i="7"/>
  <c r="AG7" i="7"/>
  <c r="AW7" i="7"/>
  <c r="BM7" i="7"/>
  <c r="CC7" i="7"/>
  <c r="CS7" i="7"/>
  <c r="DI7" i="7"/>
  <c r="DY7" i="7"/>
  <c r="EO7" i="7"/>
  <c r="FE7" i="7"/>
  <c r="FU7" i="7"/>
  <c r="GK7" i="7"/>
  <c r="AH7" i="7"/>
  <c r="AX7" i="7"/>
  <c r="BN7" i="7"/>
  <c r="CD7" i="7"/>
  <c r="CT7" i="7"/>
  <c r="DJ7" i="7"/>
  <c r="DZ7" i="7"/>
  <c r="EP7" i="7"/>
  <c r="FF7" i="7"/>
  <c r="FV7" i="7"/>
  <c r="GL7" i="7"/>
  <c r="AI7" i="7"/>
  <c r="AY7" i="7"/>
  <c r="BO7" i="7"/>
  <c r="CE7" i="7"/>
  <c r="CU7" i="7"/>
  <c r="DK7" i="7"/>
  <c r="EA7" i="7"/>
  <c r="EQ7" i="7"/>
  <c r="FG7" i="7"/>
  <c r="FW7" i="7"/>
  <c r="GM7" i="7"/>
  <c r="AJ7" i="7"/>
  <c r="AZ7" i="7"/>
  <c r="BP7" i="7"/>
  <c r="CF7" i="7"/>
  <c r="CV7" i="7"/>
  <c r="DL7" i="7"/>
  <c r="EB7" i="7"/>
  <c r="ER7" i="7"/>
  <c r="FH7" i="7"/>
  <c r="FX7" i="7"/>
  <c r="GN7" i="7"/>
  <c r="AK7" i="7"/>
  <c r="BA7" i="7"/>
  <c r="BQ7" i="7"/>
  <c r="CG7" i="7"/>
  <c r="CW7" i="7"/>
  <c r="DM7" i="7"/>
  <c r="EC7" i="7"/>
  <c r="ES7" i="7"/>
  <c r="FI7" i="7"/>
  <c r="FY7" i="7"/>
  <c r="GO7" i="7"/>
  <c r="AL7" i="7"/>
  <c r="BB7" i="7"/>
  <c r="BR7" i="7"/>
  <c r="CH7" i="7"/>
  <c r="CX7" i="7"/>
  <c r="DN7" i="7"/>
  <c r="ED7" i="7"/>
  <c r="ET7" i="7"/>
  <c r="FJ7" i="7"/>
  <c r="FZ7" i="7"/>
  <c r="GP7" i="7"/>
  <c r="AM7" i="7"/>
  <c r="BC7" i="7"/>
  <c r="BS7" i="7"/>
  <c r="CI7" i="7"/>
  <c r="CY7" i="7"/>
  <c r="DO7" i="7"/>
  <c r="EE7" i="7"/>
  <c r="EU7" i="7"/>
  <c r="FK7" i="7"/>
  <c r="GA7" i="7"/>
  <c r="GQ7"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7" i="7"/>
  <c r="BD7" i="7"/>
  <c r="BT7" i="7"/>
  <c r="CJ7" i="7"/>
  <c r="CZ7" i="7"/>
  <c r="DP7" i="7"/>
  <c r="EF7" i="7"/>
  <c r="EV7" i="7"/>
  <c r="FL7" i="7"/>
  <c r="GB7" i="7"/>
  <c r="GR7" i="7"/>
  <c r="AO7" i="7"/>
  <c r="BE7" i="7"/>
  <c r="BU7" i="7"/>
  <c r="CK7" i="7"/>
  <c r="DA7" i="7"/>
  <c r="DQ7" i="7"/>
  <c r="EG7" i="7"/>
  <c r="EW7" i="7"/>
  <c r="FM7" i="7"/>
  <c r="GC7" i="7"/>
  <c r="GS7" i="7"/>
  <c r="Z7" i="7"/>
  <c r="AP7" i="7"/>
  <c r="BF7" i="7"/>
  <c r="BV7" i="7"/>
  <c r="CL7" i="7"/>
  <c r="DB7" i="7"/>
  <c r="DR7" i="7"/>
  <c r="EH7" i="7"/>
  <c r="EX7" i="7"/>
  <c r="FN7" i="7"/>
  <c r="GD7" i="7"/>
  <c r="GT7"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1" i="2"/>
  <c r="R10" i="2"/>
  <c r="AG10" i="2" s="1"/>
  <c r="Z28" i="2"/>
  <c r="S10" i="2"/>
  <c r="AI10" i="2" s="1"/>
  <c r="Z9" i="2"/>
  <c r="Q16" i="2"/>
  <c r="S20" i="2"/>
  <c r="BK20" i="2" s="1"/>
  <c r="R11" i="2"/>
  <c r="BK11" i="2" s="1"/>
  <c r="Y28" i="2"/>
  <c r="Q19" i="2"/>
  <c r="S16" i="2"/>
  <c r="BK16" i="2" s="1"/>
  <c r="AA28" i="2"/>
  <c r="AI28" i="2" s="1"/>
  <c r="S30" i="2"/>
  <c r="BK30" i="2" s="1"/>
  <c r="Q30" i="2"/>
  <c r="R9" i="2"/>
  <c r="Y21" i="2"/>
  <c r="S9" i="2"/>
  <c r="S32" i="2"/>
  <c r="AI32" i="2" s="1"/>
  <c r="R32" i="2"/>
  <c r="AG32" i="2" s="1"/>
  <c r="R5" i="2"/>
  <c r="AG5" i="2" s="1"/>
  <c r="R19" i="2"/>
  <c r="BK19" i="2" s="1"/>
  <c r="R14" i="2"/>
  <c r="S33" i="2"/>
  <c r="AI33" i="2" s="1"/>
  <c r="Q33" i="2"/>
  <c r="AA8" i="2"/>
  <c r="S5" i="2"/>
  <c r="AI5" i="2" s="1"/>
  <c r="AA16" i="2"/>
  <c r="R28" i="2"/>
  <c r="BK28" i="2" s="1"/>
  <c r="Z24" i="2"/>
  <c r="BJ24" i="2" s="1"/>
  <c r="AA11" i="2"/>
  <c r="AI11" i="2" s="1"/>
  <c r="Y11" i="2"/>
  <c r="R8" i="2"/>
  <c r="S8" i="2"/>
  <c r="Z11" i="2"/>
  <c r="Y22" i="2"/>
  <c r="AF23" i="2"/>
  <c r="S31" i="2"/>
  <c r="S3" i="2"/>
  <c r="Y4" i="2"/>
  <c r="R31" i="2"/>
  <c r="Q31" i="2"/>
  <c r="BO53" i="5"/>
  <c r="R3" i="2"/>
  <c r="CH6" i="2"/>
  <c r="CH5" i="2"/>
  <c r="AD24" i="2"/>
  <c r="AH10" i="2"/>
  <c r="AH4" i="2"/>
  <c r="Y16" i="2"/>
  <c r="Z8" i="2"/>
  <c r="BO46" i="5"/>
  <c r="AH26" i="2"/>
  <c r="Y29" i="2"/>
  <c r="Z22" i="2"/>
  <c r="AG22" i="2" s="1"/>
  <c r="S24" i="2"/>
  <c r="AI24" i="2" s="1"/>
  <c r="Q28" i="2"/>
  <c r="Z16" i="2"/>
  <c r="Z21" i="2"/>
  <c r="AA21" i="2"/>
  <c r="S21" i="2"/>
  <c r="Q18" i="2"/>
  <c r="AA4" i="2"/>
  <c r="R21" i="2"/>
  <c r="AA22" i="2"/>
  <c r="Q20" i="2"/>
  <c r="S18" i="2"/>
  <c r="BK18" i="2" s="1"/>
  <c r="R24" i="2"/>
  <c r="Q14" i="2"/>
  <c r="AA29" i="2"/>
  <c r="Q21" i="2"/>
  <c r="AD20" i="2"/>
  <c r="Y8" i="2"/>
  <c r="AE8" i="2" s="1"/>
  <c r="Y24" i="2"/>
  <c r="AE24" i="2" s="1"/>
  <c r="Z4" i="2"/>
  <c r="S12" i="2"/>
  <c r="Z29" i="2"/>
  <c r="BO14" i="5"/>
  <c r="Q12" i="2"/>
  <c r="S14" i="2"/>
  <c r="BO11" i="5"/>
  <c r="AA3" i="2"/>
  <c r="BO8" i="5"/>
  <c r="CB3" i="2"/>
  <c r="CB12" i="2" s="1"/>
  <c r="BO60" i="5"/>
  <c r="BO17" i="5"/>
  <c r="BO3" i="5"/>
  <c r="BO50" i="5"/>
  <c r="BO19" i="5"/>
  <c r="BO33" i="5"/>
  <c r="BO24" i="5"/>
  <c r="AF11" i="2"/>
  <c r="BO10" i="5"/>
  <c r="Z6"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3" i="2"/>
  <c r="AG13" i="2" s="1"/>
  <c r="BO26" i="5"/>
  <c r="BO22" i="5"/>
  <c r="BO62" i="5"/>
  <c r="BO38" i="5"/>
  <c r="BO47" i="5"/>
  <c r="BO32" i="5"/>
  <c r="BO57" i="5"/>
  <c r="BO51" i="5"/>
  <c r="BO52" i="5"/>
  <c r="BO18" i="5"/>
  <c r="BO34" i="5"/>
  <c r="BO28" i="5"/>
  <c r="BO39" i="5"/>
  <c r="BO12" i="5"/>
  <c r="BO7" i="5"/>
  <c r="BO6" i="5"/>
  <c r="BO4" i="5"/>
  <c r="BO56" i="5"/>
  <c r="BO58" i="5"/>
  <c r="BO64" i="5"/>
  <c r="BO63" i="5"/>
  <c r="Z23" i="2"/>
  <c r="AG23" i="2" s="1"/>
  <c r="Z18" i="2"/>
  <c r="AG18" i="2" s="1"/>
  <c r="Y23" i="2"/>
  <c r="Y18" i="2"/>
  <c r="Y3" i="2"/>
  <c r="AE3" i="2" s="1"/>
  <c r="AA2" i="2"/>
  <c r="BJ2" i="2" s="1"/>
  <c r="AA18" i="2"/>
  <c r="Y2" i="2"/>
  <c r="Q6" i="2"/>
  <c r="Q22" i="2"/>
  <c r="R12" i="2"/>
  <c r="AA23" i="2"/>
  <c r="S7" i="2"/>
  <c r="BK7" i="2" s="1"/>
  <c r="BO42" i="5"/>
  <c r="S22" i="2"/>
  <c r="BK22" i="2" s="1"/>
  <c r="Q7" i="2"/>
  <c r="Z3" i="2"/>
  <c r="R6" i="2"/>
  <c r="BK6" i="2" s="1"/>
  <c r="BO21" i="5"/>
  <c r="S25" i="2"/>
  <c r="AI25" i="2" s="1"/>
  <c r="AH17" i="2"/>
  <c r="AF27" i="2"/>
  <c r="AH19" i="2"/>
  <c r="AD14" i="2"/>
  <c r="AH16" i="2"/>
  <c r="AH12" i="2"/>
  <c r="AF17" i="2"/>
  <c r="AB29" i="2"/>
  <c r="AB6" i="2"/>
  <c r="AB32" i="2"/>
  <c r="AF10" i="2"/>
  <c r="AH29" i="2"/>
  <c r="AH6" i="2"/>
  <c r="AF29" i="2"/>
  <c r="AB19" i="2"/>
  <c r="AD22" i="2"/>
  <c r="AD8" i="2"/>
  <c r="AH13" i="2"/>
  <c r="AH15" i="2"/>
  <c r="AD31" i="2"/>
  <c r="AB14" i="2"/>
  <c r="AB23" i="2"/>
  <c r="AB7" i="2"/>
  <c r="AD32" i="2"/>
  <c r="AD13" i="2"/>
  <c r="AH21" i="2"/>
  <c r="AE5" i="2"/>
  <c r="AD2" i="2"/>
  <c r="AH20" i="2"/>
  <c r="AD28" i="2"/>
  <c r="AF25" i="2"/>
  <c r="AF12" i="2"/>
  <c r="AD18" i="2"/>
  <c r="AH11" i="2"/>
  <c r="AB26" i="2"/>
  <c r="AD19" i="2"/>
  <c r="AB17" i="2"/>
  <c r="AH2" i="2"/>
  <c r="AF31" i="2"/>
  <c r="AD4" i="2"/>
  <c r="AD27" i="2"/>
  <c r="AD21" i="2"/>
  <c r="AH28" i="2"/>
  <c r="AE10" i="2"/>
  <c r="AD16" i="2"/>
  <c r="AH30" i="2"/>
  <c r="AD15" i="2"/>
  <c r="AB24" i="2"/>
  <c r="AB22" i="2"/>
  <c r="AD29" i="2"/>
  <c r="AD5" i="2"/>
  <c r="AH23" i="2"/>
  <c r="AH18" i="2"/>
  <c r="AD10" i="2"/>
  <c r="AD23" i="2"/>
  <c r="AE32" i="2"/>
  <c r="AB21" i="2"/>
  <c r="AF8" i="2"/>
  <c r="AH25" i="2"/>
  <c r="AH7" i="2"/>
  <c r="AF32" i="2"/>
  <c r="AB27" i="2"/>
  <c r="AH8" i="2"/>
  <c r="AD7" i="2"/>
  <c r="AD12" i="2"/>
  <c r="AF21" i="2"/>
  <c r="AH33" i="2"/>
  <c r="AD25" i="2"/>
  <c r="AD30" i="2"/>
  <c r="AB18" i="2"/>
  <c r="AH31" i="2"/>
  <c r="AH14" i="2"/>
  <c r="AB4" i="2"/>
  <c r="AH22" i="2"/>
  <c r="AD6" i="2"/>
  <c r="AF22" i="2"/>
  <c r="AH24" i="2"/>
  <c r="AB2" i="2"/>
  <c r="AB13" i="2"/>
  <c r="AB28" i="2"/>
  <c r="AB20" i="2"/>
  <c r="AF13" i="2"/>
  <c r="AH32" i="2"/>
  <c r="AH3" i="2"/>
  <c r="AB33" i="2"/>
  <c r="AB9" i="2"/>
  <c r="AB3" i="2"/>
  <c r="AF33" i="2"/>
  <c r="AF16" i="2"/>
  <c r="AH5" i="2"/>
  <c r="AB12" i="2"/>
  <c r="AD26" i="2"/>
  <c r="AF28" i="2"/>
  <c r="AF14" i="2"/>
  <c r="AF18" i="2"/>
  <c r="AB30" i="2"/>
  <c r="AB31" i="2"/>
  <c r="AF26" i="2"/>
  <c r="AD17" i="2"/>
  <c r="AF30" i="2"/>
  <c r="AD33" i="2"/>
  <c r="AF19" i="2"/>
  <c r="AF9" i="2"/>
  <c r="AF15" i="2"/>
  <c r="AB11" i="2"/>
  <c r="AB5" i="2"/>
  <c r="AB8" i="2"/>
  <c r="AB25" i="2"/>
  <c r="AD11" i="2"/>
  <c r="AF7" i="2"/>
  <c r="AF5" i="2"/>
  <c r="AF20" i="2"/>
  <c r="AD9" i="2"/>
  <c r="AG2" i="2"/>
  <c r="AF24" i="2"/>
  <c r="AB10" i="2"/>
  <c r="AB16" i="2"/>
  <c r="AB15" i="2"/>
  <c r="AI13" i="2"/>
  <c r="AF2" i="2"/>
  <c r="AF6" i="2"/>
  <c r="AF4" i="2"/>
  <c r="AH9" i="2"/>
  <c r="AF3" i="2"/>
  <c r="AD3" i="2"/>
  <c r="Z12" i="2"/>
  <c r="R15" i="2"/>
  <c r="AG15" i="2" s="1"/>
  <c r="BR8" i="2"/>
  <c r="J14" i="2"/>
  <c r="BG14" i="2" s="1"/>
  <c r="G14" i="2"/>
  <c r="J16" i="2"/>
  <c r="BG16" i="2" s="1"/>
  <c r="G16" i="2"/>
  <c r="J24" i="2"/>
  <c r="BG24" i="2" s="1"/>
  <c r="BR27" i="2"/>
  <c r="J27" i="2"/>
  <c r="E27" i="2" s="1"/>
  <c r="BP18" i="2"/>
  <c r="X27" i="2"/>
  <c r="BR18" i="2"/>
  <c r="BR10" i="2"/>
  <c r="J5" i="2"/>
  <c r="BG5" i="2" s="1"/>
  <c r="X5" i="2"/>
  <c r="X16" i="2"/>
  <c r="X12" i="2"/>
  <c r="BP10" i="2"/>
  <c r="J13" i="2"/>
  <c r="E13" i="2" s="1"/>
  <c r="BP12" i="2"/>
  <c r="BR12" i="2"/>
  <c r="X7" i="2"/>
  <c r="BP31" i="2"/>
  <c r="AA14" i="2"/>
  <c r="Z14" i="2"/>
  <c r="X28" i="2"/>
  <c r="X33" i="2"/>
  <c r="S4" i="2"/>
  <c r="AA31" i="2"/>
  <c r="BR4" i="2"/>
  <c r="BQ8" i="2"/>
  <c r="Z30" i="2"/>
  <c r="AG30" i="2" s="1"/>
  <c r="AA30" i="2"/>
  <c r="AA6" i="2"/>
  <c r="BR20" i="2"/>
  <c r="X20" i="2"/>
  <c r="BQ9" i="2"/>
  <c r="X15" i="2"/>
  <c r="BP9" i="2"/>
  <c r="BR15" i="2"/>
  <c r="BR33" i="2"/>
  <c r="BR31" i="2"/>
  <c r="X14" i="2"/>
  <c r="X3" i="2"/>
  <c r="S23" i="2"/>
  <c r="BK23" i="2" s="1"/>
  <c r="X25" i="2"/>
  <c r="BR32" i="2"/>
  <c r="BR23" i="2"/>
  <c r="BR9" i="2"/>
  <c r="X29" i="2"/>
  <c r="BR19" i="2"/>
  <c r="BR29" i="2"/>
  <c r="BR14" i="2"/>
  <c r="X23" i="2"/>
  <c r="J10" i="2"/>
  <c r="E10" i="2" s="1"/>
  <c r="X8" i="2"/>
  <c r="X31" i="2"/>
  <c r="BP3" i="2"/>
  <c r="BR3" i="2"/>
  <c r="BQ12" i="2"/>
  <c r="BP28" i="2"/>
  <c r="BP32" i="2"/>
  <c r="BQ32" i="2"/>
  <c r="BP20" i="2"/>
  <c r="BP19" i="2"/>
  <c r="BP33" i="2"/>
  <c r="X11" i="2"/>
  <c r="BR28" i="2"/>
  <c r="BP14" i="2"/>
  <c r="X32" i="2"/>
  <c r="X18" i="2"/>
  <c r="BQ23" i="2"/>
  <c r="BR25" i="2"/>
  <c r="BR30" i="2"/>
  <c r="BR5" i="2"/>
  <c r="BP5" i="2"/>
  <c r="BP13" i="2"/>
  <c r="X19" i="2"/>
  <c r="BR24" i="2"/>
  <c r="X24" i="2"/>
  <c r="BR16" i="2"/>
  <c r="BR22" i="2"/>
  <c r="J30" i="2"/>
  <c r="E30" i="2" s="1"/>
  <c r="X17" i="2"/>
  <c r="BP23" i="2"/>
  <c r="Q23" i="2"/>
  <c r="S15" i="2"/>
  <c r="Y12" i="2"/>
  <c r="Q15" i="2"/>
  <c r="AE15" i="2" s="1"/>
  <c r="Y9" i="2"/>
  <c r="AE9" i="2" s="1"/>
  <c r="R29" i="2"/>
  <c r="Y14" i="2"/>
  <c r="Q29" i="2"/>
  <c r="Y6" i="2"/>
  <c r="S27" i="2"/>
  <c r="AI27" i="2" s="1"/>
  <c r="Q27" i="2"/>
  <c r="AE27" i="2" s="1"/>
  <c r="AA17" i="2"/>
  <c r="Y17" i="2"/>
  <c r="Z17" i="2"/>
  <c r="R25" i="2"/>
  <c r="Y30" i="2"/>
  <c r="Q25" i="2"/>
  <c r="AE25" i="2" s="1"/>
  <c r="AA9" i="2"/>
  <c r="Q17" i="2"/>
  <c r="Y20" i="2"/>
  <c r="S17" i="2"/>
  <c r="Z33" i="2"/>
  <c r="BJ33" i="2" s="1"/>
  <c r="Q26" i="2"/>
  <c r="AE26" i="2" s="1"/>
  <c r="AA7" i="2"/>
  <c r="Y7" i="2"/>
  <c r="Z7" i="2"/>
  <c r="AG7" i="2" s="1"/>
  <c r="BP8" i="2"/>
  <c r="P25" i="2"/>
  <c r="BP29" i="2"/>
  <c r="Z31" i="2"/>
  <c r="Q4" i="2"/>
  <c r="R4" i="2"/>
  <c r="Y31" i="2"/>
  <c r="BP22" i="2"/>
  <c r="X21" i="2"/>
  <c r="Y33" i="2"/>
  <c r="BR21" i="2"/>
  <c r="S29" i="2"/>
  <c r="J9" i="2"/>
  <c r="X9" i="2"/>
  <c r="J2" i="2"/>
  <c r="X6" i="2"/>
  <c r="BR6" i="2"/>
  <c r="X2" i="2"/>
  <c r="P9" i="2"/>
  <c r="BQ27" i="2"/>
  <c r="BR2" i="2"/>
  <c r="P16" i="2"/>
  <c r="X30" i="2"/>
  <c r="P3" i="2"/>
  <c r="X10" i="2"/>
  <c r="P20" i="2"/>
  <c r="P29" i="2"/>
  <c r="P28" i="2"/>
  <c r="X13" i="2"/>
  <c r="P7" i="2"/>
  <c r="P22" i="2"/>
  <c r="X22" i="2"/>
  <c r="P21" i="2"/>
  <c r="P33" i="2"/>
  <c r="BP30" i="2"/>
  <c r="BP27" i="2"/>
  <c r="BP6" i="2"/>
  <c r="BP25" i="2"/>
  <c r="BP2" i="2"/>
  <c r="BP17" i="2"/>
  <c r="BR13" i="2"/>
  <c r="BQ16" i="2"/>
  <c r="BP7" i="2"/>
  <c r="BP24" i="2"/>
  <c r="BP15" i="2"/>
  <c r="BQ19" i="2"/>
  <c r="BQ18" i="2"/>
  <c r="BP16" i="2"/>
  <c r="BQ11" i="2"/>
  <c r="BP11" i="2"/>
  <c r="BP21" i="2"/>
  <c r="BQ31" i="2"/>
  <c r="BQ15" i="2"/>
  <c r="BQ4" i="2"/>
  <c r="BP4" i="2"/>
  <c r="BR11" i="2"/>
  <c r="Z20" i="2"/>
  <c r="AG20" i="2" s="1"/>
  <c r="AA20" i="2"/>
  <c r="R17" i="2"/>
  <c r="X4" i="2"/>
  <c r="R27" i="2"/>
  <c r="AG27" i="2" s="1"/>
  <c r="P6" i="2"/>
  <c r="BR7" i="2"/>
  <c r="J28" i="2"/>
  <c r="E28" i="2" s="1"/>
  <c r="AA12" i="2"/>
  <c r="BQ25" i="2"/>
  <c r="J12" i="2"/>
  <c r="E12" i="2" s="1"/>
  <c r="P15" i="2"/>
  <c r="BR17" i="2"/>
  <c r="BQ5" i="2"/>
  <c r="P5" i="2"/>
  <c r="J21" i="2"/>
  <c r="E21" i="2" s="1"/>
  <c r="BQ21" i="2"/>
  <c r="BQ3" i="2"/>
  <c r="J11" i="2"/>
  <c r="E11" i="2" s="1"/>
  <c r="P11" i="2"/>
  <c r="BQ24" i="2"/>
  <c r="P24" i="2"/>
  <c r="J15" i="2"/>
  <c r="E15" i="2" s="1"/>
  <c r="J8" i="2"/>
  <c r="E8" i="2" s="1"/>
  <c r="J29" i="2"/>
  <c r="E29" i="2" s="1"/>
  <c r="BQ10" i="2"/>
  <c r="J31" i="2"/>
  <c r="E31" i="2" s="1"/>
  <c r="P31" i="2"/>
  <c r="P27" i="2"/>
  <c r="BQ22" i="2"/>
  <c r="BQ29" i="2"/>
  <c r="J23" i="2"/>
  <c r="E23" i="2" s="1"/>
  <c r="J7" i="2"/>
  <c r="E7" i="2" s="1"/>
  <c r="J3" i="2"/>
  <c r="E3" i="2" s="1"/>
  <c r="P8" i="2"/>
  <c r="P10" i="2"/>
  <c r="BQ28" i="2"/>
  <c r="J17" i="2"/>
  <c r="BQ6" i="2"/>
  <c r="J20" i="2"/>
  <c r="E20" i="2" s="1"/>
  <c r="P23" i="2"/>
  <c r="BQ14" i="2"/>
  <c r="P30" i="2"/>
  <c r="J4" i="2"/>
  <c r="E4" i="2" s="1"/>
  <c r="J6" i="2"/>
  <c r="E6" i="2" s="1"/>
  <c r="J22" i="2"/>
  <c r="E22" i="2" s="1"/>
  <c r="P4" i="2"/>
  <c r="J33" i="2"/>
  <c r="E33" i="2" s="1"/>
  <c r="J32" i="2"/>
  <c r="E32" i="2" s="1"/>
  <c r="J19" i="2"/>
  <c r="E19" i="2" s="1"/>
  <c r="BQ30" i="2"/>
  <c r="P12" i="2"/>
  <c r="BQ33" i="2"/>
  <c r="P14" i="2"/>
  <c r="J25" i="2"/>
  <c r="E25" i="2" s="1"/>
  <c r="P18" i="2"/>
  <c r="P19" i="2"/>
  <c r="P2" i="2"/>
  <c r="P13" i="2"/>
  <c r="BQ13" i="2"/>
  <c r="J18" i="2"/>
  <c r="E18" i="2" s="1"/>
  <c r="BQ7" i="2"/>
  <c r="BQ2" i="2"/>
  <c r="P17" i="2"/>
  <c r="BQ20" i="2"/>
  <c r="BQ17" i="2"/>
  <c r="P32" i="2"/>
  <c r="BD14" i="2"/>
  <c r="BD7" i="2"/>
  <c r="BD6" i="2"/>
  <c r="BD9" i="2"/>
  <c r="BD21" i="2"/>
  <c r="BD30" i="2"/>
  <c r="BD4" i="2"/>
  <c r="BD29" i="2"/>
  <c r="BD8" i="2"/>
  <c r="BD24" i="2"/>
  <c r="BD25" i="2"/>
  <c r="BD23" i="2"/>
  <c r="BD11" i="2"/>
  <c r="BD15" i="2"/>
  <c r="BD5" i="2"/>
  <c r="BD13" i="2"/>
  <c r="BD28" i="2"/>
  <c r="BD18" i="2"/>
  <c r="BD19" i="2"/>
  <c r="BD27" i="2"/>
  <c r="BD12" i="2"/>
  <c r="BD33" i="2"/>
  <c r="BD10" i="2"/>
  <c r="BD2" i="2"/>
  <c r="BD16" i="2"/>
  <c r="BD22" i="2"/>
  <c r="BD31" i="2"/>
  <c r="BD20" i="2"/>
  <c r="BD17"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13"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4" i="2"/>
  <c r="BJ4" i="2"/>
  <c r="BK4" i="2"/>
  <c r="BJ8" i="2"/>
  <c r="BJ11" i="2"/>
  <c r="BJ16" i="2"/>
  <c r="BK12" i="2"/>
  <c r="BJ3" i="2"/>
  <c r="BK24" i="2"/>
  <c r="BJ21" i="2"/>
  <c r="BJ19" i="2"/>
  <c r="BK25" i="2"/>
  <c r="BK31" i="2"/>
  <c r="BJ31" i="2"/>
  <c r="BJ17" i="2"/>
  <c r="BK14" i="2"/>
  <c r="BJ9" i="2"/>
  <c r="BJ12" i="2"/>
  <c r="BJ28" i="2"/>
  <c r="BK8" i="2"/>
  <c r="BK29" i="2"/>
  <c r="BK21" i="2"/>
  <c r="BK9" i="2"/>
  <c r="BJ6" i="2"/>
  <c r="BJ29" i="2"/>
  <c r="BK3" i="2"/>
  <c r="BK33" i="2"/>
  <c r="BJ18" i="2"/>
  <c r="BK27" i="2"/>
  <c r="BK26" i="2"/>
  <c r="BJ23" i="2"/>
  <c r="BK15" i="2"/>
  <c r="BJ22" i="2"/>
  <c r="BJ7" i="2"/>
  <c r="BJ20" i="2"/>
  <c r="BK13" i="2"/>
  <c r="BK10"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4" i="2"/>
  <c r="BH6" i="2"/>
  <c r="BH30" i="2"/>
  <c r="BI19" i="2"/>
  <c r="BI20" i="2"/>
  <c r="BI6" i="2"/>
  <c r="BH23" i="2"/>
  <c r="BH29" i="2"/>
  <c r="BI31" i="2"/>
  <c r="BH33" i="2"/>
  <c r="BI7" i="2"/>
  <c r="BI22" i="2"/>
  <c r="BH18" i="2"/>
  <c r="BI12" i="2"/>
  <c r="BI33" i="2"/>
  <c r="BI16" i="2"/>
  <c r="BH4" i="2"/>
  <c r="BI23" i="2"/>
  <c r="BI3" i="2"/>
  <c r="BI11" i="2"/>
  <c r="BH31" i="2"/>
  <c r="BI9" i="2"/>
  <c r="BH22" i="2"/>
  <c r="BH21" i="2"/>
  <c r="BH20" i="2"/>
  <c r="BI29" i="2"/>
  <c r="BI14" i="2"/>
  <c r="BI28" i="2"/>
  <c r="BI8" i="2"/>
  <c r="BI30" i="2"/>
  <c r="BH12" i="2"/>
  <c r="BH28" i="2"/>
  <c r="BI4" i="2"/>
  <c r="BH7" i="2"/>
  <c r="BI17" i="2"/>
  <c r="BH17" i="2"/>
  <c r="BH14" i="2"/>
  <c r="BI18" i="2"/>
  <c r="BH16" i="2"/>
  <c r="BH11" i="2"/>
  <c r="BI21" i="2"/>
  <c r="BI25" i="2"/>
  <c r="BI15" i="2"/>
  <c r="BH2" i="2"/>
  <c r="BH9" i="2"/>
  <c r="BI27" i="2"/>
  <c r="BH3" i="2"/>
  <c r="BI10" i="2"/>
  <c r="BI26" i="2"/>
  <c r="BI13" i="2"/>
  <c r="BI5"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11" i="2"/>
  <c r="AG9" i="2"/>
  <c r="AL10" i="2"/>
  <c r="AE28" i="2"/>
  <c r="AK19" i="2"/>
  <c r="AE16" i="2"/>
  <c r="AG28" i="2"/>
  <c r="AJ28" i="2" s="1"/>
  <c r="AE21" i="2"/>
  <c r="AL5" i="2"/>
  <c r="AG11" i="2"/>
  <c r="AJ11" i="2" s="1"/>
  <c r="AE30" i="2"/>
  <c r="AK5" i="2"/>
  <c r="AI20" i="2"/>
  <c r="AJ20" i="2" s="1"/>
  <c r="AI30" i="2"/>
  <c r="AJ30" i="2" s="1"/>
  <c r="AL32" i="2"/>
  <c r="AE19" i="2"/>
  <c r="AK9" i="2"/>
  <c r="AL33" i="2"/>
  <c r="AK16" i="2"/>
  <c r="AI16" i="2"/>
  <c r="AK32" i="2"/>
  <c r="AG19" i="2"/>
  <c r="AJ19" i="2" s="1"/>
  <c r="AG14" i="2"/>
  <c r="AE33" i="2"/>
  <c r="AK28" i="2"/>
  <c r="AK11" i="2"/>
  <c r="AL11" i="2"/>
  <c r="AL28" i="2"/>
  <c r="AI8" i="2"/>
  <c r="BP47" i="5"/>
  <c r="BQ47" i="5" s="1"/>
  <c r="BP13" i="5"/>
  <c r="BQ13" i="5" s="1"/>
  <c r="AK8" i="2"/>
  <c r="BP45" i="5"/>
  <c r="BQ45" i="5" s="1"/>
  <c r="BP53" i="5"/>
  <c r="BQ53" i="5" s="1"/>
  <c r="AE31" i="2"/>
  <c r="AE4" i="2"/>
  <c r="AI3" i="2"/>
  <c r="AI31" i="2"/>
  <c r="AS5" i="2"/>
  <c r="AS32" i="2"/>
  <c r="AS10" i="2"/>
  <c r="AS13" i="2"/>
  <c r="AS27" i="2"/>
  <c r="AS26" i="2"/>
  <c r="AG31" i="2"/>
  <c r="AE22" i="2"/>
  <c r="AL24" i="2"/>
  <c r="BP61" i="5"/>
  <c r="BQ61" i="5" s="1"/>
  <c r="BP7" i="5"/>
  <c r="BQ7" i="5" s="1"/>
  <c r="BP19" i="5"/>
  <c r="BQ19" i="5" s="1"/>
  <c r="BP35" i="5"/>
  <c r="BQ35" i="5" s="1"/>
  <c r="BP33" i="5"/>
  <c r="BQ33" i="5" s="1"/>
  <c r="BP29" i="5"/>
  <c r="BQ29" i="5" s="1"/>
  <c r="AK13" i="2"/>
  <c r="BP15" i="5"/>
  <c r="BQ15" i="5" s="1"/>
  <c r="BP59" i="5"/>
  <c r="BQ59" i="5" s="1"/>
  <c r="AL8" i="2"/>
  <c r="BP57" i="5"/>
  <c r="BQ57" i="5" s="1"/>
  <c r="AG4" i="2"/>
  <c r="AE14" i="2"/>
  <c r="AI2" i="2"/>
  <c r="AJ2" i="2" s="1"/>
  <c r="BP21" i="5"/>
  <c r="BQ21" i="5" s="1"/>
  <c r="E17" i="2"/>
  <c r="CH2" i="2"/>
  <c r="CI5" i="2" s="1"/>
  <c r="AK2" i="2"/>
  <c r="AG8" i="2"/>
  <c r="AC7" i="2"/>
  <c r="BL7" i="2" s="1"/>
  <c r="AI29" i="2"/>
  <c r="AG16" i="2"/>
  <c r="AL16" i="2"/>
  <c r="AG6" i="2"/>
  <c r="AL3" i="2"/>
  <c r="AI7" i="2"/>
  <c r="AJ7" i="2" s="1"/>
  <c r="CJ5" i="2"/>
  <c r="CJ6" i="2"/>
  <c r="AE20" i="2"/>
  <c r="AE29" i="2"/>
  <c r="CH3" i="2"/>
  <c r="CJ3" i="2" s="1"/>
  <c r="AL13" i="2"/>
  <c r="AI21" i="2"/>
  <c r="AE12" i="2"/>
  <c r="AI18" i="2"/>
  <c r="AJ18" i="2" s="1"/>
  <c r="AE7" i="2"/>
  <c r="AK22" i="2"/>
  <c r="AK21" i="2"/>
  <c r="AG21" i="2"/>
  <c r="AL21" i="2"/>
  <c r="AK18" i="2"/>
  <c r="AG29" i="2"/>
  <c r="AL18" i="2"/>
  <c r="AI22" i="2"/>
  <c r="AJ22" i="2" s="1"/>
  <c r="BP27" i="5"/>
  <c r="BQ27" i="5" s="1"/>
  <c r="BP3" i="5"/>
  <c r="BQ3" i="5" s="1"/>
  <c r="BP11" i="5"/>
  <c r="BQ11" i="5" s="1"/>
  <c r="BP25" i="5"/>
  <c r="BQ25" i="5" s="1"/>
  <c r="AC21" i="2"/>
  <c r="BL21" i="2" s="1"/>
  <c r="AE23" i="2"/>
  <c r="AE6" i="2"/>
  <c r="AK3" i="2"/>
  <c r="AK24" i="2"/>
  <c r="AG24" i="2"/>
  <c r="AS24" i="2" s="1"/>
  <c r="CB8" i="2"/>
  <c r="CB7" i="2"/>
  <c r="AE18" i="2"/>
  <c r="AI14" i="2"/>
  <c r="AI4" i="2"/>
  <c r="BP5" i="5"/>
  <c r="BQ5" i="5" s="1"/>
  <c r="BP17" i="5"/>
  <c r="BQ17" i="5" s="1"/>
  <c r="BP37" i="5"/>
  <c r="BQ37" i="5" s="1"/>
  <c r="BP9" i="5"/>
  <c r="BQ9" i="5" s="1"/>
  <c r="AG12"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2" i="2"/>
  <c r="E9" i="2"/>
  <c r="BG11" i="2"/>
  <c r="BG9" i="2"/>
  <c r="BG15" i="2"/>
  <c r="BG28" i="2"/>
  <c r="BG6" i="2"/>
  <c r="BG27" i="2"/>
  <c r="BG22" i="2"/>
  <c r="BG4" i="2"/>
  <c r="BG7" i="2"/>
  <c r="BG33" i="2"/>
  <c r="BG20" i="2"/>
  <c r="BG8" i="2"/>
  <c r="BG17" i="2"/>
  <c r="BG3" i="2"/>
  <c r="BG23" i="2"/>
  <c r="BG13" i="2"/>
  <c r="BG25" i="2"/>
  <c r="BG12" i="2"/>
  <c r="BG19" i="2"/>
  <c r="BG29" i="2"/>
  <c r="BG32" i="2"/>
  <c r="BG2" i="2"/>
  <c r="BG21" i="2"/>
  <c r="BG18" i="2"/>
  <c r="BG30" i="2"/>
  <c r="BG31" i="2"/>
  <c r="BG10" i="2"/>
  <c r="K14" i="2"/>
  <c r="E14" i="2"/>
  <c r="BE5" i="2"/>
  <c r="E5" i="2"/>
  <c r="K24" i="2"/>
  <c r="E24" i="2"/>
  <c r="K16" i="2"/>
  <c r="E16" i="2"/>
  <c r="BF16" i="2"/>
  <c r="AC24" i="2"/>
  <c r="BL24" i="2" s="1"/>
  <c r="BE14" i="2"/>
  <c r="BF14" i="2"/>
  <c r="AC17" i="2"/>
  <c r="BL17" i="2" s="1"/>
  <c r="AC18" i="2"/>
  <c r="BL18" i="2" s="1"/>
  <c r="AE17" i="2"/>
  <c r="AC32" i="2"/>
  <c r="BL32" i="2" s="1"/>
  <c r="AC31" i="2"/>
  <c r="BL31" i="2" s="1"/>
  <c r="AC19" i="2"/>
  <c r="BL19" i="2" s="1"/>
  <c r="AK12" i="2"/>
  <c r="AC16" i="2"/>
  <c r="BL16" i="2" s="1"/>
  <c r="AC9" i="2"/>
  <c r="BL9" i="2" s="1"/>
  <c r="AC20" i="2"/>
  <c r="BL20" i="2" s="1"/>
  <c r="AG17" i="2"/>
  <c r="AC28" i="2"/>
  <c r="BL28" i="2" s="1"/>
  <c r="AC5" i="2"/>
  <c r="BL5" i="2" s="1"/>
  <c r="AC30" i="2"/>
  <c r="BL30" i="2" s="1"/>
  <c r="AC11" i="2"/>
  <c r="BL11" i="2" s="1"/>
  <c r="AC3" i="2"/>
  <c r="BL3" i="2" s="1"/>
  <c r="AC14" i="2"/>
  <c r="BL14" i="2" s="1"/>
  <c r="AC10" i="2"/>
  <c r="BL10" i="2" s="1"/>
  <c r="AC13" i="2"/>
  <c r="BL13" i="2" s="1"/>
  <c r="AC4" i="2"/>
  <c r="BL4" i="2" s="1"/>
  <c r="AC8" i="2"/>
  <c r="BL8" i="2" s="1"/>
  <c r="AC15" i="2"/>
  <c r="BL15" i="2" s="1"/>
  <c r="AC33" i="2"/>
  <c r="BL33" i="2" s="1"/>
  <c r="AC29" i="2"/>
  <c r="BL29" i="2" s="1"/>
  <c r="AC23" i="2"/>
  <c r="BL23" i="2" s="1"/>
  <c r="AC27" i="2"/>
  <c r="BL27" i="2" s="1"/>
  <c r="AC12" i="2"/>
  <c r="BL12" i="2" s="1"/>
  <c r="AC25" i="2"/>
  <c r="BL25" i="2" s="1"/>
  <c r="AI17" i="2"/>
  <c r="AL25" i="2"/>
  <c r="AG25" i="2"/>
  <c r="AS25" i="2" s="1"/>
  <c r="AI9" i="2"/>
  <c r="AK15" i="2"/>
  <c r="AI15" i="2"/>
  <c r="AS15" i="2" s="1"/>
  <c r="AC22" i="2"/>
  <c r="BL22" i="2" s="1"/>
  <c r="AK23" i="2"/>
  <c r="AI23" i="2"/>
  <c r="AJ23" i="2" s="1"/>
  <c r="AI6" i="2"/>
  <c r="AC6" i="2"/>
  <c r="BL6" i="2" s="1"/>
  <c r="AI12" i="2"/>
  <c r="AC2" i="2"/>
  <c r="BL2" i="2" s="1"/>
  <c r="AG33" i="2"/>
  <c r="AJ33" i="2" s="1"/>
  <c r="BE16" i="2"/>
  <c r="BS27" i="2"/>
  <c r="BS8" i="2"/>
  <c r="BF24" i="2"/>
  <c r="BE24" i="2"/>
  <c r="BE29" i="2"/>
  <c r="K29" i="2"/>
  <c r="BE11" i="2"/>
  <c r="K11" i="2"/>
  <c r="BF22" i="2"/>
  <c r="K22" i="2"/>
  <c r="BF20" i="2"/>
  <c r="K20" i="2"/>
  <c r="BF8" i="2"/>
  <c r="K8" i="2"/>
  <c r="BE2" i="2"/>
  <c r="K2" i="2"/>
  <c r="BE33" i="2"/>
  <c r="K33" i="2"/>
  <c r="BE28" i="2"/>
  <c r="K28" i="2"/>
  <c r="BE27" i="2"/>
  <c r="K27" i="2"/>
  <c r="BF27" i="2"/>
  <c r="BE18" i="2"/>
  <c r="K18" i="2"/>
  <c r="BF19" i="2"/>
  <c r="K19" i="2"/>
  <c r="BE4" i="2"/>
  <c r="K4" i="2"/>
  <c r="BF7" i="2"/>
  <c r="K7" i="2"/>
  <c r="BE31" i="2"/>
  <c r="K31" i="2"/>
  <c r="BF21" i="2"/>
  <c r="K21" i="2"/>
  <c r="BF9" i="2"/>
  <c r="K9" i="2"/>
  <c r="BF10" i="2"/>
  <c r="K10" i="2"/>
  <c r="BF5" i="2"/>
  <c r="K5" i="2"/>
  <c r="BF6" i="2"/>
  <c r="K6" i="2"/>
  <c r="BE3" i="2"/>
  <c r="K3" i="2"/>
  <c r="BF15" i="2"/>
  <c r="K15" i="2"/>
  <c r="BF12" i="2"/>
  <c r="K12" i="2"/>
  <c r="BF25" i="2"/>
  <c r="K25" i="2"/>
  <c r="BE32" i="2"/>
  <c r="K32" i="2"/>
  <c r="BF17" i="2"/>
  <c r="K17" i="2"/>
  <c r="BF23" i="2"/>
  <c r="K23" i="2"/>
  <c r="BE30" i="2"/>
  <c r="K30" i="2"/>
  <c r="BF13" i="2"/>
  <c r="K13" i="2"/>
  <c r="BE13" i="2"/>
  <c r="BS18" i="2"/>
  <c r="BS10" i="2"/>
  <c r="BS12" i="2"/>
  <c r="BE10" i="2"/>
  <c r="BS15" i="2"/>
  <c r="AL4" i="2"/>
  <c r="BS32" i="2"/>
  <c r="BS33" i="2"/>
  <c r="BS4" i="2"/>
  <c r="AL30" i="2"/>
  <c r="AK30" i="2"/>
  <c r="BS19" i="2"/>
  <c r="AL6" i="2"/>
  <c r="BS20" i="2"/>
  <c r="BF30" i="2"/>
  <c r="AL14" i="2"/>
  <c r="BS22" i="2"/>
  <c r="AK31" i="2"/>
  <c r="AK14" i="2"/>
  <c r="BS29" i="2"/>
  <c r="AL15" i="2"/>
  <c r="BS14" i="2"/>
  <c r="BS31" i="2"/>
  <c r="BS9" i="2"/>
  <c r="AL23" i="2"/>
  <c r="BS23" i="2"/>
  <c r="BS3" i="2"/>
  <c r="BS24" i="2"/>
  <c r="BS5" i="2"/>
  <c r="BS28" i="2"/>
  <c r="BS30" i="2"/>
  <c r="BS16" i="2"/>
  <c r="BS25" i="2"/>
  <c r="BE9" i="2"/>
  <c r="BS21" i="2"/>
  <c r="AK29" i="2"/>
  <c r="AL9" i="2"/>
  <c r="AK17" i="2"/>
  <c r="AL7" i="2"/>
  <c r="AK7" i="2"/>
  <c r="AK27" i="2"/>
  <c r="BS6" i="2"/>
  <c r="AL29" i="2"/>
  <c r="BS2" i="2"/>
  <c r="AL31" i="2"/>
  <c r="AK33" i="2"/>
  <c r="AK4" i="2"/>
  <c r="AK25" i="2"/>
  <c r="AL20" i="2"/>
  <c r="AL26" i="2"/>
  <c r="AL12" i="2"/>
  <c r="AL27" i="2"/>
  <c r="AL17" i="2"/>
  <c r="BF28" i="2"/>
  <c r="BF2" i="2"/>
  <c r="BS13" i="2"/>
  <c r="BF3" i="2"/>
  <c r="AK20" i="2"/>
  <c r="BS11" i="2"/>
  <c r="BS7" i="2"/>
  <c r="BE12" i="2"/>
  <c r="BE21" i="2"/>
  <c r="BE17" i="2"/>
  <c r="BE7" i="2"/>
  <c r="BF11" i="2"/>
  <c r="BF29" i="2"/>
  <c r="BS17" i="2"/>
  <c r="BE15" i="2"/>
  <c r="AK26" i="2"/>
  <c r="D2" i="9" s="1"/>
  <c r="U7" i="9" s="1"/>
  <c r="BE8" i="2"/>
  <c r="BF31" i="2"/>
  <c r="BF33" i="2"/>
  <c r="BE23" i="2"/>
  <c r="BE19" i="2"/>
  <c r="BE20" i="2"/>
  <c r="BF18" i="2"/>
  <c r="BF32" i="2"/>
  <c r="BF4" i="2"/>
  <c r="BE6" i="2"/>
  <c r="BE22"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8" i="2"/>
  <c r="AJ9" i="2"/>
  <c r="AJ29" i="2"/>
  <c r="AJ6" i="2"/>
  <c r="AJ4" i="2"/>
  <c r="AJ14" i="2"/>
  <c r="AJ12" i="2"/>
  <c r="AJ16" i="2"/>
  <c r="AJ31" i="2"/>
  <c r="AJ17" i="2"/>
  <c r="AJ24" i="2"/>
  <c r="AJ15"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1" i="2"/>
  <c r="AM33" i="2"/>
  <c r="AN8" i="2"/>
  <c r="AR8" i="2" s="1"/>
  <c r="AM28" i="2"/>
  <c r="AN5" i="2"/>
  <c r="AR5" i="2" s="1"/>
  <c r="AN29" i="2"/>
  <c r="AR29" i="2" s="1"/>
  <c r="AM30" i="2"/>
  <c r="AM23" i="2"/>
  <c r="AM18" i="2"/>
  <c r="AN3" i="2"/>
  <c r="AR3" i="2" s="1"/>
  <c r="AM12" i="2"/>
  <c r="AN11" i="2"/>
  <c r="AR11" i="2" s="1"/>
  <c r="AN31" i="2"/>
  <c r="AR31" i="2" s="1"/>
  <c r="AN30" i="2"/>
  <c r="AR30" i="2" s="1"/>
  <c r="AM6" i="2"/>
  <c r="AN21" i="2"/>
  <c r="AR21" i="2" s="1"/>
  <c r="AN2" i="2"/>
  <c r="AM20" i="2"/>
  <c r="AM27" i="2"/>
  <c r="AN23" i="2"/>
  <c r="AR23" i="2" s="1"/>
  <c r="AN16" i="2"/>
  <c r="AR16" i="2" s="1"/>
  <c r="AM13" i="2"/>
  <c r="AM21" i="2"/>
  <c r="AM32" i="2"/>
  <c r="AM19" i="2"/>
  <c r="AM24" i="2"/>
  <c r="AM22" i="2"/>
  <c r="AM15" i="2"/>
  <c r="AM3" i="2"/>
  <c r="AM16" i="2"/>
  <c r="AN10" i="2"/>
  <c r="AR10" i="2" s="1"/>
  <c r="AN17" i="2"/>
  <c r="AR17" i="2" s="1"/>
  <c r="AN9" i="2"/>
  <c r="AR9" i="2" s="1"/>
  <c r="AN15" i="2"/>
  <c r="AR15" i="2" s="1"/>
  <c r="AN25" i="2"/>
  <c r="AR25" i="2" s="1"/>
  <c r="AN33" i="2"/>
  <c r="AR33" i="2" s="1"/>
  <c r="AM17" i="2"/>
  <c r="AM29" i="2"/>
  <c r="AM9" i="2"/>
  <c r="AN12" i="2"/>
  <c r="AR12" i="2" s="1"/>
  <c r="AM8" i="2"/>
  <c r="AM10" i="2"/>
  <c r="AN13" i="2"/>
  <c r="AR13" i="2" s="1"/>
  <c r="AN24" i="2"/>
  <c r="AR24" i="2" s="1"/>
  <c r="AN32" i="2"/>
  <c r="AR32" i="2" s="1"/>
  <c r="AM7" i="2"/>
  <c r="AN7" i="2"/>
  <c r="AR7" i="2" s="1"/>
  <c r="AN4" i="2"/>
  <c r="AR4" i="2" s="1"/>
  <c r="AN27" i="2"/>
  <c r="AR27" i="2" s="1"/>
  <c r="AM2" i="2"/>
  <c r="BM2" i="2" s="1"/>
  <c r="AM14" i="2"/>
  <c r="AM31" i="2"/>
  <c r="AN20" i="2"/>
  <c r="AR20" i="2" s="1"/>
  <c r="AN19" i="2"/>
  <c r="AR19" i="2" s="1"/>
  <c r="AM25" i="2"/>
  <c r="AN14" i="2"/>
  <c r="AR14" i="2" s="1"/>
  <c r="AM4" i="2"/>
  <c r="AN22" i="2"/>
  <c r="AR22" i="2" s="1"/>
  <c r="AN28" i="2"/>
  <c r="AR28" i="2" s="1"/>
  <c r="AM5" i="2"/>
  <c r="AS2" i="2"/>
  <c r="AN26" i="2"/>
  <c r="AS20" i="2"/>
  <c r="AS28" i="2"/>
  <c r="AS11" i="2"/>
  <c r="AS9" i="2"/>
  <c r="AS19" i="2"/>
  <c r="AS16" i="2"/>
  <c r="AS30" i="2"/>
  <c r="AP33" i="2"/>
  <c r="AO16" i="2"/>
  <c r="AS33" i="2"/>
  <c r="AS8" i="2"/>
  <c r="AS3" i="2"/>
  <c r="AS21" i="2"/>
  <c r="AS31" i="2"/>
  <c r="AS4" i="2"/>
  <c r="AS17" i="2"/>
  <c r="AS14" i="2"/>
  <c r="AS22" i="2"/>
  <c r="AS12" i="2"/>
  <c r="AS18" i="2"/>
  <c r="AS6" i="2"/>
  <c r="AS23" i="2"/>
  <c r="AS7" i="2"/>
  <c r="AS29" i="2"/>
  <c r="CA18" i="2"/>
  <c r="CI6" i="2"/>
  <c r="CH4" i="2"/>
  <c r="CJ4" i="2" s="1"/>
  <c r="CB4" i="2"/>
  <c r="CB11" i="2"/>
  <c r="AO24" i="2"/>
  <c r="BQ67" i="5"/>
  <c r="BP67" i="5"/>
  <c r="AP14" i="2"/>
  <c r="AP16" i="2"/>
  <c r="BG26" i="2"/>
  <c r="BG36" i="2" s="1"/>
  <c r="AP24" i="2"/>
  <c r="K26" i="2"/>
  <c r="AP26" i="2" s="1"/>
  <c r="E26" i="2"/>
  <c r="E35" i="2" s="1"/>
  <c r="AP25" i="2"/>
  <c r="AC26" i="2"/>
  <c r="BL26" i="2" s="1"/>
  <c r="AO14" i="2"/>
  <c r="AM26" i="2"/>
  <c r="AP7" i="2"/>
  <c r="AP20" i="2"/>
  <c r="AP29" i="2"/>
  <c r="AO8" i="2"/>
  <c r="AP8" i="2"/>
  <c r="AO13" i="2"/>
  <c r="AP13" i="2"/>
  <c r="AO12" i="2"/>
  <c r="AP12" i="2"/>
  <c r="AO9" i="2"/>
  <c r="AP9" i="2"/>
  <c r="AO18" i="2"/>
  <c r="AP18" i="2"/>
  <c r="AO32" i="2"/>
  <c r="AP32" i="2"/>
  <c r="AO5" i="2"/>
  <c r="AP5" i="2"/>
  <c r="AP4" i="2"/>
  <c r="AP27" i="2"/>
  <c r="AO2" i="2"/>
  <c r="AP2" i="2"/>
  <c r="AO22" i="2"/>
  <c r="AP22" i="2"/>
  <c r="AO28" i="2"/>
  <c r="AP28" i="2"/>
  <c r="AO11" i="2"/>
  <c r="AP11" i="2"/>
  <c r="AP17" i="2"/>
  <c r="AO6" i="2"/>
  <c r="AP6" i="2"/>
  <c r="AP30" i="2"/>
  <c r="AO15" i="2"/>
  <c r="AP15" i="2"/>
  <c r="AO21" i="2"/>
  <c r="AP21" i="2"/>
  <c r="AO23" i="2"/>
  <c r="AP23" i="2"/>
  <c r="AO3" i="2"/>
  <c r="AP3" i="2"/>
  <c r="AO10" i="2"/>
  <c r="AP10" i="2"/>
  <c r="AP31" i="2"/>
  <c r="AO19" i="2"/>
  <c r="AP19" i="2"/>
  <c r="AO20" i="2"/>
  <c r="AO29" i="2"/>
  <c r="AO30" i="2"/>
  <c r="AO4" i="2"/>
  <c r="AO27" i="2"/>
  <c r="AO33" i="2"/>
  <c r="AO25" i="2"/>
  <c r="AO31" i="2"/>
  <c r="AO17" i="2"/>
  <c r="AO7" i="2"/>
  <c r="BE26" i="2"/>
  <c r="BE35" i="2" s="1"/>
  <c r="BF26" i="2"/>
  <c r="BF36" i="2" s="1"/>
  <c r="BQ67" i="4"/>
  <c r="BQ68" i="4" s="1"/>
  <c r="BP67" i="4"/>
  <c r="BP68" i="4" s="1"/>
  <c r="BS26" i="2"/>
  <c r="BS37" i="2" s="1"/>
  <c r="BD26" i="2"/>
  <c r="U44" i="9" l="1"/>
  <c r="U45" i="9"/>
  <c r="U42" i="9" a="1"/>
  <c r="U42" i="9" s="1"/>
  <c r="U41" i="9"/>
  <c r="BQ67" i="8"/>
  <c r="BQ68" i="8" s="1"/>
  <c r="BP68" i="8"/>
  <c r="BP68" i="10"/>
  <c r="BM26" i="2"/>
  <c r="AQ7" i="2"/>
  <c r="BM7" i="2"/>
  <c r="AQ16" i="2"/>
  <c r="BM16" i="2"/>
  <c r="AQ5" i="2"/>
  <c r="BM5" i="2"/>
  <c r="AQ15" i="2"/>
  <c r="BM15" i="2"/>
  <c r="AQ10" i="2"/>
  <c r="BM10" i="2"/>
  <c r="AQ24" i="2"/>
  <c r="BM24" i="2"/>
  <c r="AQ4" i="2"/>
  <c r="BM4" i="2"/>
  <c r="AQ8" i="2"/>
  <c r="BM8" i="2"/>
  <c r="AQ19" i="2"/>
  <c r="BM19" i="2"/>
  <c r="AQ18" i="2"/>
  <c r="BM18" i="2"/>
  <c r="AQ32" i="2"/>
  <c r="BM32" i="2"/>
  <c r="AQ23" i="2"/>
  <c r="BM23" i="2"/>
  <c r="AQ25" i="2"/>
  <c r="BM25" i="2"/>
  <c r="AQ9" i="2"/>
  <c r="BM9" i="2"/>
  <c r="AQ21" i="2"/>
  <c r="BM21" i="2"/>
  <c r="AQ30" i="2"/>
  <c r="BM30" i="2"/>
  <c r="AQ29" i="2"/>
  <c r="BM29" i="2"/>
  <c r="AQ13" i="2"/>
  <c r="BM13" i="2"/>
  <c r="AQ17" i="2"/>
  <c r="BM17" i="2"/>
  <c r="AQ12" i="2"/>
  <c r="BM12" i="2"/>
  <c r="AQ31" i="2"/>
  <c r="BM31" i="2"/>
  <c r="AQ28" i="2"/>
  <c r="BM28" i="2"/>
  <c r="AQ14" i="2"/>
  <c r="BM14" i="2"/>
  <c r="AQ27" i="2"/>
  <c r="BM27" i="2"/>
  <c r="AQ20" i="2"/>
  <c r="BM20" i="2"/>
  <c r="AQ33" i="2"/>
  <c r="BM33" i="2"/>
  <c r="AQ22" i="2"/>
  <c r="BM22" i="2"/>
  <c r="AQ11" i="2"/>
  <c r="BM11"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<sst xmlns="http://schemas.openxmlformats.org/spreadsheetml/2006/main" count="8537" uniqueCount="1893">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</sst>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7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-4</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0</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-2</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9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-19</c:v>
                </c:pt>
                <c:pt idx="984">
                  <c:v>-19</c:v>
                </c:pt>
                <c:pt idx="985">
                  <c:v>-19</c:v>
                </c:pt>
                <c:pt idx="986">
                  <c:v>-19</c:v>
                </c:pt>
                <c:pt idx="987">
                  <c:v>-19</c:v>
                </c:pt>
                <c:pt idx="988">
                  <c:v>-24</c:v>
                </c:pt>
                <c:pt idx="989">
                  <c:v>-24</c:v>
                </c:pt>
                <c:pt idx="990">
                  <c:v>-24</c:v>
                </c:pt>
                <c:pt idx="991">
                  <c:v>-24</c:v>
                </c:pt>
                <c:pt idx="992">
                  <c:v>-24</c:v>
                </c:pt>
                <c:pt idx="993">
                  <c:v>-24</c:v>
                </c:pt>
                <c:pt idx="994">
                  <c:v>-24</c:v>
                </c:pt>
                <c:pt idx="995">
                  <c:v>-24</c:v>
                </c:pt>
                <c:pt idx="996">
                  <c:v>-24</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9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-15</c:v>
                </c:pt>
                <c:pt idx="949">
                  <c:v>-15</c:v>
                </c:pt>
                <c:pt idx="950">
                  <c:v>-15</c:v>
                </c:pt>
                <c:pt idx="951">
                  <c:v>-15</c:v>
                </c:pt>
                <c:pt idx="952">
                  <c:v>-15</c:v>
                </c:pt>
                <c:pt idx="953">
                  <c:v>-15</c:v>
                </c:pt>
                <c:pt idx="954">
                  <c:v>-15</c:v>
                </c:pt>
                <c:pt idx="955">
                  <c:v>-15</c:v>
                </c:pt>
                <c:pt idx="956">
                  <c:v>-15</c:v>
                </c:pt>
                <c:pt idx="957">
                  <c:v>-15</c:v>
                </c:pt>
                <c:pt idx="958">
                  <c:v>-15</c:v>
                </c:pt>
                <c:pt idx="959">
                  <c:v>-15</c:v>
                </c:pt>
                <c:pt idx="960">
                  <c:v>-15</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-18</c:v>
                </c:pt>
                <c:pt idx="984">
                  <c:v>-18</c:v>
                </c:pt>
                <c:pt idx="985">
                  <c:v>-18</c:v>
                </c:pt>
                <c:pt idx="986">
                  <c:v>-18</c:v>
                </c:pt>
                <c:pt idx="987">
                  <c:v>-18</c:v>
                </c:pt>
                <c:pt idx="988">
                  <c:v>-31</c:v>
                </c:pt>
                <c:pt idx="989">
                  <c:v>-31</c:v>
                </c:pt>
                <c:pt idx="990">
                  <c:v>-31</c:v>
                </c:pt>
                <c:pt idx="991">
                  <c:v>-31</c:v>
                </c:pt>
                <c:pt idx="992">
                  <c:v>-31</c:v>
                </c:pt>
                <c:pt idx="993">
                  <c:v>-31</c:v>
                </c:pt>
                <c:pt idx="994">
                  <c:v>-31</c:v>
                </c:pt>
                <c:pt idx="995">
                  <c:v>-31</c:v>
                </c:pt>
                <c:pt idx="996">
                  <c:v>-31</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C2:FC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46" workbookViewId="0">
      <selection activeCell="M959" sqref="M959"/>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4" t="s">
        <v>77</v>
      </c>
      <c r="F1" s="154"/>
      <c r="G1" s="154"/>
      <c r="H1" s="154"/>
      <c r="I1" s="154" t="s">
        <v>78</v>
      </c>
      <c r="J1" s="154"/>
      <c r="K1" s="154"/>
      <c r="L1" s="154"/>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1" t="s">
        <v>1815</v>
      </c>
      <c r="BM3" s="152"/>
      <c r="BN3" s="152"/>
      <c r="BO3" s="152"/>
      <c r="BP3" s="153"/>
      <c r="BR3" s="148" t="s">
        <v>1805</v>
      </c>
      <c r="BS3" s="148"/>
      <c r="BT3" s="148"/>
      <c r="BU3" s="14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955</v>
      </c>
      <c r="BH4" t="s">
        <v>1441</v>
      </c>
      <c r="BI4">
        <v>50</v>
      </c>
      <c r="BK4" s="66"/>
      <c r="BL4" t="s">
        <v>1432</v>
      </c>
      <c r="BM4">
        <f>COUNTIFS($O$3:$O$1315, "Y", $M$3:$M$1315, "REG")</f>
        <v>442</v>
      </c>
      <c r="BP4" s="66"/>
      <c r="BR4" s="53" t="s">
        <v>1804</v>
      </c>
      <c r="BS4" s="148" t="s">
        <v>1802</v>
      </c>
      <c r="BT4" s="148"/>
      <c r="BU4" s="148" t="s">
        <v>1803</v>
      </c>
      <c r="BV4" s="148"/>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542</v>
      </c>
      <c r="BH5" t="s">
        <v>1442</v>
      </c>
      <c r="BI5">
        <v>50</v>
      </c>
      <c r="BK5" s="66"/>
      <c r="BL5" t="s">
        <v>1434</v>
      </c>
      <c r="BM5">
        <f>COUNTIFS($O$3:$O$1315, "N", $M$3:$M$1315, "REG")</f>
        <v>325</v>
      </c>
      <c r="BP5" s="66"/>
      <c r="BR5" s="2">
        <v>0</v>
      </c>
      <c r="BS5" s="123" cm="1">
        <f t="array" ref="BS5">SUM(--(ABS($F$3:$F$1315 - $J$3:$J$1315) = 0)) -(((32*82)/2) - $BD$4)</f>
        <v>145</v>
      </c>
      <c r="BT5" s="124">
        <f>$BS5/$BD$4</f>
        <v>0.15183246073298429</v>
      </c>
      <c r="BU5" s="125" cm="1">
        <f t="array" ref="BU5">SUM(--(ABS($G$3:$G$1315 - $K$3:$K$1315) = 0)) -(((32*82)/2) - $BD$4)</f>
        <v>143</v>
      </c>
      <c r="BV5" s="126">
        <f>$BU5/$BD$4</f>
        <v>0.14973821989528796</v>
      </c>
      <c r="BW5" s="122">
        <f t="shared" ref="BW5:BW15" si="5">BS5+BU5</f>
        <v>288</v>
      </c>
      <c r="BX5" s="127">
        <f t="shared" ref="BX5:BX15" si="6">(BS5+BU5)/($BD$4*2)</f>
        <v>0.15078534031413612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413</v>
      </c>
      <c r="BH6" t="s">
        <v>1479</v>
      </c>
      <c r="BI6">
        <v>50</v>
      </c>
      <c r="BK6" s="66"/>
      <c r="BL6" t="s">
        <v>1435</v>
      </c>
      <c r="BM6">
        <f>COUNTIFS($O$3:$O$1315, "Y", $M$3:$M$1315, "OT")</f>
        <v>74</v>
      </c>
      <c r="BP6" s="66"/>
      <c r="BR6" s="2">
        <v>1</v>
      </c>
      <c r="BS6" s="123" cm="1">
        <f t="array" ref="BS6">SUM(--(ABS($F$3:$F$1315 - $J$3:$J$1315) = $BR6))</f>
        <v>329</v>
      </c>
      <c r="BT6" s="124">
        <f t="shared" ref="BT6:BT15" si="7">$BS6/$BD$4</f>
        <v>0.34450261780104713</v>
      </c>
      <c r="BU6" s="125" cm="1">
        <f t="array" ref="BU6">SUM(--(ABS($G$3:$G$1315 - $K$3:$K$1315) = $BR6))</f>
        <v>302</v>
      </c>
      <c r="BV6" s="126">
        <f t="shared" ref="BV6:BV15" si="8">$BU6/$BD$4</f>
        <v>0.31623036649214659</v>
      </c>
      <c r="BW6" s="122">
        <f t="shared" si="5"/>
        <v>631</v>
      </c>
      <c r="BX6" s="127">
        <f t="shared" si="6"/>
        <v>0.33036649214659686</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0.56753926701570678</v>
      </c>
      <c r="BH7" t="s">
        <v>1443</v>
      </c>
      <c r="BI7">
        <v>50</v>
      </c>
      <c r="BK7" s="66"/>
      <c r="BL7" t="s">
        <v>1436</v>
      </c>
      <c r="BM7">
        <f>COUNTIFS($O$3:$O$1315, "N", $M$3:$M$1315, "OT")</f>
        <v>66</v>
      </c>
      <c r="BP7" s="66"/>
      <c r="BR7" s="2">
        <v>2</v>
      </c>
      <c r="BS7" s="123" cm="1">
        <f t="array" ref="BS7">SUM(--(ABS($F$3:$F$1315 - $J$3:$J$1315) = $BR7))</f>
        <v>234</v>
      </c>
      <c r="BT7" s="124">
        <f t="shared" si="7"/>
        <v>0.24502617801047119</v>
      </c>
      <c r="BU7" s="125" cm="1">
        <f t="array" ref="BU7">SUM(--(ABS($G$3:$G$1315 - $K$3:$K$1315) = $BR7))</f>
        <v>255</v>
      </c>
      <c r="BV7" s="126">
        <f t="shared" si="8"/>
        <v>0.26701570680628273</v>
      </c>
      <c r="BW7" s="122">
        <f t="shared" si="5"/>
        <v>489</v>
      </c>
      <c r="BX7" s="127">
        <f t="shared" si="6"/>
        <v>0.25602094240837697</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3" cm="1">
        <f t="array" ref="BS8">SUM(--(ABS($F$3:$F$1315 - $J$3:$J$1315) = $BR8))</f>
        <v>154</v>
      </c>
      <c r="BT8" s="124">
        <f t="shared" si="7"/>
        <v>0.16125654450261781</v>
      </c>
      <c r="BU8" s="125" cm="1">
        <f t="array" ref="BU8">SUM(--(ABS($G$3:$G$1315 - $K$3:$K$1315) = $BR8))</f>
        <v>146</v>
      </c>
      <c r="BV8" s="126">
        <f t="shared" si="8"/>
        <v>0.15287958115183245</v>
      </c>
      <c r="BW8" s="122">
        <f t="shared" si="5"/>
        <v>300</v>
      </c>
      <c r="BX8" s="127">
        <f t="shared" si="6"/>
        <v>0.15706806282722513</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470.30000000000126</v>
      </c>
      <c r="BH9" t="s">
        <v>1455</v>
      </c>
      <c r="BI9">
        <v>40</v>
      </c>
      <c r="BK9" s="66"/>
      <c r="BL9" t="s">
        <v>1438</v>
      </c>
      <c r="BM9">
        <f>COUNTIFS($O$3:$O$1315, "N", $M$3:$M$1315, "SO")</f>
        <v>22</v>
      </c>
      <c r="BP9" s="66"/>
      <c r="BR9" s="2">
        <v>4</v>
      </c>
      <c r="BS9" s="123" cm="1">
        <f t="array" ref="BS9">SUM(--(ABS($F$3:$F$1315 - $J$3:$J$1315) = $BR9))</f>
        <v>72</v>
      </c>
      <c r="BT9" s="124">
        <f t="shared" si="7"/>
        <v>7.5392670157068062E-2</v>
      </c>
      <c r="BU9" s="125" cm="1">
        <f t="array" ref="BU9">SUM(--(ABS($G$3:$G$1315 - $K$3:$K$1315) = $BR9))</f>
        <v>81</v>
      </c>
      <c r="BV9" s="126">
        <f t="shared" si="8"/>
        <v>8.4816753926701571E-2</v>
      </c>
      <c r="BW9" s="122">
        <f t="shared" si="5"/>
        <v>153</v>
      </c>
      <c r="BX9" s="127">
        <f t="shared" si="6"/>
        <v>8.0104712041884824E-2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0.49246073298429449</v>
      </c>
      <c r="BH10" t="s">
        <v>1457</v>
      </c>
      <c r="BI10">
        <v>75</v>
      </c>
      <c r="BK10" s="66"/>
      <c r="BP10" s="66"/>
      <c r="BR10" s="2">
        <v>5</v>
      </c>
      <c r="BS10" s="123" cm="1">
        <f t="array" ref="BS10">SUM(--(ABS($F$3:$F$1315 - $J$3:$J$1315) = $BR10))</f>
        <v>17</v>
      </c>
      <c r="BT10" s="124">
        <f t="shared" si="7"/>
        <v>1.7801047120418849E-2</v>
      </c>
      <c r="BU10" s="125" cm="1">
        <f t="array" ref="BU10">SUM(--(ABS($G$3:$G$1315 - $K$3:$K$1315) = $BR10))</f>
        <v>23</v>
      </c>
      <c r="BV10" s="126">
        <f t="shared" si="8"/>
        <v>2.4083769633507852E-2</v>
      </c>
      <c r="BW10" s="122">
        <f t="shared" si="5"/>
        <v>40</v>
      </c>
      <c r="BX10" s="127">
        <f t="shared" si="6"/>
        <v>2.0942408376963352E-2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433.6</v>
      </c>
      <c r="BF11">
        <f>80/100</f>
        <v>0.8</v>
      </c>
      <c r="BH11" t="s">
        <v>1456</v>
      </c>
      <c r="BI11">
        <v>65</v>
      </c>
      <c r="BK11" s="66"/>
      <c r="BL11" s="155" t="str">
        <f>_xlfn.CONCAT(TEXT(BM4+BM6+BM8, "0"),"-",TEXT(BM5, "0"),"-",TEXT(BM7+BM9, "0"))</f>
        <v>542-325-88</v>
      </c>
      <c r="BM11" s="156"/>
      <c r="BN11" t="s">
        <v>1892</v>
      </c>
      <c r="BP11" s="66"/>
      <c r="BR11" s="2">
        <v>6</v>
      </c>
      <c r="BS11" s="123" cm="1">
        <f t="array" ref="BS11">SUM(--(ABS($F$3:$F$1315 - $J$3:$J$1315) = $BR11))</f>
        <v>5</v>
      </c>
      <c r="BT11" s="124">
        <f t="shared" si="7"/>
        <v>5.235602094240838E-3</v>
      </c>
      <c r="BU11" s="125" cm="1">
        <f t="array" ref="BU11">SUM(--(ABS($G$3:$G$1315 - $K$3:$K$1315) = $BR11))</f>
        <v>6</v>
      </c>
      <c r="BV11" s="126">
        <f t="shared" si="8"/>
        <v>6.2827225130890054E-3</v>
      </c>
      <c r="BW11" s="122">
        <f t="shared" si="5"/>
        <v>11</v>
      </c>
      <c r="BX11" s="127">
        <f t="shared" si="6"/>
        <v>5.7591623036649213E-3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49" t="str">
        <f>_xlfn.CONCAT(TEXT(BM4, "0"),"-",TEXT(BM5, "0"),"-",TEXT(BM7+BM9+BM6+BM8, "0"))</f>
        <v>442-325-188</v>
      </c>
      <c r="BM12" s="150"/>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48">
        <f>((BR5*BT5)+(BT6*BR6)+(BT7*BR7)+(BT8*BR8)+(BT9*BR9)+(BT10*BR10)+(BT11*BR11)+(BT12*BR12)+(BT13*BR13)+(BT14*BR14)+(BT15*BR15))</f>
        <v>1.7403141361256544</v>
      </c>
      <c r="BT16" s="148"/>
      <c r="BU16" s="148">
        <f>((BR5*BV5)+(BV6*BR6)+(BV7*BR7)+(BV8*BR8)+(BV9*BR9)+(BV10*BR10)+(BV11*BR11)+(BV12*BR12)+(BV13*BR13)+(BV14*BR14)+(BV15*BR15))</f>
        <v>1.8062827225130889</v>
      </c>
      <c r="BV16" s="148"/>
      <c r="BX16">
        <f>((BR5*BX5)+(BX6*BR6)+(BX7*BR7)+(BX8*BR8)+(BX9*BR9)+(BX10*BR10)+(BX11*BR11)+(BX12*BR12)+(BX13*BR13)+(BX14*BR14)+(BX15*BR15))</f>
        <v>1.7732984293193714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484.90000000000117</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0.50774869109947762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41</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73.8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3-0-0</v>
      </c>
      <c r="AP241" s="2" t="str">
        <f>INDEX(Sheet5!$B$2:$AG$33, MATCH(Table2[[#This Row],[HomeTeam]],Sheet5!$A$2:$A$33, 0), MATCH(Table2[[#This Row],[AwayTeam]],Sheet5!$A$2:$A$33, 0))</f>
        <v>0-3-0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0-3-0</v>
      </c>
      <c r="AP499" s="2" t="str">
        <f>INDEX(Sheet5!$B$2:$AG$33, MATCH(Table2[[#This Row],[HomeTeam]],Sheet5!$A$2:$A$33, 0), MATCH(Table2[[#This Row],[AwayTeam]],Sheet5!$A$2:$A$33, 0))</f>
        <v>3-0-0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-10</v>
      </c>
      <c r="AI950" s="2">
        <f t="shared" si="78"/>
        <v>-15</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-10</v>
      </c>
      <c r="AI951" s="2">
        <f t="shared" si="78"/>
        <v>-15</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-10</v>
      </c>
      <c r="AI952" s="2">
        <f t="shared" si="78"/>
        <v>-15</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-10</v>
      </c>
      <c r="AI953" s="2">
        <f t="shared" si="78"/>
        <v>-15</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-10</v>
      </c>
      <c r="AI954" s="2">
        <f t="shared" si="78"/>
        <v>-15</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-10</v>
      </c>
      <c r="AI955" s="2">
        <f t="shared" si="78"/>
        <v>-15</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3-0-0</v>
      </c>
      <c r="AP955" s="2" t="str">
        <f>INDEX(Sheet5!$B$2:$AG$33, MATCH(Table2[[#This Row],[HomeTeam]],Sheet5!$A$2:$A$33, 0), MATCH(Table2[[#This Row],[AwayTeam]],Sheet5!$A$2:$A$33, 0))</f>
        <v>0-3-0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-10</v>
      </c>
      <c r="AI956" s="2">
        <f t="shared" si="78"/>
        <v>-15</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-10</v>
      </c>
      <c r="AI957" s="2">
        <f t="shared" si="78"/>
        <v>-15</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-10</v>
      </c>
      <c r="AI958" s="2">
        <f t="shared" si="78"/>
        <v>-15</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2</v>
      </c>
      <c r="L959" s="2" t="str">
        <f t="shared" si="75"/>
        <v>STL</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0</v>
      </c>
      <c r="AH959" s="2">
        <f t="shared" si="77"/>
        <v>-10</v>
      </c>
      <c r="AI959" s="2">
        <f t="shared" si="78"/>
        <v>-15</v>
      </c>
      <c r="AJ959" s="2">
        <v>10</v>
      </c>
      <c r="AK959" s="4">
        <v>45723</v>
      </c>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-10</v>
      </c>
      <c r="AI960" s="2">
        <f t="shared" si="78"/>
        <v>-15</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-10</v>
      </c>
      <c r="AI961" s="2">
        <f t="shared" si="78"/>
        <v>-15</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-10</v>
      </c>
      <c r="AI962" s="3">
        <f t="shared" si="78"/>
        <v>-15</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v>0</v>
      </c>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v>1</v>
      </c>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v>0</v>
      </c>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v>2</v>
      </c>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0-3-0</v>
      </c>
      <c r="AP970" s="2" t="str">
        <f>INDEX(Sheet5!$B$2:$AG$33, MATCH(Table2[[#This Row],[HomeTeam]],Sheet5!$A$2:$A$33, 0), MATCH(Table2[[#This Row],[AwayTeam]],Sheet5!$A$2:$A$33, 0))</f>
        <v>3-0-0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5">
        <v>45722</v>
      </c>
      <c r="B998" s="5">
        <v>45722</v>
      </c>
      <c r="C998" s="8" t="s">
        <v>1108</v>
      </c>
      <c r="D998" s="3" t="s">
        <v>37</v>
      </c>
      <c r="E998" s="3" t="s">
        <v>25</v>
      </c>
      <c r="F998" s="3">
        <v>2</v>
      </c>
      <c r="G998" s="3">
        <v>5</v>
      </c>
      <c r="H998" s="3" t="str">
        <f t="shared" si="79"/>
        <v>COL</v>
      </c>
      <c r="I998" s="3" t="s">
        <v>39</v>
      </c>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-2</v>
      </c>
      <c r="AG998" s="3">
        <f>Table2[[#This Row],[ActualHomeScore]]-Table2[[#This Row],[PredictedHomeScore]]</f>
        <v>-5</v>
      </c>
      <c r="AH998" s="3">
        <f t="shared" si="82"/>
        <v>-24</v>
      </c>
      <c r="AI998" s="3">
        <f t="shared" si="83"/>
        <v>-31</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77</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63</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64</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77</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63</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64</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74</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77</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63</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64</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74</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77</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63</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64</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74</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77</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63</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64</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74</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77</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63</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64</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74</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77</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63</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64</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74</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77</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63</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64</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74</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77</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63</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64</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74</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77</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63</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64</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74</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77</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63</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64</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74</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77</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63</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64</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74</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77</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63</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64</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74</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77</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63</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64</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74</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77</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63</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64</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74</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77</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63</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64</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74</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77</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63</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64</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74</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77</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63</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64</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74</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77</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63</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64</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74</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77</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63</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64</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74</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77</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63</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64</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74</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77</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63</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64</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74</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77</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63</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64</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74</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77</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63</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64</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74</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77</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63</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64</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74</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77</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63</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64</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74</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77</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63</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64</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74</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77</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63</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64</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74</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77</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63</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64</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74</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77</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63</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64</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74</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77</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63</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64</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74</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77</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63</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64</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74</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77</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63</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64</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74</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77</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63</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64</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74</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77</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63</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64</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74</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77</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63</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64</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74</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77</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63</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64</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74</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77</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63</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64</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74</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77</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63</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64</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74</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77</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63</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64</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74</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77</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63</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64</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74</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77</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63</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64</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74</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77</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63</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64</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74</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77</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63</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64</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74</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77</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63</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64</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74</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77</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63</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64</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74</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77</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63</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64</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74</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77</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63</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64</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74</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77</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63</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64</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74</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Y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77</v>
      </c>
      <c r="EZ3">
        <f>SUMIFS(DataRegularSeason20242025!$AA$3:$AA$1315,DataRegularSeason20242025!$B$3:$B$1315, "&lt;=" &amp; EZ$1, DataRegularSeason20242025!$D$3:$D$1315, $A3)+SUMIFS(DataRegularSeason20242025!$AB$3:$AB$1315,DataRegularSeason20242025!$B$3:$B$1315, "&lt;=" &amp; EZ$1, DataRegularSeason20242025!$E$3:$E$1315, $A3)</f>
        <v>77</v>
      </c>
      <c r="FA3">
        <f>SUMIFS(DataRegularSeason20242025!$AA$3:$AA$1315,DataRegularSeason20242025!$B$3:$B$1315, "&lt;=" &amp; FA$1, DataRegularSeason20242025!$D$3:$D$1315, $A3)+SUMIFS(DataRegularSeason20242025!$AB$3:$AB$1315,DataRegularSeason20242025!$B$3:$B$1315, "&lt;=" &amp; FA$1, DataRegularSeason20242025!$E$3:$E$1315, $A3)</f>
        <v>77</v>
      </c>
      <c r="FB3">
        <f>SUMIFS(DataRegularSeason20242025!$AA$3:$AA$1315,DataRegularSeason20242025!$B$3:$B$1315, "&lt;=" &amp; FB$1, DataRegularSeason20242025!$D$3:$D$1315, $A3)+SUMIFS(DataRegularSeason20242025!$AB$3:$AB$1315,DataRegularSeason20242025!$B$3:$B$1315, "&lt;=" &amp; FB$1, DataRegularSeason20242025!$E$3:$E$1315, $A3)</f>
        <v>77</v>
      </c>
      <c r="FC3">
        <f>SUMIFS(DataRegularSeason20242025!$AA$3:$AA$1315,DataRegularSeason20242025!$B$3:$B$1315, "&lt;=" &amp; FC$1, DataRegularSeason20242025!$D$3:$D$1315, $A3)+SUMIFS(DataRegularSeason20242025!$AB$3:$AB$1315,DataRegularSeason20242025!$B$3:$B$1315, "&lt;=" &amp; FC$1, DataRegularSeason20242025!$E$3:$E$1315, $A3)</f>
        <v>77</v>
      </c>
      <c r="FD3">
        <f>SUMIFS(DataRegularSeason20242025!$AA$3:$AA$1315,DataRegularSeason20242025!$B$3:$B$1315, "&lt;=" &amp; FD$1, DataRegularSeason20242025!$D$3:$D$1315, $A3)+SUMIFS(DataRegularSeason20242025!$AB$3:$AB$1315,DataRegularSeason20242025!$B$3:$B$1315, "&lt;=" &amp; FD$1, DataRegularSeason20242025!$E$3:$E$1315, $A3)</f>
        <v>77</v>
      </c>
      <c r="FE3">
        <f>SUMIFS(DataRegularSeason20242025!$AA$3:$AA$1315,DataRegularSeason20242025!$B$3:$B$1315, "&lt;=" &amp; FE$1, DataRegularSeason20242025!$D$3:$D$1315, $A3)+SUMIFS(DataRegularSeason20242025!$AB$3:$AB$1315,DataRegularSeason20242025!$B$3:$B$1315, "&lt;=" &amp; FE$1, DataRegularSeason20242025!$E$3:$E$1315, $A3)</f>
        <v>77</v>
      </c>
      <c r="FF3">
        <f>SUMIFS(DataRegularSeason20242025!$AA$3:$AA$1315,DataRegularSeason20242025!$B$3:$B$1315, "&lt;=" &amp; FF$1, DataRegularSeason20242025!$D$3:$D$1315, $A3)+SUMIFS(DataRegularSeason20242025!$AB$3:$AB$1315,DataRegularSeason20242025!$B$3:$B$1315, "&lt;=" &amp; FF$1, DataRegularSeason20242025!$E$3:$E$1315, $A3)</f>
        <v>77</v>
      </c>
      <c r="FG3">
        <f>SUMIFS(DataRegularSeason20242025!$AA$3:$AA$1315,DataRegularSeason20242025!$B$3:$B$1315, "&lt;=" &amp; FG$1, DataRegularSeason20242025!$D$3:$D$1315, $A3)+SUMIFS(DataRegularSeason20242025!$AB$3:$AB$1315,DataRegularSeason20242025!$B$3:$B$1315, "&lt;=" &amp; FG$1, DataRegularSeason20242025!$E$3:$E$1315, $A3)</f>
        <v>77</v>
      </c>
      <c r="FH3">
        <f>SUMIFS(DataRegularSeason20242025!$AA$3:$AA$1315,DataRegularSeason20242025!$B$3:$B$1315, "&lt;=" &amp; FH$1, DataRegularSeason20242025!$D$3:$D$1315, $A3)+SUMIFS(DataRegularSeason20242025!$AB$3:$AB$1315,DataRegularSeason20242025!$B$3:$B$1315, "&lt;=" &amp; FH$1, DataRegularSeason20242025!$E$3:$E$1315, $A3)</f>
        <v>77</v>
      </c>
      <c r="FI3">
        <f>SUMIFS(DataRegularSeason20242025!$AA$3:$AA$1315,DataRegularSeason20242025!$B$3:$B$1315, "&lt;=" &amp; FI$1, DataRegularSeason20242025!$D$3:$D$1315, $A3)+SUMIFS(DataRegularSeason20242025!$AB$3:$AB$1315,DataRegularSeason20242025!$B$3:$B$1315, "&lt;=" &amp; FI$1, DataRegularSeason20242025!$E$3:$E$1315, $A3)</f>
        <v>77</v>
      </c>
      <c r="FJ3">
        <f>SUMIFS(DataRegularSeason20242025!$AA$3:$AA$1315,DataRegularSeason20242025!$B$3:$B$1315, "&lt;=" &amp; FJ$1, DataRegularSeason20242025!$D$3:$D$1315, $A3)+SUMIFS(DataRegularSeason20242025!$AB$3:$AB$1315,DataRegularSeason20242025!$B$3:$B$1315, "&lt;=" &amp; FJ$1, DataRegularSeason20242025!$E$3:$E$1315, $A3)</f>
        <v>77</v>
      </c>
      <c r="FK3">
        <f>SUMIFS(DataRegularSeason20242025!$AA$3:$AA$1315,DataRegularSeason20242025!$B$3:$B$1315, "&lt;=" &amp; FK$1, DataRegularSeason20242025!$D$3:$D$1315, $A3)+SUMIFS(DataRegularSeason20242025!$AB$3:$AB$1315,DataRegularSeason20242025!$B$3:$B$1315, "&lt;=" &amp; FK$1, DataRegularSeason20242025!$E$3:$E$1315, $A3)</f>
        <v>77</v>
      </c>
      <c r="FL3">
        <f>SUMIFS(DataRegularSeason20242025!$AA$3:$AA$1315,DataRegularSeason20242025!$B$3:$B$1315, "&lt;=" &amp; FL$1, DataRegularSeason20242025!$D$3:$D$1315, $A3)+SUMIFS(DataRegularSeason20242025!$AB$3:$AB$1315,DataRegularSeason20242025!$B$3:$B$1315, "&lt;=" &amp; FL$1, DataRegularSeason20242025!$E$3:$E$1315, $A3)</f>
        <v>77</v>
      </c>
      <c r="FM3">
        <f>SUMIFS(DataRegularSeason20242025!$AA$3:$AA$1315,DataRegularSeason20242025!$B$3:$B$1315, "&lt;=" &amp; FM$1, DataRegularSeason20242025!$D$3:$D$1315, $A3)+SUMIFS(DataRegularSeason20242025!$AB$3:$AB$1315,DataRegularSeason20242025!$B$3:$B$1315, "&lt;=" &amp; FM$1, DataRegularSeason20242025!$E$3:$E$1315, $A3)</f>
        <v>77</v>
      </c>
      <c r="FN3">
        <f>SUMIFS(DataRegularSeason20242025!$AA$3:$AA$1315,DataRegularSeason20242025!$B$3:$B$1315, "&lt;=" &amp; FN$1, DataRegularSeason20242025!$D$3:$D$1315, $A3)+SUMIFS(DataRegularSeason20242025!$AB$3:$AB$1315,DataRegularSeason20242025!$B$3:$B$1315, "&lt;=" &amp; FN$1, DataRegularSeason20242025!$E$3:$E$1315, $A3)</f>
        <v>77</v>
      </c>
      <c r="FO3">
        <f>SUMIFS(DataRegularSeason20242025!$AA$3:$AA$1315,DataRegularSeason20242025!$B$3:$B$1315, "&lt;=" &amp; FO$1, DataRegularSeason20242025!$D$3:$D$1315, $A3)+SUMIFS(DataRegularSeason20242025!$AB$3:$AB$1315,DataRegularSeason20242025!$B$3:$B$1315, "&lt;=" &amp; FO$1, DataRegularSeason20242025!$E$3:$E$1315, $A3)</f>
        <v>77</v>
      </c>
      <c r="FP3">
        <f>SUMIFS(DataRegularSeason20242025!$AA$3:$AA$1315,DataRegularSeason20242025!$B$3:$B$1315, "&lt;=" &amp; FP$1, DataRegularSeason20242025!$D$3:$D$1315, $A3)+SUMIFS(DataRegularSeason20242025!$AB$3:$AB$1315,DataRegularSeason20242025!$B$3:$B$1315, "&lt;=" &amp; FP$1, DataRegularSeason20242025!$E$3:$E$1315, $A3)</f>
        <v>77</v>
      </c>
      <c r="FQ3">
        <f>SUMIFS(DataRegularSeason20242025!$AA$3:$AA$1315,DataRegularSeason20242025!$B$3:$B$1315, "&lt;=" &amp; FQ$1, DataRegularSeason20242025!$D$3:$D$1315, $A3)+SUMIFS(DataRegularSeason20242025!$AB$3:$AB$1315,DataRegularSeason20242025!$B$3:$B$1315, "&lt;=" &amp; FQ$1, DataRegularSeason20242025!$E$3:$E$1315, $A3)</f>
        <v>77</v>
      </c>
      <c r="FR3">
        <f>SUMIFS(DataRegularSeason20242025!$AA$3:$AA$1315,DataRegularSeason20242025!$B$3:$B$1315, "&lt;=" &amp; FR$1, DataRegularSeason20242025!$D$3:$D$1315, $A3)+SUMIFS(DataRegularSeason20242025!$AB$3:$AB$1315,DataRegularSeason20242025!$B$3:$B$1315, "&lt;=" &amp; FR$1, DataRegularSeason20242025!$E$3:$E$1315, $A3)</f>
        <v>77</v>
      </c>
      <c r="FS3">
        <f>SUMIFS(DataRegularSeason20242025!$AA$3:$AA$1315,DataRegularSeason20242025!$B$3:$B$1315, "&lt;=" &amp; FS$1, DataRegularSeason20242025!$D$3:$D$1315, $A3)+SUMIFS(DataRegularSeason20242025!$AB$3:$AB$1315,DataRegularSeason20242025!$B$3:$B$1315, "&lt;=" &amp; FS$1, DataRegularSeason20242025!$E$3:$E$1315, $A3)</f>
        <v>77</v>
      </c>
      <c r="FT3">
        <f>SUMIFS(DataRegularSeason20242025!$AA$3:$AA$1315,DataRegularSeason20242025!$B$3:$B$1315, "&lt;=" &amp; FT$1, DataRegularSeason20242025!$D$3:$D$1315, $A3)+SUMIFS(DataRegularSeason20242025!$AB$3:$AB$1315,DataRegularSeason20242025!$B$3:$B$1315, "&lt;=" &amp; FT$1, DataRegularSeason20242025!$E$3:$E$1315, $A3)</f>
        <v>77</v>
      </c>
      <c r="FU3">
        <f>SUMIFS(DataRegularSeason20242025!$AA$3:$AA$1315,DataRegularSeason20242025!$B$3:$B$1315, "&lt;=" &amp; FU$1, DataRegularSeason20242025!$D$3:$D$1315, $A3)+SUMIFS(DataRegularSeason20242025!$AB$3:$AB$1315,DataRegularSeason20242025!$B$3:$B$1315, "&lt;=" &amp; FU$1, DataRegularSeason20242025!$E$3:$E$1315, $A3)</f>
        <v>77</v>
      </c>
      <c r="FV3">
        <f>SUMIFS(DataRegularSeason20242025!$AA$3:$AA$1315,DataRegularSeason20242025!$B$3:$B$1315, "&lt;=" &amp; FV$1, DataRegularSeason20242025!$D$3:$D$1315, $A3)+SUMIFS(DataRegularSeason20242025!$AB$3:$AB$1315,DataRegularSeason20242025!$B$3:$B$1315, "&lt;=" &amp; FV$1, DataRegularSeason20242025!$E$3:$E$1315, $A3)</f>
        <v>77</v>
      </c>
      <c r="FW3">
        <f>SUMIFS(DataRegularSeason20242025!$AA$3:$AA$1315,DataRegularSeason20242025!$B$3:$B$1315, "&lt;=" &amp; FW$1, DataRegularSeason20242025!$D$3:$D$1315, $A3)+SUMIFS(DataRegularSeason20242025!$AB$3:$AB$1315,DataRegularSeason20242025!$B$3:$B$1315, "&lt;=" &amp; FW$1, DataRegularSeason20242025!$E$3:$E$1315, $A3)</f>
        <v>77</v>
      </c>
      <c r="FX3">
        <f>SUMIFS(DataRegularSeason20242025!$AA$3:$AA$1315,DataRegularSeason20242025!$B$3:$B$1315, "&lt;=" &amp; FX$1, DataRegularSeason20242025!$D$3:$D$1315, $A3)+SUMIFS(DataRegularSeason20242025!$AB$3:$AB$1315,DataRegularSeason20242025!$B$3:$B$1315, "&lt;=" &amp; FX$1, DataRegularSeason20242025!$E$3:$E$1315, $A3)</f>
        <v>77</v>
      </c>
      <c r="FY3">
        <f>SUMIFS(DataRegularSeason20242025!$AA$3:$AA$1315,DataRegularSeason20242025!$B$3:$B$1315, "&lt;=" &amp; FY$1, DataRegularSeason20242025!$D$3:$D$1315, $A3)+SUMIFS(DataRegularSeason20242025!$AB$3:$AB$1315,DataRegularSeason20242025!$B$3:$B$1315, "&lt;=" &amp; FY$1, DataRegularSeason20242025!$E$3:$E$1315, $A3)</f>
        <v>77</v>
      </c>
      <c r="FZ3">
        <f>SUMIFS(DataRegularSeason20242025!$AA$3:$AA$1315,DataRegularSeason20242025!$B$3:$B$1315, "&lt;=" &amp; FZ$1, DataRegularSeason20242025!$D$3:$D$1315, $A3)+SUMIFS(DataRegularSeason20242025!$AB$3:$AB$1315,DataRegularSeason20242025!$B$3:$B$1315, "&lt;=" &amp; FZ$1, DataRegularSeason20242025!$E$3:$E$1315, $A3)</f>
        <v>77</v>
      </c>
      <c r="GA3">
        <f>SUMIFS(DataRegularSeason20242025!$AA$3:$AA$1315,DataRegularSeason20242025!$B$3:$B$1315, "&lt;=" &amp; GA$1, DataRegularSeason20242025!$D$3:$D$1315, $A3)+SUMIFS(DataRegularSeason20242025!$AB$3:$AB$1315,DataRegularSeason20242025!$B$3:$B$1315, "&lt;=" &amp; GA$1, DataRegularSeason20242025!$E$3:$E$1315, $A3)</f>
        <v>77</v>
      </c>
      <c r="GB3">
        <f>SUMIFS(DataRegularSeason20242025!$AA$3:$AA$1315,DataRegularSeason20242025!$B$3:$B$1315, "&lt;=" &amp; GB$1, DataRegularSeason20242025!$D$3:$D$1315, $A3)+SUMIFS(DataRegularSeason20242025!$AB$3:$AB$1315,DataRegularSeason20242025!$B$3:$B$1315, "&lt;=" &amp; GB$1, DataRegularSeason20242025!$E$3:$E$1315, $A3)</f>
        <v>77</v>
      </c>
      <c r="GC3">
        <f>SUMIFS(DataRegularSeason20242025!$AA$3:$AA$1315,DataRegularSeason20242025!$B$3:$B$1315, "&lt;=" &amp; GC$1, DataRegularSeason20242025!$D$3:$D$1315, $A3)+SUMIFS(DataRegularSeason20242025!$AB$3:$AB$1315,DataRegularSeason20242025!$B$3:$B$1315, "&lt;=" &amp; GC$1, DataRegularSeason20242025!$E$3:$E$1315, $A3)</f>
        <v>77</v>
      </c>
      <c r="GD3">
        <f>SUMIFS(DataRegularSeason20242025!$AA$3:$AA$1315,DataRegularSeason20242025!$B$3:$B$1315, "&lt;=" &amp; GD$1, DataRegularSeason20242025!$D$3:$D$1315, $A3)+SUMIFS(DataRegularSeason20242025!$AB$3:$AB$1315,DataRegularSeason20242025!$B$3:$B$1315, "&lt;=" &amp; GD$1, DataRegularSeason20242025!$E$3:$E$1315, $A3)</f>
        <v>77</v>
      </c>
      <c r="GE3">
        <f>SUMIFS(DataRegularSeason20242025!$AA$3:$AA$1315,DataRegularSeason20242025!$B$3:$B$1315, "&lt;=" &amp; GE$1, DataRegularSeason20242025!$D$3:$D$1315, $A3)+SUMIFS(DataRegularSeason20242025!$AB$3:$AB$1315,DataRegularSeason20242025!$B$3:$B$1315, "&lt;=" &amp; GE$1, DataRegularSeason20242025!$E$3:$E$1315, $A3)</f>
        <v>77</v>
      </c>
      <c r="GF3">
        <f>SUMIFS(DataRegularSeason20242025!$AA$3:$AA$1315,DataRegularSeason20242025!$B$3:$B$1315, "&lt;=" &amp; GF$1, DataRegularSeason20242025!$D$3:$D$1315, $A3)+SUMIFS(DataRegularSeason20242025!$AB$3:$AB$1315,DataRegularSeason20242025!$B$3:$B$1315, "&lt;=" &amp; GF$1, DataRegularSeason20242025!$E$3:$E$1315, $A3)</f>
        <v>77</v>
      </c>
      <c r="GG3">
        <f>SUMIFS(DataRegularSeason20242025!$AA$3:$AA$1315,DataRegularSeason20242025!$B$3:$B$1315, "&lt;=" &amp; GG$1, DataRegularSeason20242025!$D$3:$D$1315, $A3)+SUMIFS(DataRegularSeason20242025!$AB$3:$AB$1315,DataRegularSeason20242025!$B$3:$B$1315, "&lt;=" &amp; GG$1, DataRegularSeason20242025!$E$3:$E$1315, $A3)</f>
        <v>77</v>
      </c>
      <c r="GH3">
        <f>SUMIFS(DataRegularSeason20242025!$AA$3:$AA$1315,DataRegularSeason20242025!$B$3:$B$1315, "&lt;=" &amp; GH$1, DataRegularSeason20242025!$D$3:$D$1315, $A3)+SUMIFS(DataRegularSeason20242025!$AB$3:$AB$1315,DataRegularSeason20242025!$B$3:$B$1315, "&lt;=" &amp; GH$1, DataRegularSeason20242025!$E$3:$E$1315, $A3)</f>
        <v>77</v>
      </c>
      <c r="GI3">
        <f>SUMIFS(DataRegularSeason20242025!$AA$3:$AA$1315,DataRegularSeason20242025!$B$3:$B$1315, "&lt;=" &amp; GI$1, DataRegularSeason20242025!$D$3:$D$1315, $A3)+SUMIFS(DataRegularSeason20242025!$AB$3:$AB$1315,DataRegularSeason20242025!$B$3:$B$1315, "&lt;=" &amp; GI$1, DataRegularSeason20242025!$E$3:$E$1315, $A3)</f>
        <v>77</v>
      </c>
      <c r="GJ3">
        <f>SUMIFS(DataRegularSeason20242025!$AA$3:$AA$1315,DataRegularSeason20242025!$B$3:$B$1315, "&lt;=" &amp; GJ$1, DataRegularSeason20242025!$D$3:$D$1315, $A3)+SUMIFS(DataRegularSeason20242025!$AB$3:$AB$1315,DataRegularSeason20242025!$B$3:$B$1315, "&lt;=" &amp; GJ$1, DataRegularSeason20242025!$E$3:$E$1315, $A3)</f>
        <v>77</v>
      </c>
      <c r="GK3">
        <f>SUMIFS(DataRegularSeason20242025!$AA$3:$AA$1315,DataRegularSeason20242025!$B$3:$B$1315, "&lt;=" &amp; GK$1, DataRegularSeason20242025!$D$3:$D$1315, $A3)+SUMIFS(DataRegularSeason20242025!$AB$3:$AB$1315,DataRegularSeason20242025!$B$3:$B$1315, "&lt;=" &amp; GK$1, DataRegularSeason20242025!$E$3:$E$1315, $A3)</f>
        <v>77</v>
      </c>
      <c r="GL3">
        <f>SUMIFS(DataRegularSeason20242025!$AA$3:$AA$1315,DataRegularSeason20242025!$B$3:$B$1315, "&lt;=" &amp; GL$1, DataRegularSeason20242025!$D$3:$D$1315, $A3)+SUMIFS(DataRegularSeason20242025!$AB$3:$AB$1315,DataRegularSeason20242025!$B$3:$B$1315, "&lt;=" &amp; GL$1, DataRegularSeason20242025!$E$3:$E$1315, $A3)</f>
        <v>77</v>
      </c>
      <c r="GM3">
        <f>SUMIFS(DataRegularSeason20242025!$AA$3:$AA$1315,DataRegularSeason20242025!$B$3:$B$1315, "&lt;=" &amp; GM$1, DataRegularSeason20242025!$D$3:$D$1315, $A3)+SUMIFS(DataRegularSeason20242025!$AB$3:$AB$1315,DataRegularSeason20242025!$B$3:$B$1315, "&lt;=" &amp; GM$1, DataRegularSeason20242025!$E$3:$E$1315, $A3)</f>
        <v>77</v>
      </c>
      <c r="GN3">
        <f>SUMIFS(DataRegularSeason20242025!$AA$3:$AA$1315,DataRegularSeason20242025!$B$3:$B$1315, "&lt;=" &amp; GN$1, DataRegularSeason20242025!$D$3:$D$1315, $A3)+SUMIFS(DataRegularSeason20242025!$AB$3:$AB$1315,DataRegularSeason20242025!$B$3:$B$1315, "&lt;=" &amp; GN$1, DataRegularSeason20242025!$E$3:$E$1315, $A3)</f>
        <v>77</v>
      </c>
      <c r="GO3">
        <f>SUMIFS(DataRegularSeason20242025!$AA$3:$AA$1315,DataRegularSeason20242025!$B$3:$B$1315, "&lt;=" &amp; GO$1, DataRegularSeason20242025!$D$3:$D$1315, $A3)+SUMIFS(DataRegularSeason20242025!$AB$3:$AB$1315,DataRegularSeason20242025!$B$3:$B$1315, "&lt;=" &amp; GO$1, DataRegularSeason20242025!$E$3:$E$1315, $A3)</f>
        <v>77</v>
      </c>
      <c r="GP3">
        <f>SUMIFS(DataRegularSeason20242025!$AA$3:$AA$1315,DataRegularSeason20242025!$B$3:$B$1315, "&lt;=" &amp; GP$1, DataRegularSeason20242025!$D$3:$D$1315, $A3)+SUMIFS(DataRegularSeason20242025!$AB$3:$AB$1315,DataRegularSeason20242025!$B$3:$B$1315, "&lt;=" &amp; GP$1, DataRegularSeason20242025!$E$3:$E$1315, $A3)</f>
        <v>77</v>
      </c>
      <c r="GQ3">
        <f>SUMIFS(DataRegularSeason20242025!$AA$3:$AA$1315,DataRegularSeason20242025!$B$3:$B$1315, "&lt;=" &amp; GQ$1, DataRegularSeason20242025!$D$3:$D$1315, $A3)+SUMIFS(DataRegularSeason20242025!$AB$3:$AB$1315,DataRegularSeason20242025!$B$3:$B$1315, "&lt;=" &amp; GQ$1, DataRegularSeason20242025!$E$3:$E$1315, $A3)</f>
        <v>77</v>
      </c>
      <c r="GR3">
        <f>SUMIFS(DataRegularSeason20242025!$AA$3:$AA$1315,DataRegularSeason20242025!$B$3:$B$1315, "&lt;=" &amp; GR$1, DataRegularSeason20242025!$D$3:$D$1315, $A3)+SUMIFS(DataRegularSeason20242025!$AB$3:$AB$1315,DataRegularSeason20242025!$B$3:$B$1315, "&lt;=" &amp; GR$1, DataRegularSeason20242025!$E$3:$E$1315, $A3)</f>
        <v>77</v>
      </c>
      <c r="GS3">
        <f>SUMIFS(DataRegularSeason20242025!$AA$3:$AA$1315,DataRegularSeason20242025!$B$3:$B$1315, "&lt;=" &amp; GS$1, DataRegularSeason20242025!$D$3:$D$1315, $A3)+SUMIFS(DataRegularSeason20242025!$AB$3:$AB$1315,DataRegularSeason20242025!$B$3:$B$1315, "&lt;=" &amp; GS$1, DataRegularSeason20242025!$E$3:$E$1315, $A3)</f>
        <v>77</v>
      </c>
      <c r="GT3">
        <f>SUMIFS(DataRegularSeason20242025!$AA$3:$AA$1315,DataRegularSeason20242025!$B$3:$B$1315, "&lt;=" &amp; GT$1, DataRegularSeason20242025!$D$3:$D$1315, $A3)+SUMIFS(DataRegularSeason20242025!$AB$3:$AB$1315,DataRegularSeason20242025!$B$3:$B$1315, "&lt;=" &amp; GT$1, DataRegularSeason20242025!$E$3:$E$1315, $A3)</f>
        <v>77</v>
      </c>
      <c r="GU3">
        <f>SUMIFS(DataRegularSeason20242025!$AA$3:$AA$1315,DataRegularSeason20242025!$B$3:$B$1315, "&lt;=" &amp; GU$1, DataRegularSeason20242025!$D$3:$D$1315, $A3)+SUMIFS(DataRegularSeason20242025!$AB$3:$AB$1315,DataRegularSeason20242025!$B$3:$B$1315, "&lt;=" &amp; GU$1, DataRegularSeason20242025!$E$3:$E$1315, $A3)</f>
        <v>77</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15</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60</v>
      </c>
      <c r="DY6">
        <f>SUMIFS(DataRegularSeason20242025!$AA$3:$AA$1315,DataRegularSeason20242025!$B$3:$B$1315, "&lt;=" &amp; DY$1, DataRegularSeason20242025!$D$3:$D$1315, $A6)+SUMIFS(DataRegularSeason20242025!$AB$3:$AB$1315,DataRegularSeason20242025!$B$3:$B$1315, "&lt;=" &amp; DY$1, DataRegularSeason20242025!$E$3:$E$1315, $A6)</f>
        <v>60</v>
      </c>
      <c r="DZ6">
        <f>SUMIFS(DataRegularSeason20242025!$AA$3:$AA$1315,DataRegularSeason20242025!$B$3:$B$1315, "&lt;=" &amp; DZ$1, DataRegularSeason20242025!$D$3:$D$1315, $A6)+SUMIFS(DataRegularSeason20242025!$AB$3:$AB$1315,DataRegularSeason20242025!$B$3:$B$1315, "&lt;=" &amp; DZ$1, DataRegularSeason20242025!$E$3:$E$1315, $A6)</f>
        <v>60</v>
      </c>
      <c r="EA6">
        <f>SUMIFS(DataRegularSeason20242025!$AA$3:$AA$1315,DataRegularSeason20242025!$B$3:$B$1315, "&lt;=" &amp; EA$1, DataRegularSeason20242025!$D$3:$D$1315, $A6)+SUMIFS(DataRegularSeason20242025!$AB$3:$AB$1315,DataRegularSeason20242025!$B$3:$B$1315, "&lt;=" &amp; EA$1, DataRegularSeason20242025!$E$3:$E$1315, $A6)</f>
        <v>60</v>
      </c>
      <c r="EB6">
        <f>SUMIFS(DataRegularSeason20242025!$AA$3:$AA$1315,DataRegularSeason20242025!$B$3:$B$1315, "&lt;=" &amp; EB$1, DataRegularSeason20242025!$D$3:$D$1315, $A6)+SUMIFS(DataRegularSeason20242025!$AB$3:$AB$1315,DataRegularSeason20242025!$B$3:$B$1315, "&lt;=" &amp; EB$1, DataRegularSeason20242025!$E$3:$E$1315, $A6)</f>
        <v>60</v>
      </c>
      <c r="EC6">
        <f>SUMIFS(DataRegularSeason20242025!$AA$3:$AA$1315,DataRegularSeason20242025!$B$3:$B$1315, "&lt;=" &amp; EC$1, DataRegularSeason20242025!$D$3:$D$1315, $A6)+SUMIFS(DataRegularSeason20242025!$AB$3:$AB$1315,DataRegularSeason20242025!$B$3:$B$1315, "&lt;=" &amp; EC$1, DataRegularSeason20242025!$E$3:$E$1315, $A6)</f>
        <v>60</v>
      </c>
      <c r="ED6">
        <f>SUMIFS(DataRegularSeason20242025!$AA$3:$AA$1315,DataRegularSeason20242025!$B$3:$B$1315, "&lt;=" &amp; ED$1, DataRegularSeason20242025!$D$3:$D$1315, $A6)+SUMIFS(DataRegularSeason20242025!$AB$3:$AB$1315,DataRegularSeason20242025!$B$3:$B$1315, "&lt;=" &amp; ED$1, DataRegularSeason20242025!$E$3:$E$1315, $A6)</f>
        <v>60</v>
      </c>
      <c r="EE6">
        <f>SUMIFS(DataRegularSeason20242025!$AA$3:$AA$1315,DataRegularSeason20242025!$B$3:$B$1315, "&lt;=" &amp; EE$1, DataRegularSeason20242025!$D$3:$D$1315, $A6)+SUMIFS(DataRegularSeason20242025!$AB$3:$AB$1315,DataRegularSeason20242025!$B$3:$B$1315, "&lt;=" &amp; EE$1, DataRegularSeason20242025!$E$3:$E$1315, $A6)</f>
        <v>60</v>
      </c>
      <c r="EF6">
        <f>SUMIFS(DataRegularSeason20242025!$AA$3:$AA$1315,DataRegularSeason20242025!$B$3:$B$1315, "&lt;=" &amp; EF$1, DataRegularSeason20242025!$D$3:$D$1315, $A6)+SUMIFS(DataRegularSeason20242025!$AB$3:$AB$1315,DataRegularSeason20242025!$B$3:$B$1315, "&lt;=" &amp; EF$1, DataRegularSeason20242025!$E$3:$E$1315, $A6)</f>
        <v>60</v>
      </c>
      <c r="EG6">
        <f>SUMIFS(DataRegularSeason20242025!$AA$3:$AA$1315,DataRegularSeason20242025!$B$3:$B$1315, "&lt;=" &amp; EG$1, DataRegularSeason20242025!$D$3:$D$1315, $A6)+SUMIFS(DataRegularSeason20242025!$AB$3:$AB$1315,DataRegularSeason20242025!$B$3:$B$1315, "&lt;=" &amp; EG$1, DataRegularSeason20242025!$E$3:$E$1315, $A6)</f>
        <v>60</v>
      </c>
      <c r="EH6">
        <f>SUMIFS(DataRegularSeason20242025!$AA$3:$AA$1315,DataRegularSeason20242025!$B$3:$B$1315, "&lt;=" &amp; EH$1, DataRegularSeason20242025!$D$3:$D$1315, $A6)+SUMIFS(DataRegularSeason20242025!$AB$3:$AB$1315,DataRegularSeason20242025!$B$3:$B$1315, "&lt;=" &amp; EH$1, DataRegularSeason20242025!$E$3:$E$1315, $A6)</f>
        <v>60</v>
      </c>
      <c r="EI6">
        <f>SUMIFS(DataRegularSeason20242025!$AA$3:$AA$1315,DataRegularSeason20242025!$B$3:$B$1315, "&lt;=" &amp; EI$1, DataRegularSeason20242025!$D$3:$D$1315, $A6)+SUMIFS(DataRegularSeason20242025!$AB$3:$AB$1315,DataRegularSeason20242025!$B$3:$B$1315, "&lt;=" &amp; EI$1, DataRegularSeason20242025!$E$3:$E$1315, $A6)</f>
        <v>60</v>
      </c>
      <c r="EJ6">
        <f>SUMIFS(DataRegularSeason20242025!$AA$3:$AA$1315,DataRegularSeason20242025!$B$3:$B$1315, "&lt;=" &amp; EJ$1, DataRegularSeason20242025!$D$3:$D$1315, $A6)+SUMIFS(DataRegularSeason20242025!$AB$3:$AB$1315,DataRegularSeason20242025!$B$3:$B$1315, "&lt;=" &amp; EJ$1, DataRegularSeason20242025!$E$3:$E$1315, $A6)</f>
        <v>60</v>
      </c>
      <c r="EK6">
        <f>SUMIFS(DataRegularSeason20242025!$AA$3:$AA$1315,DataRegularSeason20242025!$B$3:$B$1315, "&lt;=" &amp; EK$1, DataRegularSeason20242025!$D$3:$D$1315, $A6)+SUMIFS(DataRegularSeason20242025!$AB$3:$AB$1315,DataRegularSeason20242025!$B$3:$B$1315, "&lt;=" &amp; EK$1, DataRegularSeason20242025!$E$3:$E$1315, $A6)</f>
        <v>60</v>
      </c>
      <c r="EL6">
        <f>SUMIFS(DataRegularSeason20242025!$AA$3:$AA$1315,DataRegularSeason20242025!$B$3:$B$1315, "&lt;=" &amp; EL$1, DataRegularSeason20242025!$D$3:$D$1315, $A6)+SUMIFS(DataRegularSeason20242025!$AB$3:$AB$1315,DataRegularSeason20242025!$B$3:$B$1315, "&lt;=" &amp; EL$1, DataRegularSeason20242025!$E$3:$E$1315, $A6)</f>
        <v>60</v>
      </c>
      <c r="EM6">
        <f>SUMIFS(DataRegularSeason20242025!$AA$3:$AA$1315,DataRegularSeason20242025!$B$3:$B$1315, "&lt;=" &amp; EM$1, DataRegularSeason20242025!$D$3:$D$1315, $A6)+SUMIFS(DataRegularSeason20242025!$AB$3:$AB$1315,DataRegularSeason20242025!$B$3:$B$1315, "&lt;=" &amp; EM$1, DataRegularSeason20242025!$E$3:$E$1315, $A6)</f>
        <v>60</v>
      </c>
      <c r="EN6">
        <f>SUMIFS(DataRegularSeason20242025!$AA$3:$AA$1315,DataRegularSeason20242025!$B$3:$B$1315, "&lt;=" &amp; EN$1, DataRegularSeason20242025!$D$3:$D$1315, $A6)+SUMIFS(DataRegularSeason20242025!$AB$3:$AB$1315,DataRegularSeason20242025!$B$3:$B$1315, "&lt;=" &amp; EN$1, DataRegularSeason20242025!$E$3:$E$1315, $A6)</f>
        <v>60</v>
      </c>
      <c r="EO6">
        <f>SUMIFS(DataRegularSeason20242025!$AA$3:$AA$1315,DataRegularSeason20242025!$B$3:$B$1315, "&lt;=" &amp; EO$1, DataRegularSeason20242025!$D$3:$D$1315, $A6)+SUMIFS(DataRegularSeason20242025!$AB$3:$AB$1315,DataRegularSeason20242025!$B$3:$B$1315, "&lt;=" &amp; EO$1, DataRegularSeason20242025!$E$3:$E$1315, $A6)</f>
        <v>60</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29</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6</v>
      </c>
      <c r="U7">
        <f>SUMIFS(DataRegularSeason20242025!$AA$3:$AA$1315,DataRegularSeason20242025!$B$3:$B$1315, "&lt;=" &amp; U$1, DataRegularSeason20242025!$D$3:$D$1315, $A7)+SUMIFS(DataRegularSeason20242025!$AB$3:$AB$1315,DataRegularSeason20242025!$B$3:$B$1315, "&lt;=" &amp; U$1, DataRegularSeason20242025!$E$3:$E$1315, $A7)</f>
        <v>6</v>
      </c>
      <c r="V7">
        <f>SUMIFS(DataRegularSeason20242025!$AA$3:$AA$1315,DataRegularSeason20242025!$B$3:$B$1315, "&lt;=" &amp; V$1, DataRegularSeason20242025!$D$3:$D$1315, $A7)+SUMIFS(DataRegularSeason20242025!$AB$3:$AB$1315,DataRegularSeason20242025!$B$3:$B$1315, "&lt;=" &amp; V$1, DataRegularSeason20242025!$E$3:$E$1315, $A7)</f>
        <v>6</v>
      </c>
      <c r="W7">
        <f>SUMIFS(DataRegularSeason20242025!$AA$3:$AA$1315,DataRegularSeason20242025!$B$3:$B$1315, "&lt;=" &amp; W$1, DataRegularSeason20242025!$D$3:$D$1315, $A7)+SUMIFS(DataRegularSeason20242025!$AB$3:$AB$1315,DataRegularSeason20242025!$B$3:$B$1315, "&lt;=" &amp; W$1, DataRegularSeason20242025!$E$3:$E$1315, $A7)</f>
        <v>8</v>
      </c>
      <c r="X7">
        <f>SUMIFS(DataRegularSeason20242025!$AA$3:$AA$1315,DataRegularSeason20242025!$B$3:$B$1315, "&lt;=" &amp; X$1, DataRegularSeason20242025!$D$3:$D$1315, $A7)+SUMIFS(DataRegularSeason20242025!$AB$3:$AB$1315,DataRegularSeason20242025!$B$3:$B$1315, "&lt;=" &amp; X$1, DataRegularSeason20242025!$E$3:$E$1315, $A7)</f>
        <v>8</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8</v>
      </c>
      <c r="AC7">
        <f>SUMIFS(DataRegularSeason20242025!$AA$3:$AA$1315,DataRegularSeason20242025!$B$3:$B$1315, "&lt;=" &amp; AC$1, DataRegularSeason20242025!$D$3:$D$1315, $A7)+SUMIFS(DataRegularSeason20242025!$AB$3:$AB$1315,DataRegularSeason20242025!$B$3:$B$1315, "&lt;=" &amp; AC$1, DataRegularSeason20242025!$E$3:$E$1315, $A7)</f>
        <v>8</v>
      </c>
      <c r="AD7">
        <f>SUMIFS(DataRegularSeason20242025!$AA$3:$AA$1315,DataRegularSeason20242025!$B$3:$B$1315, "&lt;=" &amp; AD$1, DataRegularSeason20242025!$D$3:$D$1315, $A7)+SUMIFS(DataRegularSeason20242025!$AB$3:$AB$1315,DataRegularSeason20242025!$B$3:$B$1315, "&lt;=" &amp; AD$1, DataRegularSeason20242025!$E$3:$E$1315, $A7)</f>
        <v>10</v>
      </c>
      <c r="AE7">
        <f>SUMIFS(DataRegularSeason20242025!$AA$3:$AA$1315,DataRegularSeason20242025!$B$3:$B$1315, "&lt;=" &amp; AE$1, DataRegularSeason20242025!$D$3:$D$1315, $A7)+SUMIFS(DataRegularSeason20242025!$AB$3:$AB$1315,DataRegularSeason20242025!$B$3:$B$1315, "&lt;=" &amp; AE$1, DataRegularSeason20242025!$E$3:$E$1315, $A7)</f>
        <v>10</v>
      </c>
      <c r="AF7">
        <f>SUMIFS(DataRegularSeason20242025!$AA$3:$AA$1315,DataRegularSeason20242025!$B$3:$B$1315, "&lt;=" &amp; AF$1, DataRegularSeason20242025!$D$3:$D$1315, $A7)+SUMIFS(DataRegularSeason20242025!$AB$3:$AB$1315,DataRegularSeason20242025!$B$3:$B$1315, "&lt;=" &amp; AF$1, DataRegularSeason20242025!$E$3:$E$1315, $A7)</f>
        <v>10</v>
      </c>
      <c r="AG7">
        <f>SUMIFS(DataRegularSeason20242025!$AA$3:$AA$1315,DataRegularSeason20242025!$B$3:$B$1315, "&lt;=" &amp; AG$1, DataRegularSeason20242025!$D$3:$D$1315, $A7)+SUMIFS(DataRegularSeason20242025!$AB$3:$AB$1315,DataRegularSeason20242025!$B$3:$B$1315, "&lt;=" &amp; AG$1, DataRegularSeason20242025!$E$3:$E$1315, $A7)</f>
        <v>10</v>
      </c>
      <c r="AH7">
        <f>SUMIFS(DataRegularSeason20242025!$AA$3:$AA$1315,DataRegularSeason20242025!$B$3:$B$1315, "&lt;=" &amp; AH$1, DataRegularSeason20242025!$D$3:$D$1315, $A7)+SUMIFS(DataRegularSeason20242025!$AB$3:$AB$1315,DataRegularSeason20242025!$B$3:$B$1315, "&lt;=" &amp; AH$1, DataRegularSeason20242025!$E$3:$E$1315, $A7)</f>
        <v>12</v>
      </c>
      <c r="AI7">
        <f>SUMIFS(DataRegularSeason20242025!$AA$3:$AA$1315,DataRegularSeason20242025!$B$3:$B$1315, "&lt;=" &amp; AI$1, DataRegularSeason20242025!$D$3:$D$1315, $A7)+SUMIFS(DataRegularSeason20242025!$AB$3:$AB$1315,DataRegularSeason20242025!$B$3:$B$1315, "&lt;=" &amp; AI$1, DataRegularSeason20242025!$E$3:$E$1315, $A7)</f>
        <v>12</v>
      </c>
      <c r="AJ7">
        <f>SUMIFS(DataRegularSeason20242025!$AA$3:$AA$1315,DataRegularSeason20242025!$B$3:$B$1315, "&lt;=" &amp; AJ$1, DataRegularSeason20242025!$D$3:$D$1315, $A7)+SUMIFS(DataRegularSeason20242025!$AB$3:$AB$1315,DataRegularSeason20242025!$B$3:$B$1315, "&lt;=" &amp; AJ$1, DataRegularSeason20242025!$E$3:$E$1315, $A7)</f>
        <v>12</v>
      </c>
      <c r="AK7">
        <f>SUMIFS(DataRegularSeason20242025!$AA$3:$AA$1315,DataRegularSeason20242025!$B$3:$B$1315, "&lt;=" &amp; AK$1, DataRegularSeason20242025!$D$3:$D$1315, $A7)+SUMIFS(DataRegularSeason20242025!$AB$3:$AB$1315,DataRegularSeason20242025!$B$3:$B$1315, "&lt;=" &amp; AK$1, DataRegularSeason20242025!$E$3:$E$1315, $A7)</f>
        <v>12</v>
      </c>
      <c r="AL7">
        <f>SUMIFS(DataRegularSeason20242025!$AA$3:$AA$1315,DataRegularSeason20242025!$B$3:$B$1315, "&lt;=" &amp; AL$1, DataRegularSeason20242025!$D$3:$D$1315, $A7)+SUMIFS(DataRegularSeason20242025!$AB$3:$AB$1315,DataRegularSeason20242025!$B$3:$B$1315, "&lt;=" &amp; AL$1, DataRegularSeason20242025!$E$3:$E$1315, $A7)</f>
        <v>12</v>
      </c>
      <c r="AM7">
        <f>SUMIFS(DataRegularSeason20242025!$AA$3:$AA$1315,DataRegularSeason20242025!$B$3:$B$1315, "&lt;=" &amp; AM$1, DataRegularSeason20242025!$D$3:$D$1315, $A7)+SUMIFS(DataRegularSeason20242025!$AB$3:$AB$1315,DataRegularSeason20242025!$B$3:$B$1315, "&lt;=" &amp; AM$1, DataRegularSeason20242025!$E$3:$E$1315, $A7)</f>
        <v>12</v>
      </c>
      <c r="AN7">
        <f>SUMIFS(DataRegularSeason20242025!$AA$3:$AA$1315,DataRegularSeason20242025!$B$3:$B$1315, "&lt;=" &amp; AN$1, DataRegularSeason20242025!$D$3:$D$1315, $A7)+SUMIFS(DataRegularSeason20242025!$AB$3:$AB$1315,DataRegularSeason20242025!$B$3:$B$1315, "&lt;=" &amp; AN$1, DataRegularSeason20242025!$E$3:$E$1315, $A7)</f>
        <v>12</v>
      </c>
      <c r="AO7">
        <f>SUMIFS(DataRegularSeason20242025!$AA$3:$AA$1315,DataRegularSeason20242025!$B$3:$B$1315, "&lt;=" &amp; AO$1, DataRegularSeason20242025!$D$3:$D$1315, $A7)+SUMIFS(DataRegularSeason20242025!$AB$3:$AB$1315,DataRegularSeason20242025!$B$3:$B$1315, "&lt;=" &amp; AO$1, DataRegularSeason20242025!$E$3:$E$1315, $A7)</f>
        <v>14</v>
      </c>
      <c r="AP7">
        <f>SUMIFS(DataRegularSeason20242025!$AA$3:$AA$1315,DataRegularSeason20242025!$B$3:$B$1315, "&lt;=" &amp; AP$1, DataRegularSeason20242025!$D$3:$D$1315, $A7)+SUMIFS(DataRegularSeason20242025!$AB$3:$AB$1315,DataRegularSeason20242025!$B$3:$B$1315, "&lt;=" &amp; AP$1, DataRegularSeason20242025!$E$3:$E$1315, $A7)</f>
        <v>14</v>
      </c>
      <c r="AQ7">
        <f>SUMIFS(DataRegularSeason20242025!$AA$3:$AA$1315,DataRegularSeason20242025!$B$3:$B$1315, "&lt;=" &amp; AQ$1, DataRegularSeason20242025!$D$3:$D$1315, $A7)+SUMIFS(DataRegularSeason20242025!$AB$3:$AB$1315,DataRegularSeason20242025!$B$3:$B$1315, "&lt;=" &amp; AQ$1, DataRegularSeason20242025!$E$3:$E$1315, $A7)</f>
        <v>14</v>
      </c>
      <c r="AR7">
        <f>SUMIFS(DataRegularSeason20242025!$AA$3:$AA$1315,DataRegularSeason20242025!$B$3:$B$1315, "&lt;=" &amp; AR$1, DataRegularSeason20242025!$D$3:$D$1315, $A7)+SUMIFS(DataRegularSeason20242025!$AB$3:$AB$1315,DataRegularSeason20242025!$B$3:$B$1315, "&lt;=" &amp; AR$1, DataRegularSeason20242025!$E$3:$E$1315, $A7)</f>
        <v>16</v>
      </c>
      <c r="AS7">
        <f>SUMIFS(DataRegularSeason20242025!$AA$3:$AA$1315,DataRegularSeason20242025!$B$3:$B$1315, "&lt;=" &amp; AS$1, DataRegularSeason20242025!$D$3:$D$1315, $A7)+SUMIFS(DataRegularSeason20242025!$AB$3:$AB$1315,DataRegularSeason20242025!$B$3:$B$1315, "&lt;=" &amp; AS$1, DataRegularSeason20242025!$E$3:$E$1315, $A7)</f>
        <v>16</v>
      </c>
      <c r="AT7">
        <f>SUMIFS(DataRegularSeason20242025!$AA$3:$AA$1315,DataRegularSeason20242025!$B$3:$B$1315, "&lt;=" &amp; AT$1, DataRegularSeason20242025!$D$3:$D$1315, $A7)+SUMIFS(DataRegularSeason20242025!$AB$3:$AB$1315,DataRegularSeason20242025!$B$3:$B$1315, "&lt;=" &amp; AT$1, DataRegularSeason20242025!$E$3:$E$1315, $A7)</f>
        <v>17</v>
      </c>
      <c r="AU7">
        <f>SUMIFS(DataRegularSeason20242025!$AA$3:$AA$1315,DataRegularSeason20242025!$B$3:$B$1315, "&lt;=" &amp; AU$1, DataRegularSeason20242025!$D$3:$D$1315, $A7)+SUMIFS(DataRegularSeason20242025!$AB$3:$AB$1315,DataRegularSeason20242025!$B$3:$B$1315, "&lt;=" &amp; AU$1, DataRegularSeason20242025!$E$3:$E$1315, $A7)</f>
        <v>17</v>
      </c>
      <c r="AV7">
        <f>SUMIFS(DataRegularSeason20242025!$AA$3:$AA$1315,DataRegularSeason20242025!$B$3:$B$1315, "&lt;=" &amp; AV$1, DataRegularSeason20242025!$D$3:$D$1315, $A7)+SUMIFS(DataRegularSeason20242025!$AB$3:$AB$1315,DataRegularSeason20242025!$B$3:$B$1315, "&lt;=" &amp; AV$1, DataRegularSeason20242025!$E$3:$E$1315, $A7)</f>
        <v>17</v>
      </c>
      <c r="AW7">
        <f>SUMIFS(DataRegularSeason20242025!$AA$3:$AA$1315,DataRegularSeason20242025!$B$3:$B$1315, "&lt;=" &amp; AW$1, DataRegularSeason20242025!$D$3:$D$1315, $A7)+SUMIFS(DataRegularSeason20242025!$AB$3:$AB$1315,DataRegularSeason20242025!$B$3:$B$1315, "&lt;=" &amp; AW$1, DataRegularSeason20242025!$E$3:$E$1315, $A7)</f>
        <v>17</v>
      </c>
      <c r="AX7">
        <f>SUMIFS(DataRegularSeason20242025!$AA$3:$AA$1315,DataRegularSeason20242025!$B$3:$B$1315, "&lt;=" &amp; AX$1, DataRegularSeason20242025!$D$3:$D$1315, $A7)+SUMIFS(DataRegularSeason20242025!$AB$3:$AB$1315,DataRegularSeason20242025!$B$3:$B$1315, "&lt;=" &amp; AX$1, DataRegularSeason20242025!$E$3:$E$1315, $A7)</f>
        <v>17</v>
      </c>
      <c r="AY7">
        <f>SUMIFS(DataRegularSeason20242025!$AA$3:$AA$1315,DataRegularSeason20242025!$B$3:$B$1315, "&lt;=" &amp; AY$1, DataRegularSeason20242025!$D$3:$D$1315, $A7)+SUMIFS(DataRegularSeason20242025!$AB$3:$AB$1315,DataRegularSeason20242025!$B$3:$B$1315, "&lt;=" &amp; AY$1, DataRegularSeason20242025!$E$3:$E$1315, $A7)</f>
        <v>17</v>
      </c>
      <c r="AZ7">
        <f>SUMIFS(DataRegularSeason20242025!$AA$3:$AA$1315,DataRegularSeason20242025!$B$3:$B$1315, "&lt;=" &amp; AZ$1, DataRegularSeason20242025!$D$3:$D$1315, $A7)+SUMIFS(DataRegularSeason20242025!$AB$3:$AB$1315,DataRegularSeason20242025!$B$3:$B$1315, "&lt;=" &amp; AZ$1, DataRegularSeason20242025!$E$3:$E$1315, $A7)</f>
        <v>17</v>
      </c>
      <c r="BA7">
        <f>SUMIFS(DataRegularSeason20242025!$AA$3:$AA$1315,DataRegularSeason20242025!$B$3:$B$1315, "&lt;=" &amp; BA$1, DataRegularSeason20242025!$D$3:$D$1315, $A7)+SUMIFS(DataRegularSeason20242025!$AB$3:$AB$1315,DataRegularSeason20242025!$B$3:$B$1315, "&lt;=" &amp; BA$1, DataRegularSeason20242025!$E$3:$E$1315, $A7)</f>
        <v>17</v>
      </c>
      <c r="BB7">
        <f>SUMIFS(DataRegularSeason20242025!$AA$3:$AA$1315,DataRegularSeason20242025!$B$3:$B$1315, "&lt;=" &amp; BB$1, DataRegularSeason20242025!$D$3:$D$1315, $A7)+SUMIFS(DataRegularSeason20242025!$AB$3:$AB$1315,DataRegularSeason20242025!$B$3:$B$1315, "&lt;=" &amp; BB$1, DataRegularSeason20242025!$E$3:$E$1315, $A7)</f>
        <v>17</v>
      </c>
      <c r="BC7">
        <f>SUMIFS(DataRegularSeason20242025!$AA$3:$AA$1315,DataRegularSeason20242025!$B$3:$B$1315, "&lt;=" &amp; BC$1, DataRegularSeason20242025!$D$3:$D$1315, $A7)+SUMIFS(DataRegularSeason20242025!$AB$3:$AB$1315,DataRegularSeason20242025!$B$3:$B$1315, "&lt;=" &amp; BC$1, DataRegularSeason20242025!$E$3:$E$1315, $A7)</f>
        <v>17</v>
      </c>
      <c r="BD7">
        <f>SUMIFS(DataRegularSeason20242025!$AA$3:$AA$1315,DataRegularSeason20242025!$B$3:$B$1315, "&lt;=" &amp; BD$1, DataRegularSeason20242025!$D$3:$D$1315, $A7)+SUMIFS(DataRegularSeason20242025!$AB$3:$AB$1315,DataRegularSeason20242025!$B$3:$B$1315, "&lt;=" &amp; BD$1, DataRegularSeason20242025!$E$3:$E$1315, $A7)</f>
        <v>17</v>
      </c>
      <c r="BE7">
        <f>SUMIFS(DataRegularSeason20242025!$AA$3:$AA$1315,DataRegularSeason20242025!$B$3:$B$1315, "&lt;=" &amp; BE$1, DataRegularSeason20242025!$D$3:$D$1315, $A7)+SUMIFS(DataRegularSeason20242025!$AB$3:$AB$1315,DataRegularSeason20242025!$B$3:$B$1315, "&lt;=" &amp; BE$1, DataRegularSeason20242025!$E$3:$E$1315, $A7)</f>
        <v>19</v>
      </c>
      <c r="BF7">
        <f>SUMIFS(DataRegularSeason20242025!$AA$3:$AA$1315,DataRegularSeason20242025!$B$3:$B$1315, "&lt;=" &amp; BF$1, DataRegularSeason20242025!$D$3:$D$1315, $A7)+SUMIFS(DataRegularSeason20242025!$AB$3:$AB$1315,DataRegularSeason20242025!$B$3:$B$1315, "&lt;=" &amp; BF$1, DataRegularSeason20242025!$E$3:$E$1315, $A7)</f>
        <v>19</v>
      </c>
      <c r="BG7">
        <f>SUMIFS(DataRegularSeason20242025!$AA$3:$AA$1315,DataRegularSeason20242025!$B$3:$B$1315, "&lt;=" &amp; BG$1, DataRegularSeason20242025!$D$3:$D$1315, $A7)+SUMIFS(DataRegularSeason20242025!$AB$3:$AB$1315,DataRegularSeason20242025!$B$3:$B$1315, "&lt;=" &amp; BG$1, DataRegularSeason20242025!$E$3:$E$1315, $A7)</f>
        <v>21</v>
      </c>
      <c r="BH7">
        <f>SUMIFS(DataRegularSeason20242025!$AA$3:$AA$1315,DataRegularSeason20242025!$B$3:$B$1315, "&lt;=" &amp; BH$1, DataRegularSeason20242025!$D$3:$D$1315, $A7)+SUMIFS(DataRegularSeason20242025!$AB$3:$AB$1315,DataRegularSeason20242025!$B$3:$B$1315, "&lt;=" &amp; BH$1, DataRegularSeason20242025!$E$3:$E$1315, $A7)</f>
        <v>21</v>
      </c>
      <c r="BI7">
        <f>SUMIFS(DataRegularSeason20242025!$AA$3:$AA$1315,DataRegularSeason20242025!$B$3:$B$1315, "&lt;=" &amp; BI$1, DataRegularSeason20242025!$D$3:$D$1315, $A7)+SUMIFS(DataRegularSeason20242025!$AB$3:$AB$1315,DataRegularSeason20242025!$B$3:$B$1315, "&lt;=" &amp; BI$1, DataRegularSeason20242025!$E$3:$E$1315, $A7)</f>
        <v>21</v>
      </c>
      <c r="BJ7">
        <f>SUMIFS(DataRegularSeason20242025!$AA$3:$AA$1315,DataRegularSeason20242025!$B$3:$B$1315, "&lt;=" &amp; BJ$1, DataRegularSeason20242025!$D$3:$D$1315, $A7)+SUMIFS(DataRegularSeason20242025!$AB$3:$AB$1315,DataRegularSeason20242025!$B$3:$B$1315, "&lt;=" &amp; BJ$1, DataRegularSeason20242025!$E$3:$E$1315, $A7)</f>
        <v>21</v>
      </c>
      <c r="BK7">
        <f>SUMIFS(DataRegularSeason20242025!$AA$3:$AA$1315,DataRegularSeason20242025!$B$3:$B$1315, "&lt;=" &amp; BK$1, DataRegularSeason20242025!$D$3:$D$1315, $A7)+SUMIFS(DataRegularSeason20242025!$AB$3:$AB$1315,DataRegularSeason20242025!$B$3:$B$1315, "&lt;=" &amp; BK$1, DataRegularSeason20242025!$E$3:$E$1315, $A7)</f>
        <v>22</v>
      </c>
      <c r="BL7">
        <f>SUMIFS(DataRegularSeason20242025!$AA$3:$AA$1315,DataRegularSeason20242025!$B$3:$B$1315, "&lt;=" &amp; BL$1, DataRegularSeason20242025!$D$3:$D$1315, $A7)+SUMIFS(DataRegularSeason20242025!$AB$3:$AB$1315,DataRegularSeason20242025!$B$3:$B$1315, "&lt;=" &amp; BL$1, DataRegularSeason20242025!$E$3:$E$1315, $A7)</f>
        <v>22</v>
      </c>
      <c r="BM7">
        <f>SUMIFS(DataRegularSeason20242025!$AA$3:$AA$1315,DataRegularSeason20242025!$B$3:$B$1315, "&lt;=" &amp; BM$1, DataRegularSeason20242025!$D$3:$D$1315, $A7)+SUMIFS(DataRegularSeason20242025!$AB$3:$AB$1315,DataRegularSeason20242025!$B$3:$B$1315, "&lt;=" &amp; BM$1, DataRegularSeason20242025!$E$3:$E$1315, $A7)</f>
        <v>22</v>
      </c>
      <c r="BN7">
        <f>SUMIFS(DataRegularSeason20242025!$AA$3:$AA$1315,DataRegularSeason20242025!$B$3:$B$1315, "&lt;=" &amp; BN$1, DataRegularSeason20242025!$D$3:$D$1315, $A7)+SUMIFS(DataRegularSeason20242025!$AB$3:$AB$1315,DataRegularSeason20242025!$B$3:$B$1315, "&lt;=" &amp; BN$1, DataRegularSeason20242025!$E$3:$E$1315, $A7)</f>
        <v>22</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26</v>
      </c>
      <c r="BR7">
        <f>SUMIFS(DataRegularSeason20242025!$AA$3:$AA$1315,DataRegularSeason20242025!$B$3:$B$1315, "&lt;=" &amp; BR$1, DataRegularSeason20242025!$D$3:$D$1315, $A7)+SUMIFS(DataRegularSeason20242025!$AB$3:$AB$1315,DataRegularSeason20242025!$B$3:$B$1315, "&lt;=" &amp; BR$1, DataRegularSeason20242025!$E$3:$E$1315, $A7)</f>
        <v>26</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28</v>
      </c>
      <c r="BV7">
        <f>SUMIFS(DataRegularSeason20242025!$AA$3:$AA$1315,DataRegularSeason20242025!$B$3:$B$1315, "&lt;=" &amp; BV$1, DataRegularSeason20242025!$D$3:$D$1315, $A7)+SUMIFS(DataRegularSeason20242025!$AB$3:$AB$1315,DataRegularSeason20242025!$B$3:$B$1315, "&lt;=" &amp; BV$1, DataRegularSeason20242025!$E$3:$E$1315, $A7)</f>
        <v>28</v>
      </c>
      <c r="BW7">
        <f>SUMIFS(DataRegularSeason20242025!$AA$3:$AA$1315,DataRegularSeason20242025!$B$3:$B$1315, "&lt;=" &amp; BW$1, DataRegularSeason20242025!$D$3:$D$1315, $A7)+SUMIFS(DataRegularSeason20242025!$AB$3:$AB$1315,DataRegularSeason20242025!$B$3:$B$1315, "&lt;=" &amp; BW$1, DataRegularSeason20242025!$E$3:$E$1315, $A7)</f>
        <v>30</v>
      </c>
      <c r="BX7">
        <f>SUMIFS(DataRegularSeason20242025!$AA$3:$AA$1315,DataRegularSeason20242025!$B$3:$B$1315, "&lt;=" &amp; BX$1, DataRegularSeason20242025!$D$3:$D$1315, $A7)+SUMIFS(DataRegularSeason20242025!$AB$3:$AB$1315,DataRegularSeason20242025!$B$3:$B$1315, "&lt;=" &amp; BX$1, DataRegularSeason20242025!$E$3:$E$1315, $A7)</f>
        <v>32</v>
      </c>
      <c r="BY7">
        <f>SUMIFS(DataRegularSeason20242025!$AA$3:$AA$1315,DataRegularSeason20242025!$B$3:$B$1315, "&lt;=" &amp; BY$1, DataRegularSeason20242025!$D$3:$D$1315, $A7)+SUMIFS(DataRegularSeason20242025!$AB$3:$AB$1315,DataRegularSeason20242025!$B$3:$B$1315, "&lt;=" &amp; BY$1, DataRegularSeason20242025!$E$3:$E$1315, $A7)</f>
        <v>32</v>
      </c>
      <c r="BZ7">
        <f>SUMIFS(DataRegularSeason20242025!$AA$3:$AA$1315,DataRegularSeason20242025!$B$3:$B$1315, "&lt;=" &amp; BZ$1, DataRegularSeason20242025!$D$3:$D$1315, $A7)+SUMIFS(DataRegularSeason20242025!$AB$3:$AB$1315,DataRegularSeason20242025!$B$3:$B$1315, "&lt;=" &amp; BZ$1, DataRegularSeason20242025!$E$3:$E$1315, $A7)</f>
        <v>32</v>
      </c>
      <c r="CA7">
        <f>SUMIFS(DataRegularSeason20242025!$AA$3:$AA$1315,DataRegularSeason20242025!$B$3:$B$1315, "&lt;=" &amp; CA$1, DataRegularSeason20242025!$D$3:$D$1315, $A7)+SUMIFS(DataRegularSeason20242025!$AB$3:$AB$1315,DataRegularSeason20242025!$B$3:$B$1315, "&lt;=" &amp; CA$1, DataRegularSeason20242025!$E$3:$E$1315, $A7)</f>
        <v>34</v>
      </c>
      <c r="CB7">
        <f>SUMIFS(DataRegularSeason20242025!$AA$3:$AA$1315,DataRegularSeason20242025!$B$3:$B$1315, "&lt;=" &amp; CB$1, DataRegularSeason20242025!$D$3:$D$1315, $A7)+SUMIFS(DataRegularSeason20242025!$AB$3:$AB$1315,DataRegularSeason20242025!$B$3:$B$1315, "&lt;=" &amp; CB$1, DataRegularSeason20242025!$E$3:$E$1315, $A7)</f>
        <v>34</v>
      </c>
      <c r="CC7">
        <f>SUMIFS(DataRegularSeason20242025!$AA$3:$AA$1315,DataRegularSeason20242025!$B$3:$B$1315, "&lt;=" &amp; CC$1, DataRegularSeason20242025!$D$3:$D$1315, $A7)+SUMIFS(DataRegularSeason20242025!$AB$3:$AB$1315,DataRegularSeason20242025!$B$3:$B$1315, "&lt;=" &amp; CC$1, DataRegularSeason20242025!$E$3:$E$1315, $A7)</f>
        <v>36</v>
      </c>
      <c r="CD7">
        <f>SUMIFS(DataRegularSeason20242025!$AA$3:$AA$1315,DataRegularSeason20242025!$B$3:$B$1315, "&lt;=" &amp; CD$1, DataRegularSeason20242025!$D$3:$D$1315, $A7)+SUMIFS(DataRegularSeason20242025!$AB$3:$AB$1315,DataRegularSeason20242025!$B$3:$B$1315, "&lt;=" &amp; CD$1, DataRegularSeason20242025!$E$3:$E$1315, $A7)</f>
        <v>36</v>
      </c>
      <c r="CE7">
        <f>SUMIFS(DataRegularSeason20242025!$AA$3:$AA$1315,DataRegularSeason20242025!$B$3:$B$1315, "&lt;=" &amp; CE$1, DataRegularSeason20242025!$D$3:$D$1315, $A7)+SUMIFS(DataRegularSeason20242025!$AB$3:$AB$1315,DataRegularSeason20242025!$B$3:$B$1315, "&lt;=" &amp; CE$1, DataRegularSeason20242025!$E$3:$E$1315, $A7)</f>
        <v>38</v>
      </c>
      <c r="CF7">
        <f>SUMIFS(DataRegularSeason20242025!$AA$3:$AA$1315,DataRegularSeason20242025!$B$3:$B$1315, "&lt;=" &amp; CF$1, DataRegularSeason20242025!$D$3:$D$1315, $A7)+SUMIFS(DataRegularSeason20242025!$AB$3:$AB$1315,DataRegularSeason20242025!$B$3:$B$1315, "&lt;=" &amp; CF$1, DataRegularSeason20242025!$E$3:$E$1315, $A7)</f>
        <v>38</v>
      </c>
      <c r="CG7">
        <f>SUMIFS(DataRegularSeason20242025!$AA$3:$AA$1315,DataRegularSeason20242025!$B$3:$B$1315, "&lt;=" &amp; CG$1, DataRegularSeason20242025!$D$3:$D$1315, $A7)+SUMIFS(DataRegularSeason20242025!$AB$3:$AB$1315,DataRegularSeason20242025!$B$3:$B$1315, "&lt;=" &amp; CG$1, DataRegularSeason20242025!$E$3:$E$1315, $A7)</f>
        <v>38</v>
      </c>
      <c r="CH7">
        <f>SUMIFS(DataRegularSeason20242025!$AA$3:$AA$1315,DataRegularSeason20242025!$B$3:$B$1315, "&lt;=" &amp; CH$1, DataRegularSeason20242025!$D$3:$D$1315, $A7)+SUMIFS(DataRegularSeason20242025!$AB$3:$AB$1315,DataRegularSeason20242025!$B$3:$B$1315, "&lt;=" &amp; CH$1, DataRegularSeason20242025!$E$3:$E$1315, $A7)</f>
        <v>38</v>
      </c>
      <c r="CI7">
        <f>SUMIFS(DataRegularSeason20242025!$AA$3:$AA$1315,DataRegularSeason20242025!$B$3:$B$1315, "&lt;=" &amp; CI$1, DataRegularSeason20242025!$D$3:$D$1315, $A7)+SUMIFS(DataRegularSeason20242025!$AB$3:$AB$1315,DataRegularSeason20242025!$B$3:$B$1315, "&lt;=" &amp; CI$1, DataRegularSeason20242025!$E$3:$E$1315, $A7)</f>
        <v>38</v>
      </c>
      <c r="CJ7">
        <f>SUMIFS(DataRegularSeason20242025!$AA$3:$AA$1315,DataRegularSeason20242025!$B$3:$B$1315, "&lt;=" &amp; CJ$1, DataRegularSeason20242025!$D$3:$D$1315, $A7)+SUMIFS(DataRegularSeason20242025!$AB$3:$AB$1315,DataRegularSeason20242025!$B$3:$B$1315, "&lt;=" &amp; CJ$1, DataRegularSeason20242025!$E$3:$E$1315, $A7)</f>
        <v>38</v>
      </c>
      <c r="CK7">
        <f>SUMIFS(DataRegularSeason20242025!$AA$3:$AA$1315,DataRegularSeason20242025!$B$3:$B$1315, "&lt;=" &amp; CK$1, DataRegularSeason20242025!$D$3:$D$1315, $A7)+SUMIFS(DataRegularSeason20242025!$AB$3:$AB$1315,DataRegularSeason20242025!$B$3:$B$1315, "&lt;=" &amp; CK$1, DataRegularSeason20242025!$E$3:$E$1315, $A7)</f>
        <v>38</v>
      </c>
      <c r="CL7">
        <f>SUMIFS(DataRegularSeason20242025!$AA$3:$AA$1315,DataRegularSeason20242025!$B$3:$B$1315, "&lt;=" &amp; CL$1, DataRegularSeason20242025!$D$3:$D$1315, $A7)+SUMIFS(DataRegularSeason20242025!$AB$3:$AB$1315,DataRegularSeason20242025!$B$3:$B$1315, "&lt;=" &amp; CL$1, DataRegularSeason20242025!$E$3:$E$1315, $A7)</f>
        <v>38</v>
      </c>
      <c r="CM7">
        <f>SUMIFS(DataRegularSeason20242025!$AA$3:$AA$1315,DataRegularSeason20242025!$B$3:$B$1315, "&lt;=" &amp; CM$1, DataRegularSeason20242025!$D$3:$D$1315, $A7)+SUMIFS(DataRegularSeason20242025!$AB$3:$AB$1315,DataRegularSeason20242025!$B$3:$B$1315, "&lt;=" &amp; CM$1, DataRegularSeason20242025!$E$3:$E$1315, $A7)</f>
        <v>40</v>
      </c>
      <c r="CN7">
        <f>SUMIFS(DataRegularSeason20242025!$AA$3:$AA$1315,DataRegularSeason20242025!$B$3:$B$1315, "&lt;=" &amp; CN$1, DataRegularSeason20242025!$D$3:$D$1315, $A7)+SUMIFS(DataRegularSeason20242025!$AB$3:$AB$1315,DataRegularSeason20242025!$B$3:$B$1315, "&lt;=" &amp; CN$1, DataRegularSeason20242025!$E$3:$E$1315, $A7)</f>
        <v>40</v>
      </c>
      <c r="CO7">
        <f>SUMIFS(DataRegularSeason20242025!$AA$3:$AA$1315,DataRegularSeason20242025!$B$3:$B$1315, "&lt;=" &amp; CO$1, DataRegularSeason20242025!$D$3:$D$1315, $A7)+SUMIFS(DataRegularSeason20242025!$AB$3:$AB$1315,DataRegularSeason20242025!$B$3:$B$1315, "&lt;=" &amp; CO$1, DataRegularSeason20242025!$E$3:$E$1315, $A7)</f>
        <v>40</v>
      </c>
      <c r="CP7">
        <f>SUMIFS(DataRegularSeason20242025!$AA$3:$AA$1315,DataRegularSeason20242025!$B$3:$B$1315, "&lt;=" &amp; CP$1, DataRegularSeason20242025!$D$3:$D$1315, $A7)+SUMIFS(DataRegularSeason20242025!$AB$3:$AB$1315,DataRegularSeason20242025!$B$3:$B$1315, "&lt;=" &amp; CP$1, DataRegularSeason20242025!$E$3:$E$1315, $A7)</f>
        <v>40</v>
      </c>
      <c r="CQ7">
        <f>SUMIFS(DataRegularSeason20242025!$AA$3:$AA$1315,DataRegularSeason20242025!$B$3:$B$1315, "&lt;=" &amp; CQ$1, DataRegularSeason20242025!$D$3:$D$1315, $A7)+SUMIFS(DataRegularSeason20242025!$AB$3:$AB$1315,DataRegularSeason20242025!$B$3:$B$1315, "&lt;=" &amp; CQ$1, DataRegularSeason20242025!$E$3:$E$1315, $A7)</f>
        <v>40</v>
      </c>
      <c r="CR7">
        <f>SUMIFS(DataRegularSeason20242025!$AA$3:$AA$1315,DataRegularSeason20242025!$B$3:$B$1315, "&lt;=" &amp; CR$1, DataRegularSeason20242025!$D$3:$D$1315, $A7)+SUMIFS(DataRegularSeason20242025!$AB$3:$AB$1315,DataRegularSeason20242025!$B$3:$B$1315, "&lt;=" &amp; CR$1, DataRegularSeason20242025!$E$3:$E$1315, $A7)</f>
        <v>40</v>
      </c>
      <c r="CS7">
        <f>SUMIFS(DataRegularSeason20242025!$AA$3:$AA$1315,DataRegularSeason20242025!$B$3:$B$1315, "&lt;=" &amp; CS$1, DataRegularSeason20242025!$D$3:$D$1315, $A7)+SUMIFS(DataRegularSeason20242025!$AB$3:$AB$1315,DataRegularSeason20242025!$B$3:$B$1315, "&lt;=" &amp; CS$1, DataRegularSeason20242025!$E$3:$E$1315, $A7)</f>
        <v>40</v>
      </c>
      <c r="CT7">
        <f>SUMIFS(DataRegularSeason20242025!$AA$3:$AA$1315,DataRegularSeason20242025!$B$3:$B$1315, "&lt;=" &amp; CT$1, DataRegularSeason20242025!$D$3:$D$1315, $A7)+SUMIFS(DataRegularSeason20242025!$AB$3:$AB$1315,DataRegularSeason20242025!$B$3:$B$1315, "&lt;=" &amp; CT$1, DataRegularSeason20242025!$E$3:$E$1315, $A7)</f>
        <v>40</v>
      </c>
      <c r="CU7">
        <f>SUMIFS(DataRegularSeason20242025!$AA$3:$AA$1315,DataRegularSeason20242025!$B$3:$B$1315, "&lt;=" &amp; CU$1, DataRegularSeason20242025!$D$3:$D$1315, $A7)+SUMIFS(DataRegularSeason20242025!$AB$3:$AB$1315,DataRegularSeason20242025!$B$3:$B$1315, "&lt;=" &amp; CU$1, DataRegularSeason20242025!$E$3:$E$1315, $A7)</f>
        <v>40</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41</v>
      </c>
      <c r="CZ7">
        <f>SUMIFS(DataRegularSeason20242025!$AA$3:$AA$1315,DataRegularSeason20242025!$B$3:$B$1315, "&lt;=" &amp; CZ$1, DataRegularSeason20242025!$D$3:$D$1315, $A7)+SUMIFS(DataRegularSeason20242025!$AB$3:$AB$1315,DataRegularSeason20242025!$B$3:$B$1315, "&lt;=" &amp; CZ$1, DataRegularSeason20242025!$E$3:$E$1315, $A7)</f>
        <v>43</v>
      </c>
      <c r="DA7">
        <f>SUMIFS(DataRegularSeason20242025!$AA$3:$AA$1315,DataRegularSeason20242025!$B$3:$B$1315, "&lt;=" &amp; DA$1, DataRegularSeason20242025!$D$3:$D$1315, $A7)+SUMIFS(DataRegularSeason20242025!$AB$3:$AB$1315,DataRegularSeason20242025!$B$3:$B$1315, "&lt;=" &amp; DA$1, DataRegularSeason20242025!$E$3:$E$1315, $A7)</f>
        <v>45</v>
      </c>
      <c r="DB7">
        <f>SUMIFS(DataRegularSeason20242025!$AA$3:$AA$1315,DataRegularSeason20242025!$B$3:$B$1315, "&lt;=" &amp; DB$1, DataRegularSeason20242025!$D$3:$D$1315, $A7)+SUMIFS(DataRegularSeason20242025!$AB$3:$AB$1315,DataRegularSeason20242025!$B$3:$B$1315, "&lt;=" &amp; DB$1, DataRegularSeason20242025!$E$3:$E$1315, $A7)</f>
        <v>45</v>
      </c>
      <c r="DC7">
        <f>SUMIFS(DataRegularSeason20242025!$AA$3:$AA$1315,DataRegularSeason20242025!$B$3:$B$1315, "&lt;=" &amp; DC$1, DataRegularSeason20242025!$D$3:$D$1315, $A7)+SUMIFS(DataRegularSeason20242025!$AB$3:$AB$1315,DataRegularSeason20242025!$B$3:$B$1315, "&lt;=" &amp; DC$1, DataRegularSeason20242025!$E$3:$E$1315, $A7)</f>
        <v>47</v>
      </c>
      <c r="DD7">
        <f>SUMIFS(DataRegularSeason20242025!$AA$3:$AA$1315,DataRegularSeason20242025!$B$3:$B$1315, "&lt;=" &amp; DD$1, DataRegularSeason20242025!$D$3:$D$1315, $A7)+SUMIFS(DataRegularSeason20242025!$AB$3:$AB$1315,DataRegularSeason20242025!$B$3:$B$1315, "&lt;=" &amp; DD$1, DataRegularSeason20242025!$E$3:$E$1315, $A7)</f>
        <v>47</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52</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54</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58</v>
      </c>
      <c r="DT7">
        <f>SUMIFS(DataRegularSeason20242025!$AA$3:$AA$1315,DataRegularSeason20242025!$B$3:$B$1315, "&lt;=" &amp; DT$1, DataRegularSeason20242025!$D$3:$D$1315, $A7)+SUMIFS(DataRegularSeason20242025!$AB$3:$AB$1315,DataRegularSeason20242025!$B$3:$B$1315, "&lt;=" &amp; DT$1, DataRegularSeason20242025!$E$3:$E$1315, $A7)</f>
        <v>58</v>
      </c>
      <c r="DU7">
        <f>SUMIFS(DataRegularSeason20242025!$AA$3:$AA$1315,DataRegularSeason20242025!$B$3:$B$1315, "&lt;=" &amp; DU$1, DataRegularSeason20242025!$D$3:$D$1315, $A7)+SUMIFS(DataRegularSeason20242025!$AB$3:$AB$1315,DataRegularSeason20242025!$B$3:$B$1315, "&lt;=" &amp; DU$1, DataRegularSeason20242025!$E$3:$E$1315, $A7)</f>
        <v>60</v>
      </c>
      <c r="DV7">
        <f>SUMIFS(DataRegularSeason20242025!$AA$3:$AA$1315,DataRegularSeason20242025!$B$3:$B$1315, "&lt;=" &amp; DV$1, DataRegularSeason20242025!$D$3:$D$1315, $A7)+SUMIFS(DataRegularSeason20242025!$AB$3:$AB$1315,DataRegularSeason20242025!$B$3:$B$1315, "&lt;=" &amp; DV$1, DataRegularSeason20242025!$E$3:$E$1315, $A7)</f>
        <v>60</v>
      </c>
      <c r="DW7">
        <f>SUMIFS(DataRegularSeason20242025!$AA$3:$AA$1315,DataRegularSeason20242025!$B$3:$B$1315, "&lt;=" &amp; DW$1, DataRegularSeason20242025!$D$3:$D$1315, $A7)+SUMIFS(DataRegularSeason20242025!$AB$3:$AB$1315,DataRegularSeason20242025!$B$3:$B$1315, "&lt;=" &amp; DW$1, DataRegularSeason20242025!$E$3:$E$1315, $A7)</f>
        <v>62</v>
      </c>
      <c r="DX7">
        <f>SUMIFS(DataRegularSeason20242025!$AA$3:$AA$1315,DataRegularSeason20242025!$B$3:$B$1315, "&lt;=" &amp; DX$1, DataRegularSeason20242025!$D$3:$D$1315, $A7)+SUMIFS(DataRegularSeason20242025!$AB$3:$AB$1315,DataRegularSeason20242025!$B$3:$B$1315, "&lt;=" &amp; DX$1, DataRegularSeason20242025!$E$3:$E$1315, $A7)</f>
        <v>62</v>
      </c>
      <c r="DY7">
        <f>SUMIFS(DataRegularSeason20242025!$AA$3:$AA$1315,DataRegularSeason20242025!$B$3:$B$1315, "&lt;=" &amp; DY$1, DataRegularSeason20242025!$D$3:$D$1315, $A7)+SUMIFS(DataRegularSeason20242025!$AB$3:$AB$1315,DataRegularSeason20242025!$B$3:$B$1315, "&lt;=" &amp; DY$1, DataRegularSeason20242025!$E$3:$E$1315, $A7)</f>
        <v>62</v>
      </c>
      <c r="DZ7">
        <f>SUMIFS(DataRegularSeason20242025!$AA$3:$AA$1315,DataRegularSeason20242025!$B$3:$B$1315, "&lt;=" &amp; DZ$1, DataRegularSeason20242025!$D$3:$D$1315, $A7)+SUMIFS(DataRegularSeason20242025!$AB$3:$AB$1315,DataRegularSeason20242025!$B$3:$B$1315, "&lt;=" &amp; DZ$1, DataRegularSeason20242025!$E$3:$E$1315, $A7)</f>
        <v>62</v>
      </c>
      <c r="EA7">
        <f>SUMIFS(DataRegularSeason20242025!$AA$3:$AA$1315,DataRegularSeason20242025!$B$3:$B$1315, "&lt;=" &amp; EA$1, DataRegularSeason20242025!$D$3:$D$1315, $A7)+SUMIFS(DataRegularSeason20242025!$AB$3:$AB$1315,DataRegularSeason20242025!$B$3:$B$1315, "&lt;=" &amp; EA$1, DataRegularSeason20242025!$E$3:$E$1315, $A7)</f>
        <v>62</v>
      </c>
      <c r="EB7">
        <f>SUMIFS(DataRegularSeason20242025!$AA$3:$AA$1315,DataRegularSeason20242025!$B$3:$B$1315, "&lt;=" &amp; EB$1, DataRegularSeason20242025!$D$3:$D$1315, $A7)+SUMIFS(DataRegularSeason20242025!$AB$3:$AB$1315,DataRegularSeason20242025!$B$3:$B$1315, "&lt;=" &amp; EB$1, DataRegularSeason20242025!$E$3:$E$1315, $A7)</f>
        <v>62</v>
      </c>
      <c r="EC7">
        <f>SUMIFS(DataRegularSeason20242025!$AA$3:$AA$1315,DataRegularSeason20242025!$B$3:$B$1315, "&lt;=" &amp; EC$1, DataRegularSeason20242025!$D$3:$D$1315, $A7)+SUMIFS(DataRegularSeason20242025!$AB$3:$AB$1315,DataRegularSeason20242025!$B$3:$B$1315, "&lt;=" &amp; EC$1, DataRegularSeason20242025!$E$3:$E$1315, $A7)</f>
        <v>62</v>
      </c>
      <c r="ED7">
        <f>SUMIFS(DataRegularSeason20242025!$AA$3:$AA$1315,DataRegularSeason20242025!$B$3:$B$1315, "&lt;=" &amp; ED$1, DataRegularSeason20242025!$D$3:$D$1315, $A7)+SUMIFS(DataRegularSeason20242025!$AB$3:$AB$1315,DataRegularSeason20242025!$B$3:$B$1315, "&lt;=" &amp; ED$1, DataRegularSeason20242025!$E$3:$E$1315, $A7)</f>
        <v>62</v>
      </c>
      <c r="EE7">
        <f>SUMIFS(DataRegularSeason20242025!$AA$3:$AA$1315,DataRegularSeason20242025!$B$3:$B$1315, "&lt;=" &amp; EE$1, DataRegularSeason20242025!$D$3:$D$1315, $A7)+SUMIFS(DataRegularSeason20242025!$AB$3:$AB$1315,DataRegularSeason20242025!$B$3:$B$1315, "&lt;=" &amp; EE$1, DataRegularSeason20242025!$E$3:$E$1315, $A7)</f>
        <v>62</v>
      </c>
      <c r="EF7">
        <f>SUMIFS(DataRegularSeason20242025!$AA$3:$AA$1315,DataRegularSeason20242025!$B$3:$B$1315, "&lt;=" &amp; EF$1, DataRegularSeason20242025!$D$3:$D$1315, $A7)+SUMIFS(DataRegularSeason20242025!$AB$3:$AB$1315,DataRegularSeason20242025!$B$3:$B$1315, "&lt;=" &amp; EF$1, DataRegularSeason20242025!$E$3:$E$1315, $A7)</f>
        <v>62</v>
      </c>
      <c r="EG7">
        <f>SUMIFS(DataRegularSeason20242025!$AA$3:$AA$1315,DataRegularSeason20242025!$B$3:$B$1315, "&lt;=" &amp; EG$1, DataRegularSeason20242025!$D$3:$D$1315, $A7)+SUMIFS(DataRegularSeason20242025!$AB$3:$AB$1315,DataRegularSeason20242025!$B$3:$B$1315, "&lt;=" &amp; EG$1, DataRegularSeason20242025!$E$3:$E$1315, $A7)</f>
        <v>62</v>
      </c>
      <c r="EH7">
        <f>SUMIFS(DataRegularSeason20242025!$AA$3:$AA$1315,DataRegularSeason20242025!$B$3:$B$1315, "&lt;=" &amp; EH$1, DataRegularSeason20242025!$D$3:$D$1315, $A7)+SUMIFS(DataRegularSeason20242025!$AB$3:$AB$1315,DataRegularSeason20242025!$B$3:$B$1315, "&lt;=" &amp; EH$1, DataRegularSeason20242025!$E$3:$E$1315, $A7)</f>
        <v>62</v>
      </c>
      <c r="EI7">
        <f>SUMIFS(DataRegularSeason20242025!$AA$3:$AA$1315,DataRegularSeason20242025!$B$3:$B$1315, "&lt;=" &amp; EI$1, DataRegularSeason20242025!$D$3:$D$1315, $A7)+SUMIFS(DataRegularSeason20242025!$AB$3:$AB$1315,DataRegularSeason20242025!$B$3:$B$1315, "&lt;=" &amp; EI$1, DataRegularSeason20242025!$E$3:$E$1315, $A7)</f>
        <v>62</v>
      </c>
      <c r="EJ7">
        <f>SUMIFS(DataRegularSeason20242025!$AA$3:$AA$1315,DataRegularSeason20242025!$B$3:$B$1315, "&lt;=" &amp; EJ$1, DataRegularSeason20242025!$D$3:$D$1315, $A7)+SUMIFS(DataRegularSeason20242025!$AB$3:$AB$1315,DataRegularSeason20242025!$B$3:$B$1315, "&lt;=" &amp; EJ$1, DataRegularSeason20242025!$E$3:$E$1315, $A7)</f>
        <v>62</v>
      </c>
      <c r="EK7">
        <f>SUMIFS(DataRegularSeason20242025!$AA$3:$AA$1315,DataRegularSeason20242025!$B$3:$B$1315, "&lt;=" &amp; EK$1, DataRegularSeason20242025!$D$3:$D$1315, $A7)+SUMIFS(DataRegularSeason20242025!$AB$3:$AB$1315,DataRegularSeason20242025!$B$3:$B$1315, "&lt;=" &amp; EK$1, DataRegularSeason20242025!$E$3:$E$1315, $A7)</f>
        <v>62</v>
      </c>
      <c r="EL7">
        <f>SUMIFS(DataRegularSeason20242025!$AA$3:$AA$1315,DataRegularSeason20242025!$B$3:$B$1315, "&lt;=" &amp; EL$1, DataRegularSeason20242025!$D$3:$D$1315, $A7)+SUMIFS(DataRegularSeason20242025!$AB$3:$AB$1315,DataRegularSeason20242025!$B$3:$B$1315, "&lt;=" &amp; EL$1, DataRegularSeason20242025!$E$3:$E$1315, $A7)</f>
        <v>62</v>
      </c>
      <c r="EM7">
        <f>SUMIFS(DataRegularSeason20242025!$AA$3:$AA$1315,DataRegularSeason20242025!$B$3:$B$1315, "&lt;=" &amp; EM$1, DataRegularSeason20242025!$D$3:$D$1315, $A7)+SUMIFS(DataRegularSeason20242025!$AB$3:$AB$1315,DataRegularSeason20242025!$B$3:$B$1315, "&lt;=" &amp; EM$1, DataRegularSeason20242025!$E$3:$E$1315, $A7)</f>
        <v>62</v>
      </c>
      <c r="EN7">
        <f>SUMIFS(DataRegularSeason20242025!$AA$3:$AA$1315,DataRegularSeason20242025!$B$3:$B$1315, "&lt;=" &amp; EN$1, DataRegularSeason20242025!$D$3:$D$1315, $A7)+SUMIFS(DataRegularSeason20242025!$AB$3:$AB$1315,DataRegularSeason20242025!$B$3:$B$1315, "&lt;=" &amp; EN$1, DataRegularSeason20242025!$E$3:$E$1315, $A7)</f>
        <v>62</v>
      </c>
      <c r="EO7">
        <f>SUMIFS(DataRegularSeason20242025!$AA$3:$AA$1315,DataRegularSeason20242025!$B$3:$B$1315, "&lt;=" &amp; EO$1, DataRegularSeason20242025!$D$3:$D$1315, $A7)+SUMIFS(DataRegularSeason20242025!$AB$3:$AB$1315,DataRegularSeason20242025!$B$3:$B$1315, "&lt;=" &amp; EO$1, DataRegularSeason20242025!$E$3:$E$1315, $A7)</f>
        <v>62</v>
      </c>
      <c r="EP7">
        <f>SUMIFS(DataRegularSeason20242025!$AA$3:$AA$1315,DataRegularSeason20242025!$B$3:$B$1315, "&lt;=" &amp; EP$1, DataRegularSeason20242025!$D$3:$D$1315, $A7)+SUMIFS(DataRegularSeason20242025!$AB$3:$AB$1315,DataRegularSeason20242025!$B$3:$B$1315, "&lt;=" &amp; EP$1, DataRegularSeason20242025!$E$3:$E$1315, $A7)</f>
        <v>62</v>
      </c>
      <c r="EQ7">
        <f>SUMIFS(DataRegularSeason20242025!$AA$3:$AA$1315,DataRegularSeason20242025!$B$3:$B$1315, "&lt;=" &amp; EQ$1, DataRegularSeason20242025!$D$3:$D$1315, $A7)+SUMIFS(DataRegularSeason20242025!$AB$3:$AB$1315,DataRegularSeason20242025!$B$3:$B$1315, "&lt;=" &amp; EQ$1, DataRegularSeason20242025!$E$3:$E$1315, $A7)</f>
        <v>62</v>
      </c>
      <c r="ER7">
        <f>SUMIFS(DataRegularSeason20242025!$AA$3:$AA$1315,DataRegularSeason20242025!$B$3:$B$1315, "&lt;=" &amp; ER$1, DataRegularSeason20242025!$D$3:$D$1315, $A7)+SUMIFS(DataRegularSeason20242025!$AB$3:$AB$1315,DataRegularSeason20242025!$B$3:$B$1315, "&lt;=" &amp; ER$1, DataRegularSeason20242025!$E$3:$E$1315, $A7)</f>
        <v>62</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64</v>
      </c>
      <c r="EX7">
        <f>SUMIFS(DataRegularSeason20242025!$AA$3:$AA$1315,DataRegularSeason20242025!$B$3:$B$1315, "&lt;=" &amp; EX$1, DataRegularSeason20242025!$D$3:$D$1315, $A7)+SUMIFS(DataRegularSeason20242025!$AB$3:$AB$1315,DataRegularSeason20242025!$B$3:$B$1315, "&lt;=" &amp; EX$1, DataRegularSeason20242025!$E$3:$E$1315, $A7)</f>
        <v>64</v>
      </c>
      <c r="EY7">
        <f>SUMIFS(DataRegularSeason20242025!$AA$3:$AA$1315,DataRegularSeason20242025!$B$3:$B$1315, "&lt;=" &amp; EY$1, DataRegularSeason20242025!$D$3:$D$1315, $A7)+SUMIFS(DataRegularSeason20242025!$AB$3:$AB$1315,DataRegularSeason20242025!$B$3:$B$1315, "&lt;=" &amp; EY$1, DataRegularSeason20242025!$E$3:$E$1315, $A7)</f>
        <v>64</v>
      </c>
      <c r="EZ7">
        <f>SUMIFS(DataRegularSeason20242025!$AA$3:$AA$1315,DataRegularSeason20242025!$B$3:$B$1315, "&lt;=" &amp; EZ$1, DataRegularSeason20242025!$D$3:$D$1315, $A7)+SUMIFS(DataRegularSeason20242025!$AB$3:$AB$1315,DataRegularSeason20242025!$B$3:$B$1315, "&lt;=" &amp; EZ$1, DataRegularSeason20242025!$E$3:$E$1315, $A7)</f>
        <v>64</v>
      </c>
      <c r="FA7">
        <f>SUMIFS(DataRegularSeason20242025!$AA$3:$AA$1315,DataRegularSeason20242025!$B$3:$B$1315, "&lt;=" &amp; FA$1, DataRegularSeason20242025!$D$3:$D$1315, $A7)+SUMIFS(DataRegularSeason20242025!$AB$3:$AB$1315,DataRegularSeason20242025!$B$3:$B$1315, "&lt;=" &amp; FA$1, DataRegularSeason20242025!$E$3:$E$1315, $A7)</f>
        <v>64</v>
      </c>
      <c r="FB7">
        <f>SUMIFS(DataRegularSeason20242025!$AA$3:$AA$1315,DataRegularSeason20242025!$B$3:$B$1315, "&lt;=" &amp; FB$1, DataRegularSeason20242025!$D$3:$D$1315, $A7)+SUMIFS(DataRegularSeason20242025!$AB$3:$AB$1315,DataRegularSeason20242025!$B$3:$B$1315, "&lt;=" &amp; FB$1, DataRegularSeason20242025!$E$3:$E$1315, $A7)</f>
        <v>64</v>
      </c>
      <c r="FC7">
        <f>SUMIFS(DataRegularSeason20242025!$AA$3:$AA$1315,DataRegularSeason20242025!$B$3:$B$1315, "&lt;=" &amp; FC$1, DataRegularSeason20242025!$D$3:$D$1315, $A7)+SUMIFS(DataRegularSeason20242025!$AB$3:$AB$1315,DataRegularSeason20242025!$B$3:$B$1315, "&lt;=" &amp; FC$1, DataRegularSeason20242025!$E$3:$E$1315, $A7)</f>
        <v>64</v>
      </c>
      <c r="FD7">
        <f>SUMIFS(DataRegularSeason20242025!$AA$3:$AA$1315,DataRegularSeason20242025!$B$3:$B$1315, "&lt;=" &amp; FD$1, DataRegularSeason20242025!$D$3:$D$1315, $A7)+SUMIFS(DataRegularSeason20242025!$AB$3:$AB$1315,DataRegularSeason20242025!$B$3:$B$1315, "&lt;=" &amp; FD$1, DataRegularSeason20242025!$E$3:$E$1315, $A7)</f>
        <v>64</v>
      </c>
      <c r="FE7">
        <f>SUMIFS(DataRegularSeason20242025!$AA$3:$AA$1315,DataRegularSeason20242025!$B$3:$B$1315, "&lt;=" &amp; FE$1, DataRegularSeason20242025!$D$3:$D$1315, $A7)+SUMIFS(DataRegularSeason20242025!$AB$3:$AB$1315,DataRegularSeason20242025!$B$3:$B$1315, "&lt;=" &amp; FE$1, DataRegularSeason20242025!$E$3:$E$1315, $A7)</f>
        <v>64</v>
      </c>
      <c r="FF7">
        <f>SUMIFS(DataRegularSeason20242025!$AA$3:$AA$1315,DataRegularSeason20242025!$B$3:$B$1315, "&lt;=" &amp; FF$1, DataRegularSeason20242025!$D$3:$D$1315, $A7)+SUMIFS(DataRegularSeason20242025!$AB$3:$AB$1315,DataRegularSeason20242025!$B$3:$B$1315, "&lt;=" &amp; FF$1, DataRegularSeason20242025!$E$3:$E$1315, $A7)</f>
        <v>64</v>
      </c>
      <c r="FG7">
        <f>SUMIFS(DataRegularSeason20242025!$AA$3:$AA$1315,DataRegularSeason20242025!$B$3:$B$1315, "&lt;=" &amp; FG$1, DataRegularSeason20242025!$D$3:$D$1315, $A7)+SUMIFS(DataRegularSeason20242025!$AB$3:$AB$1315,DataRegularSeason20242025!$B$3:$B$1315, "&lt;=" &amp; FG$1, DataRegularSeason20242025!$E$3:$E$1315, $A7)</f>
        <v>64</v>
      </c>
      <c r="FH7">
        <f>SUMIFS(DataRegularSeason20242025!$AA$3:$AA$1315,DataRegularSeason20242025!$B$3:$B$1315, "&lt;=" &amp; FH$1, DataRegularSeason20242025!$D$3:$D$1315, $A7)+SUMIFS(DataRegularSeason20242025!$AB$3:$AB$1315,DataRegularSeason20242025!$B$3:$B$1315, "&lt;=" &amp; FH$1, DataRegularSeason20242025!$E$3:$E$1315, $A7)</f>
        <v>64</v>
      </c>
      <c r="FI7">
        <f>SUMIFS(DataRegularSeason20242025!$AA$3:$AA$1315,DataRegularSeason20242025!$B$3:$B$1315, "&lt;=" &amp; FI$1, DataRegularSeason20242025!$D$3:$D$1315, $A7)+SUMIFS(DataRegularSeason20242025!$AB$3:$AB$1315,DataRegularSeason20242025!$B$3:$B$1315, "&lt;=" &amp; FI$1, DataRegularSeason20242025!$E$3:$E$1315, $A7)</f>
        <v>64</v>
      </c>
      <c r="FJ7">
        <f>SUMIFS(DataRegularSeason20242025!$AA$3:$AA$1315,DataRegularSeason20242025!$B$3:$B$1315, "&lt;=" &amp; FJ$1, DataRegularSeason20242025!$D$3:$D$1315, $A7)+SUMIFS(DataRegularSeason20242025!$AB$3:$AB$1315,DataRegularSeason20242025!$B$3:$B$1315, "&lt;=" &amp; FJ$1, DataRegularSeason20242025!$E$3:$E$1315, $A7)</f>
        <v>64</v>
      </c>
      <c r="FK7">
        <f>SUMIFS(DataRegularSeason20242025!$AA$3:$AA$1315,DataRegularSeason20242025!$B$3:$B$1315, "&lt;=" &amp; FK$1, DataRegularSeason20242025!$D$3:$D$1315, $A7)+SUMIFS(DataRegularSeason20242025!$AB$3:$AB$1315,DataRegularSeason20242025!$B$3:$B$1315, "&lt;=" &amp; FK$1, DataRegularSeason20242025!$E$3:$E$1315, $A7)</f>
        <v>64</v>
      </c>
      <c r="FL7">
        <f>SUMIFS(DataRegularSeason20242025!$AA$3:$AA$1315,DataRegularSeason20242025!$B$3:$B$1315, "&lt;=" &amp; FL$1, DataRegularSeason20242025!$D$3:$D$1315, $A7)+SUMIFS(DataRegularSeason20242025!$AB$3:$AB$1315,DataRegularSeason20242025!$B$3:$B$1315, "&lt;=" &amp; FL$1, DataRegularSeason20242025!$E$3:$E$1315, $A7)</f>
        <v>64</v>
      </c>
      <c r="FM7">
        <f>SUMIFS(DataRegularSeason20242025!$AA$3:$AA$1315,DataRegularSeason20242025!$B$3:$B$1315, "&lt;=" &amp; FM$1, DataRegularSeason20242025!$D$3:$D$1315, $A7)+SUMIFS(DataRegularSeason20242025!$AB$3:$AB$1315,DataRegularSeason20242025!$B$3:$B$1315, "&lt;=" &amp; FM$1, DataRegularSeason20242025!$E$3:$E$1315, $A7)</f>
        <v>64</v>
      </c>
      <c r="FN7">
        <f>SUMIFS(DataRegularSeason20242025!$AA$3:$AA$1315,DataRegularSeason20242025!$B$3:$B$1315, "&lt;=" &amp; FN$1, DataRegularSeason20242025!$D$3:$D$1315, $A7)+SUMIFS(DataRegularSeason20242025!$AB$3:$AB$1315,DataRegularSeason20242025!$B$3:$B$1315, "&lt;=" &amp; FN$1, DataRegularSeason20242025!$E$3:$E$1315, $A7)</f>
        <v>64</v>
      </c>
      <c r="FO7">
        <f>SUMIFS(DataRegularSeason20242025!$AA$3:$AA$1315,DataRegularSeason20242025!$B$3:$B$1315, "&lt;=" &amp; FO$1, DataRegularSeason20242025!$D$3:$D$1315, $A7)+SUMIFS(DataRegularSeason20242025!$AB$3:$AB$1315,DataRegularSeason20242025!$B$3:$B$1315, "&lt;=" &amp; FO$1, DataRegularSeason20242025!$E$3:$E$1315, $A7)</f>
        <v>64</v>
      </c>
      <c r="FP7">
        <f>SUMIFS(DataRegularSeason20242025!$AA$3:$AA$1315,DataRegularSeason20242025!$B$3:$B$1315, "&lt;=" &amp; FP$1, DataRegularSeason20242025!$D$3:$D$1315, $A7)+SUMIFS(DataRegularSeason20242025!$AB$3:$AB$1315,DataRegularSeason20242025!$B$3:$B$1315, "&lt;=" &amp; FP$1, DataRegularSeason20242025!$E$3:$E$1315, $A7)</f>
        <v>64</v>
      </c>
      <c r="FQ7">
        <f>SUMIFS(DataRegularSeason20242025!$AA$3:$AA$1315,DataRegularSeason20242025!$B$3:$B$1315, "&lt;=" &amp; FQ$1, DataRegularSeason20242025!$D$3:$D$1315, $A7)+SUMIFS(DataRegularSeason20242025!$AB$3:$AB$1315,DataRegularSeason20242025!$B$3:$B$1315, "&lt;=" &amp; FQ$1, DataRegularSeason20242025!$E$3:$E$1315, $A7)</f>
        <v>64</v>
      </c>
      <c r="FR7">
        <f>SUMIFS(DataRegularSeason20242025!$AA$3:$AA$1315,DataRegularSeason20242025!$B$3:$B$1315, "&lt;=" &amp; FR$1, DataRegularSeason20242025!$D$3:$D$1315, $A7)+SUMIFS(DataRegularSeason20242025!$AB$3:$AB$1315,DataRegularSeason20242025!$B$3:$B$1315, "&lt;=" &amp; FR$1, DataRegularSeason20242025!$E$3:$E$1315, $A7)</f>
        <v>64</v>
      </c>
      <c r="FS7">
        <f>SUMIFS(DataRegularSeason20242025!$AA$3:$AA$1315,DataRegularSeason20242025!$B$3:$B$1315, "&lt;=" &amp; FS$1, DataRegularSeason20242025!$D$3:$D$1315, $A7)+SUMIFS(DataRegularSeason20242025!$AB$3:$AB$1315,DataRegularSeason20242025!$B$3:$B$1315, "&lt;=" &amp; FS$1, DataRegularSeason20242025!$E$3:$E$1315, $A7)</f>
        <v>64</v>
      </c>
      <c r="FT7">
        <f>SUMIFS(DataRegularSeason20242025!$AA$3:$AA$1315,DataRegularSeason20242025!$B$3:$B$1315, "&lt;=" &amp; FT$1, DataRegularSeason20242025!$D$3:$D$1315, $A7)+SUMIFS(DataRegularSeason20242025!$AB$3:$AB$1315,DataRegularSeason20242025!$B$3:$B$1315, "&lt;=" &amp; FT$1, DataRegularSeason20242025!$E$3:$E$1315, $A7)</f>
        <v>64</v>
      </c>
      <c r="FU7">
        <f>SUMIFS(DataRegularSeason20242025!$AA$3:$AA$1315,DataRegularSeason20242025!$B$3:$B$1315, "&lt;=" &amp; FU$1, DataRegularSeason20242025!$D$3:$D$1315, $A7)+SUMIFS(DataRegularSeason20242025!$AB$3:$AB$1315,DataRegularSeason20242025!$B$3:$B$1315, "&lt;=" &amp; FU$1, DataRegularSeason20242025!$E$3:$E$1315, $A7)</f>
        <v>64</v>
      </c>
      <c r="FV7">
        <f>SUMIFS(DataRegularSeason20242025!$AA$3:$AA$1315,DataRegularSeason20242025!$B$3:$B$1315, "&lt;=" &amp; FV$1, DataRegularSeason20242025!$D$3:$D$1315, $A7)+SUMIFS(DataRegularSeason20242025!$AB$3:$AB$1315,DataRegularSeason20242025!$B$3:$B$1315, "&lt;=" &amp; FV$1, DataRegularSeason20242025!$E$3:$E$1315, $A7)</f>
        <v>64</v>
      </c>
      <c r="FW7">
        <f>SUMIFS(DataRegularSeason20242025!$AA$3:$AA$1315,DataRegularSeason20242025!$B$3:$B$1315, "&lt;=" &amp; FW$1, DataRegularSeason20242025!$D$3:$D$1315, $A7)+SUMIFS(DataRegularSeason20242025!$AB$3:$AB$1315,DataRegularSeason20242025!$B$3:$B$1315, "&lt;=" &amp; FW$1, DataRegularSeason20242025!$E$3:$E$1315, $A7)</f>
        <v>64</v>
      </c>
      <c r="FX7">
        <f>SUMIFS(DataRegularSeason20242025!$AA$3:$AA$1315,DataRegularSeason20242025!$B$3:$B$1315, "&lt;=" &amp; FX$1, DataRegularSeason20242025!$D$3:$D$1315, $A7)+SUMIFS(DataRegularSeason20242025!$AB$3:$AB$1315,DataRegularSeason20242025!$B$3:$B$1315, "&lt;=" &amp; FX$1, DataRegularSeason20242025!$E$3:$E$1315, $A7)</f>
        <v>64</v>
      </c>
      <c r="FY7">
        <f>SUMIFS(DataRegularSeason20242025!$AA$3:$AA$1315,DataRegularSeason20242025!$B$3:$B$1315, "&lt;=" &amp; FY$1, DataRegularSeason20242025!$D$3:$D$1315, $A7)+SUMIFS(DataRegularSeason20242025!$AB$3:$AB$1315,DataRegularSeason20242025!$B$3:$B$1315, "&lt;=" &amp; FY$1, DataRegularSeason20242025!$E$3:$E$1315, $A7)</f>
        <v>64</v>
      </c>
      <c r="FZ7">
        <f>SUMIFS(DataRegularSeason20242025!$AA$3:$AA$1315,DataRegularSeason20242025!$B$3:$B$1315, "&lt;=" &amp; FZ$1, DataRegularSeason20242025!$D$3:$D$1315, $A7)+SUMIFS(DataRegularSeason20242025!$AB$3:$AB$1315,DataRegularSeason20242025!$B$3:$B$1315, "&lt;=" &amp; FZ$1, DataRegularSeason20242025!$E$3:$E$1315, $A7)</f>
        <v>64</v>
      </c>
      <c r="GA7">
        <f>SUMIFS(DataRegularSeason20242025!$AA$3:$AA$1315,DataRegularSeason20242025!$B$3:$B$1315, "&lt;=" &amp; GA$1, DataRegularSeason20242025!$D$3:$D$1315, $A7)+SUMIFS(DataRegularSeason20242025!$AB$3:$AB$1315,DataRegularSeason20242025!$B$3:$B$1315, "&lt;=" &amp; GA$1, DataRegularSeason20242025!$E$3:$E$1315, $A7)</f>
        <v>64</v>
      </c>
      <c r="GB7">
        <f>SUMIFS(DataRegularSeason20242025!$AA$3:$AA$1315,DataRegularSeason20242025!$B$3:$B$1315, "&lt;=" &amp; GB$1, DataRegularSeason20242025!$D$3:$D$1315, $A7)+SUMIFS(DataRegularSeason20242025!$AB$3:$AB$1315,DataRegularSeason20242025!$B$3:$B$1315, "&lt;=" &amp; GB$1, DataRegularSeason20242025!$E$3:$E$1315, $A7)</f>
        <v>64</v>
      </c>
      <c r="GC7">
        <f>SUMIFS(DataRegularSeason20242025!$AA$3:$AA$1315,DataRegularSeason20242025!$B$3:$B$1315, "&lt;=" &amp; GC$1, DataRegularSeason20242025!$D$3:$D$1315, $A7)+SUMIFS(DataRegularSeason20242025!$AB$3:$AB$1315,DataRegularSeason20242025!$B$3:$B$1315, "&lt;=" &amp; GC$1, DataRegularSeason20242025!$E$3:$E$1315, $A7)</f>
        <v>64</v>
      </c>
      <c r="GD7">
        <f>SUMIFS(DataRegularSeason20242025!$AA$3:$AA$1315,DataRegularSeason20242025!$B$3:$B$1315, "&lt;=" &amp; GD$1, DataRegularSeason20242025!$D$3:$D$1315, $A7)+SUMIFS(DataRegularSeason20242025!$AB$3:$AB$1315,DataRegularSeason20242025!$B$3:$B$1315, "&lt;=" &amp; GD$1, DataRegularSeason20242025!$E$3:$E$1315, $A7)</f>
        <v>64</v>
      </c>
      <c r="GE7">
        <f>SUMIFS(DataRegularSeason20242025!$AA$3:$AA$1315,DataRegularSeason20242025!$B$3:$B$1315, "&lt;=" &amp; GE$1, DataRegularSeason20242025!$D$3:$D$1315, $A7)+SUMIFS(DataRegularSeason20242025!$AB$3:$AB$1315,DataRegularSeason20242025!$B$3:$B$1315, "&lt;=" &amp; GE$1, DataRegularSeason20242025!$E$3:$E$1315, $A7)</f>
        <v>64</v>
      </c>
      <c r="GF7">
        <f>SUMIFS(DataRegularSeason20242025!$AA$3:$AA$1315,DataRegularSeason20242025!$B$3:$B$1315, "&lt;=" &amp; GF$1, DataRegularSeason20242025!$D$3:$D$1315, $A7)+SUMIFS(DataRegularSeason20242025!$AB$3:$AB$1315,DataRegularSeason20242025!$B$3:$B$1315, "&lt;=" &amp; GF$1, DataRegularSeason20242025!$E$3:$E$1315, $A7)</f>
        <v>64</v>
      </c>
      <c r="GG7">
        <f>SUMIFS(DataRegularSeason20242025!$AA$3:$AA$1315,DataRegularSeason20242025!$B$3:$B$1315, "&lt;=" &amp; GG$1, DataRegularSeason20242025!$D$3:$D$1315, $A7)+SUMIFS(DataRegularSeason20242025!$AB$3:$AB$1315,DataRegularSeason20242025!$B$3:$B$1315, "&lt;=" &amp; GG$1, DataRegularSeason20242025!$E$3:$E$1315, $A7)</f>
        <v>64</v>
      </c>
      <c r="GH7">
        <f>SUMIFS(DataRegularSeason20242025!$AA$3:$AA$1315,DataRegularSeason20242025!$B$3:$B$1315, "&lt;=" &amp; GH$1, DataRegularSeason20242025!$D$3:$D$1315, $A7)+SUMIFS(DataRegularSeason20242025!$AB$3:$AB$1315,DataRegularSeason20242025!$B$3:$B$1315, "&lt;=" &amp; GH$1, DataRegularSeason20242025!$E$3:$E$1315, $A7)</f>
        <v>64</v>
      </c>
      <c r="GI7">
        <f>SUMIFS(DataRegularSeason20242025!$AA$3:$AA$1315,DataRegularSeason20242025!$B$3:$B$1315, "&lt;=" &amp; GI$1, DataRegularSeason20242025!$D$3:$D$1315, $A7)+SUMIFS(DataRegularSeason20242025!$AB$3:$AB$1315,DataRegularSeason20242025!$B$3:$B$1315, "&lt;=" &amp; GI$1, DataRegularSeason20242025!$E$3:$E$1315, $A7)</f>
        <v>64</v>
      </c>
      <c r="GJ7">
        <f>SUMIFS(DataRegularSeason20242025!$AA$3:$AA$1315,DataRegularSeason20242025!$B$3:$B$1315, "&lt;=" &amp; GJ$1, DataRegularSeason20242025!$D$3:$D$1315, $A7)+SUMIFS(DataRegularSeason20242025!$AB$3:$AB$1315,DataRegularSeason20242025!$B$3:$B$1315, "&lt;=" &amp; GJ$1, DataRegularSeason20242025!$E$3:$E$1315, $A7)</f>
        <v>64</v>
      </c>
      <c r="GK7">
        <f>SUMIFS(DataRegularSeason20242025!$AA$3:$AA$1315,DataRegularSeason20242025!$B$3:$B$1315, "&lt;=" &amp; GK$1, DataRegularSeason20242025!$D$3:$D$1315, $A7)+SUMIFS(DataRegularSeason20242025!$AB$3:$AB$1315,DataRegularSeason20242025!$B$3:$B$1315, "&lt;=" &amp; GK$1, DataRegularSeason20242025!$E$3:$E$1315, $A7)</f>
        <v>64</v>
      </c>
      <c r="GL7">
        <f>SUMIFS(DataRegularSeason20242025!$AA$3:$AA$1315,DataRegularSeason20242025!$B$3:$B$1315, "&lt;=" &amp; GL$1, DataRegularSeason20242025!$D$3:$D$1315, $A7)+SUMIFS(DataRegularSeason20242025!$AB$3:$AB$1315,DataRegularSeason20242025!$B$3:$B$1315, "&lt;=" &amp; GL$1, DataRegularSeason20242025!$E$3:$E$1315, $A7)</f>
        <v>64</v>
      </c>
      <c r="GM7">
        <f>SUMIFS(DataRegularSeason20242025!$AA$3:$AA$1315,DataRegularSeason20242025!$B$3:$B$1315, "&lt;=" &amp; GM$1, DataRegularSeason20242025!$D$3:$D$1315, $A7)+SUMIFS(DataRegularSeason20242025!$AB$3:$AB$1315,DataRegularSeason20242025!$B$3:$B$1315, "&lt;=" &amp; GM$1, DataRegularSeason20242025!$E$3:$E$1315, $A7)</f>
        <v>64</v>
      </c>
      <c r="GN7">
        <f>SUMIFS(DataRegularSeason20242025!$AA$3:$AA$1315,DataRegularSeason20242025!$B$3:$B$1315, "&lt;=" &amp; GN$1, DataRegularSeason20242025!$D$3:$D$1315, $A7)+SUMIFS(DataRegularSeason20242025!$AB$3:$AB$1315,DataRegularSeason20242025!$B$3:$B$1315, "&lt;=" &amp; GN$1, DataRegularSeason20242025!$E$3:$E$1315, $A7)</f>
        <v>64</v>
      </c>
      <c r="GO7">
        <f>SUMIFS(DataRegularSeason20242025!$AA$3:$AA$1315,DataRegularSeason20242025!$B$3:$B$1315, "&lt;=" &amp; GO$1, DataRegularSeason20242025!$D$3:$D$1315, $A7)+SUMIFS(DataRegularSeason20242025!$AB$3:$AB$1315,DataRegularSeason20242025!$B$3:$B$1315, "&lt;=" &amp; GO$1, DataRegularSeason20242025!$E$3:$E$1315, $A7)</f>
        <v>64</v>
      </c>
      <c r="GP7">
        <f>SUMIFS(DataRegularSeason20242025!$AA$3:$AA$1315,DataRegularSeason20242025!$B$3:$B$1315, "&lt;=" &amp; GP$1, DataRegularSeason20242025!$D$3:$D$1315, $A7)+SUMIFS(DataRegularSeason20242025!$AB$3:$AB$1315,DataRegularSeason20242025!$B$3:$B$1315, "&lt;=" &amp; GP$1, DataRegularSeason20242025!$E$3:$E$1315, $A7)</f>
        <v>64</v>
      </c>
      <c r="GQ7">
        <f>SUMIFS(DataRegularSeason20242025!$AA$3:$AA$1315,DataRegularSeason20242025!$B$3:$B$1315, "&lt;=" &amp; GQ$1, DataRegularSeason20242025!$D$3:$D$1315, $A7)+SUMIFS(DataRegularSeason20242025!$AB$3:$AB$1315,DataRegularSeason20242025!$B$3:$B$1315, "&lt;=" &amp; GQ$1, DataRegularSeason20242025!$E$3:$E$1315, $A7)</f>
        <v>64</v>
      </c>
      <c r="GR7">
        <f>SUMIFS(DataRegularSeason20242025!$AA$3:$AA$1315,DataRegularSeason20242025!$B$3:$B$1315, "&lt;=" &amp; GR$1, DataRegularSeason20242025!$D$3:$D$1315, $A7)+SUMIFS(DataRegularSeason20242025!$AB$3:$AB$1315,DataRegularSeason20242025!$B$3:$B$1315, "&lt;=" &amp; GR$1, DataRegularSeason20242025!$E$3:$E$1315, $A7)</f>
        <v>64</v>
      </c>
      <c r="GS7">
        <f>SUMIFS(DataRegularSeason20242025!$AA$3:$AA$1315,DataRegularSeason20242025!$B$3:$B$1315, "&lt;=" &amp; GS$1, DataRegularSeason20242025!$D$3:$D$1315, $A7)+SUMIFS(DataRegularSeason20242025!$AB$3:$AB$1315,DataRegularSeason20242025!$B$3:$B$1315, "&lt;=" &amp; GS$1, DataRegularSeason20242025!$E$3:$E$1315, $A7)</f>
        <v>64</v>
      </c>
      <c r="GT7">
        <f>SUMIFS(DataRegularSeason20242025!$AA$3:$AA$1315,DataRegularSeason20242025!$B$3:$B$1315, "&lt;=" &amp; GT$1, DataRegularSeason20242025!$D$3:$D$1315, $A7)+SUMIFS(DataRegularSeason20242025!$AB$3:$AB$1315,DataRegularSeason20242025!$B$3:$B$1315, "&lt;=" &amp; GT$1, DataRegularSeason20242025!$E$3:$E$1315, $A7)</f>
        <v>64</v>
      </c>
      <c r="GU7">
        <f>SUMIFS(DataRegularSeason20242025!$AA$3:$AA$1315,DataRegularSeason20242025!$B$3:$B$1315, "&lt;=" &amp; GU$1, DataRegularSeason20242025!$D$3:$D$1315, $A7)+SUMIFS(DataRegularSeason20242025!$AB$3:$AB$1315,DataRegularSeason20242025!$B$3:$B$1315, "&lt;=" &amp; GU$1, DataRegularSeason20242025!$E$3:$E$1315, $A7)</f>
        <v>64</v>
      </c>
    </row>
    <row r="8" spans="1:275" x14ac:dyDescent="0.25">
      <c r="A8" t="s">
        <v>18</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63</v>
      </c>
      <c r="EX8">
        <f>SUMIFS(DataRegularSeason20242025!$AA$3:$AA$1315,DataRegularSeason20242025!$B$3:$B$1315, "&lt;=" &amp; EX$1, DataRegularSeason20242025!$D$3:$D$1315, $A8)+SUMIFS(DataRegularSeason20242025!$AB$3:$AB$1315,DataRegularSeason20242025!$B$3:$B$1315, "&lt;=" &amp; EX$1, DataRegularSeason20242025!$E$3:$E$1315, $A8)</f>
        <v>63</v>
      </c>
      <c r="EY8">
        <f>SUMIFS(DataRegularSeason20242025!$AA$3:$AA$1315,DataRegularSeason20242025!$B$3:$B$1315, "&lt;=" &amp; EY$1, DataRegularSeason20242025!$D$3:$D$1315, $A8)+SUMIFS(DataRegularSeason20242025!$AB$3:$AB$1315,DataRegularSeason20242025!$B$3:$B$1315, "&lt;=" &amp; EY$1, DataRegularSeason20242025!$E$3:$E$1315, $A8)</f>
        <v>63</v>
      </c>
      <c r="EZ8">
        <f>SUMIFS(DataRegularSeason20242025!$AA$3:$AA$1315,DataRegularSeason20242025!$B$3:$B$1315, "&lt;=" &amp; EZ$1, DataRegularSeason20242025!$D$3:$D$1315, $A8)+SUMIFS(DataRegularSeason20242025!$AB$3:$AB$1315,DataRegularSeason20242025!$B$3:$B$1315, "&lt;=" &amp; EZ$1, DataRegularSeason20242025!$E$3:$E$1315, $A8)</f>
        <v>63</v>
      </c>
      <c r="FA8">
        <f>SUMIFS(DataRegularSeason20242025!$AA$3:$AA$1315,DataRegularSeason20242025!$B$3:$B$1315, "&lt;=" &amp; FA$1, DataRegularSeason20242025!$D$3:$D$1315, $A8)+SUMIFS(DataRegularSeason20242025!$AB$3:$AB$1315,DataRegularSeason20242025!$B$3:$B$1315, "&lt;=" &amp; FA$1, DataRegularSeason20242025!$E$3:$E$1315, $A8)</f>
        <v>63</v>
      </c>
      <c r="FB8">
        <f>SUMIFS(DataRegularSeason20242025!$AA$3:$AA$1315,DataRegularSeason20242025!$B$3:$B$1315, "&lt;=" &amp; FB$1, DataRegularSeason20242025!$D$3:$D$1315, $A8)+SUMIFS(DataRegularSeason20242025!$AB$3:$AB$1315,DataRegularSeason20242025!$B$3:$B$1315, "&lt;=" &amp; FB$1, DataRegularSeason20242025!$E$3:$E$1315, $A8)</f>
        <v>63</v>
      </c>
      <c r="FC8">
        <f>SUMIFS(DataRegularSeason20242025!$AA$3:$AA$1315,DataRegularSeason20242025!$B$3:$B$1315, "&lt;=" &amp; FC$1, DataRegularSeason20242025!$D$3:$D$1315, $A8)+SUMIFS(DataRegularSeason20242025!$AB$3:$AB$1315,DataRegularSeason20242025!$B$3:$B$1315, "&lt;=" &amp; FC$1, DataRegularSeason20242025!$E$3:$E$1315, $A8)</f>
        <v>63</v>
      </c>
      <c r="FD8">
        <f>SUMIFS(DataRegularSeason20242025!$AA$3:$AA$1315,DataRegularSeason20242025!$B$3:$B$1315, "&lt;=" &amp; FD$1, DataRegularSeason20242025!$D$3:$D$1315, $A8)+SUMIFS(DataRegularSeason20242025!$AB$3:$AB$1315,DataRegularSeason20242025!$B$3:$B$1315, "&lt;=" &amp; FD$1, DataRegularSeason20242025!$E$3:$E$1315, $A8)</f>
        <v>63</v>
      </c>
      <c r="FE8">
        <f>SUMIFS(DataRegularSeason20242025!$AA$3:$AA$1315,DataRegularSeason20242025!$B$3:$B$1315, "&lt;=" &amp; FE$1, DataRegularSeason20242025!$D$3:$D$1315, $A8)+SUMIFS(DataRegularSeason20242025!$AB$3:$AB$1315,DataRegularSeason20242025!$B$3:$B$1315, "&lt;=" &amp; FE$1, DataRegularSeason20242025!$E$3:$E$1315, $A8)</f>
        <v>63</v>
      </c>
      <c r="FF8">
        <f>SUMIFS(DataRegularSeason20242025!$AA$3:$AA$1315,DataRegularSeason20242025!$B$3:$B$1315, "&lt;=" &amp; FF$1, DataRegularSeason20242025!$D$3:$D$1315, $A8)+SUMIFS(DataRegularSeason20242025!$AB$3:$AB$1315,DataRegularSeason20242025!$B$3:$B$1315, "&lt;=" &amp; FF$1, DataRegularSeason20242025!$E$3:$E$1315, $A8)</f>
        <v>63</v>
      </c>
      <c r="FG8">
        <f>SUMIFS(DataRegularSeason20242025!$AA$3:$AA$1315,DataRegularSeason20242025!$B$3:$B$1315, "&lt;=" &amp; FG$1, DataRegularSeason20242025!$D$3:$D$1315, $A8)+SUMIFS(DataRegularSeason20242025!$AB$3:$AB$1315,DataRegularSeason20242025!$B$3:$B$1315, "&lt;=" &amp; FG$1, DataRegularSeason20242025!$E$3:$E$1315, $A8)</f>
        <v>63</v>
      </c>
      <c r="FH8">
        <f>SUMIFS(DataRegularSeason20242025!$AA$3:$AA$1315,DataRegularSeason20242025!$B$3:$B$1315, "&lt;=" &amp; FH$1, DataRegularSeason20242025!$D$3:$D$1315, $A8)+SUMIFS(DataRegularSeason20242025!$AB$3:$AB$1315,DataRegularSeason20242025!$B$3:$B$1315, "&lt;=" &amp; FH$1, DataRegularSeason20242025!$E$3:$E$1315, $A8)</f>
        <v>63</v>
      </c>
      <c r="FI8">
        <f>SUMIFS(DataRegularSeason20242025!$AA$3:$AA$1315,DataRegularSeason20242025!$B$3:$B$1315, "&lt;=" &amp; FI$1, DataRegularSeason20242025!$D$3:$D$1315, $A8)+SUMIFS(DataRegularSeason20242025!$AB$3:$AB$1315,DataRegularSeason20242025!$B$3:$B$1315, "&lt;=" &amp; FI$1, DataRegularSeason20242025!$E$3:$E$1315, $A8)</f>
        <v>63</v>
      </c>
      <c r="FJ8">
        <f>SUMIFS(DataRegularSeason20242025!$AA$3:$AA$1315,DataRegularSeason20242025!$B$3:$B$1315, "&lt;=" &amp; FJ$1, DataRegularSeason20242025!$D$3:$D$1315, $A8)+SUMIFS(DataRegularSeason20242025!$AB$3:$AB$1315,DataRegularSeason20242025!$B$3:$B$1315, "&lt;=" &amp; FJ$1, DataRegularSeason20242025!$E$3:$E$1315, $A8)</f>
        <v>63</v>
      </c>
      <c r="FK8">
        <f>SUMIFS(DataRegularSeason20242025!$AA$3:$AA$1315,DataRegularSeason20242025!$B$3:$B$1315, "&lt;=" &amp; FK$1, DataRegularSeason20242025!$D$3:$D$1315, $A8)+SUMIFS(DataRegularSeason20242025!$AB$3:$AB$1315,DataRegularSeason20242025!$B$3:$B$1315, "&lt;=" &amp; FK$1, DataRegularSeason20242025!$E$3:$E$1315, $A8)</f>
        <v>63</v>
      </c>
      <c r="FL8">
        <f>SUMIFS(DataRegularSeason20242025!$AA$3:$AA$1315,DataRegularSeason20242025!$B$3:$B$1315, "&lt;=" &amp; FL$1, DataRegularSeason20242025!$D$3:$D$1315, $A8)+SUMIFS(DataRegularSeason20242025!$AB$3:$AB$1315,DataRegularSeason20242025!$B$3:$B$1315, "&lt;=" &amp; FL$1, DataRegularSeason20242025!$E$3:$E$1315, $A8)</f>
        <v>63</v>
      </c>
      <c r="FM8">
        <f>SUMIFS(DataRegularSeason20242025!$AA$3:$AA$1315,DataRegularSeason20242025!$B$3:$B$1315, "&lt;=" &amp; FM$1, DataRegularSeason20242025!$D$3:$D$1315, $A8)+SUMIFS(DataRegularSeason20242025!$AB$3:$AB$1315,DataRegularSeason20242025!$B$3:$B$1315, "&lt;=" &amp; FM$1, DataRegularSeason20242025!$E$3:$E$1315, $A8)</f>
        <v>63</v>
      </c>
      <c r="FN8">
        <f>SUMIFS(DataRegularSeason20242025!$AA$3:$AA$1315,DataRegularSeason20242025!$B$3:$B$1315, "&lt;=" &amp; FN$1, DataRegularSeason20242025!$D$3:$D$1315, $A8)+SUMIFS(DataRegularSeason20242025!$AB$3:$AB$1315,DataRegularSeason20242025!$B$3:$B$1315, "&lt;=" &amp; FN$1, DataRegularSeason20242025!$E$3:$E$1315, $A8)</f>
        <v>63</v>
      </c>
      <c r="FO8">
        <f>SUMIFS(DataRegularSeason20242025!$AA$3:$AA$1315,DataRegularSeason20242025!$B$3:$B$1315, "&lt;=" &amp; FO$1, DataRegularSeason20242025!$D$3:$D$1315, $A8)+SUMIFS(DataRegularSeason20242025!$AB$3:$AB$1315,DataRegularSeason20242025!$B$3:$B$1315, "&lt;=" &amp; FO$1, DataRegularSeason20242025!$E$3:$E$1315, $A8)</f>
        <v>63</v>
      </c>
      <c r="FP8">
        <f>SUMIFS(DataRegularSeason20242025!$AA$3:$AA$1315,DataRegularSeason20242025!$B$3:$B$1315, "&lt;=" &amp; FP$1, DataRegularSeason20242025!$D$3:$D$1315, $A8)+SUMIFS(DataRegularSeason20242025!$AB$3:$AB$1315,DataRegularSeason20242025!$B$3:$B$1315, "&lt;=" &amp; FP$1, DataRegularSeason20242025!$E$3:$E$1315, $A8)</f>
        <v>63</v>
      </c>
      <c r="FQ8">
        <f>SUMIFS(DataRegularSeason20242025!$AA$3:$AA$1315,DataRegularSeason20242025!$B$3:$B$1315, "&lt;=" &amp; FQ$1, DataRegularSeason20242025!$D$3:$D$1315, $A8)+SUMIFS(DataRegularSeason20242025!$AB$3:$AB$1315,DataRegularSeason20242025!$B$3:$B$1315, "&lt;=" &amp; FQ$1, DataRegularSeason20242025!$E$3:$E$1315, $A8)</f>
        <v>63</v>
      </c>
      <c r="FR8">
        <f>SUMIFS(DataRegularSeason20242025!$AA$3:$AA$1315,DataRegularSeason20242025!$B$3:$B$1315, "&lt;=" &amp; FR$1, DataRegularSeason20242025!$D$3:$D$1315, $A8)+SUMIFS(DataRegularSeason20242025!$AB$3:$AB$1315,DataRegularSeason20242025!$B$3:$B$1315, "&lt;=" &amp; FR$1, DataRegularSeason20242025!$E$3:$E$1315, $A8)</f>
        <v>63</v>
      </c>
      <c r="FS8">
        <f>SUMIFS(DataRegularSeason20242025!$AA$3:$AA$1315,DataRegularSeason20242025!$B$3:$B$1315, "&lt;=" &amp; FS$1, DataRegularSeason20242025!$D$3:$D$1315, $A8)+SUMIFS(DataRegularSeason20242025!$AB$3:$AB$1315,DataRegularSeason20242025!$B$3:$B$1315, "&lt;=" &amp; FS$1, DataRegularSeason20242025!$E$3:$E$1315, $A8)</f>
        <v>63</v>
      </c>
      <c r="FT8">
        <f>SUMIFS(DataRegularSeason20242025!$AA$3:$AA$1315,DataRegularSeason20242025!$B$3:$B$1315, "&lt;=" &amp; FT$1, DataRegularSeason20242025!$D$3:$D$1315, $A8)+SUMIFS(DataRegularSeason20242025!$AB$3:$AB$1315,DataRegularSeason20242025!$B$3:$B$1315, "&lt;=" &amp; FT$1, DataRegularSeason20242025!$E$3:$E$1315, $A8)</f>
        <v>63</v>
      </c>
      <c r="FU8">
        <f>SUMIFS(DataRegularSeason20242025!$AA$3:$AA$1315,DataRegularSeason20242025!$B$3:$B$1315, "&lt;=" &amp; FU$1, DataRegularSeason20242025!$D$3:$D$1315, $A8)+SUMIFS(DataRegularSeason20242025!$AB$3:$AB$1315,DataRegularSeason20242025!$B$3:$B$1315, "&lt;=" &amp; FU$1, DataRegularSeason20242025!$E$3:$E$1315, $A8)</f>
        <v>63</v>
      </c>
      <c r="FV8">
        <f>SUMIFS(DataRegularSeason20242025!$AA$3:$AA$1315,DataRegularSeason20242025!$B$3:$B$1315, "&lt;=" &amp; FV$1, DataRegularSeason20242025!$D$3:$D$1315, $A8)+SUMIFS(DataRegularSeason20242025!$AB$3:$AB$1315,DataRegularSeason20242025!$B$3:$B$1315, "&lt;=" &amp; FV$1, DataRegularSeason20242025!$E$3:$E$1315, $A8)</f>
        <v>63</v>
      </c>
      <c r="FW8">
        <f>SUMIFS(DataRegularSeason20242025!$AA$3:$AA$1315,DataRegularSeason20242025!$B$3:$B$1315, "&lt;=" &amp; FW$1, DataRegularSeason20242025!$D$3:$D$1315, $A8)+SUMIFS(DataRegularSeason20242025!$AB$3:$AB$1315,DataRegularSeason20242025!$B$3:$B$1315, "&lt;=" &amp; FW$1, DataRegularSeason20242025!$E$3:$E$1315, $A8)</f>
        <v>63</v>
      </c>
      <c r="FX8">
        <f>SUMIFS(DataRegularSeason20242025!$AA$3:$AA$1315,DataRegularSeason20242025!$B$3:$B$1315, "&lt;=" &amp; FX$1, DataRegularSeason20242025!$D$3:$D$1315, $A8)+SUMIFS(DataRegularSeason20242025!$AB$3:$AB$1315,DataRegularSeason20242025!$B$3:$B$1315, "&lt;=" &amp; FX$1, DataRegularSeason20242025!$E$3:$E$1315, $A8)</f>
        <v>63</v>
      </c>
      <c r="FY8">
        <f>SUMIFS(DataRegularSeason20242025!$AA$3:$AA$1315,DataRegularSeason20242025!$B$3:$B$1315, "&lt;=" &amp; FY$1, DataRegularSeason20242025!$D$3:$D$1315, $A8)+SUMIFS(DataRegularSeason20242025!$AB$3:$AB$1315,DataRegularSeason20242025!$B$3:$B$1315, "&lt;=" &amp; FY$1, DataRegularSeason20242025!$E$3:$E$1315, $A8)</f>
        <v>63</v>
      </c>
      <c r="FZ8">
        <f>SUMIFS(DataRegularSeason20242025!$AA$3:$AA$1315,DataRegularSeason20242025!$B$3:$B$1315, "&lt;=" &amp; FZ$1, DataRegularSeason20242025!$D$3:$D$1315, $A8)+SUMIFS(DataRegularSeason20242025!$AB$3:$AB$1315,DataRegularSeason20242025!$B$3:$B$1315, "&lt;=" &amp; FZ$1, DataRegularSeason20242025!$E$3:$E$1315, $A8)</f>
        <v>63</v>
      </c>
      <c r="GA8">
        <f>SUMIFS(DataRegularSeason20242025!$AA$3:$AA$1315,DataRegularSeason20242025!$B$3:$B$1315, "&lt;=" &amp; GA$1, DataRegularSeason20242025!$D$3:$D$1315, $A8)+SUMIFS(DataRegularSeason20242025!$AB$3:$AB$1315,DataRegularSeason20242025!$B$3:$B$1315, "&lt;=" &amp; GA$1, DataRegularSeason20242025!$E$3:$E$1315, $A8)</f>
        <v>63</v>
      </c>
      <c r="GB8">
        <f>SUMIFS(DataRegularSeason20242025!$AA$3:$AA$1315,DataRegularSeason20242025!$B$3:$B$1315, "&lt;=" &amp; GB$1, DataRegularSeason20242025!$D$3:$D$1315, $A8)+SUMIFS(DataRegularSeason20242025!$AB$3:$AB$1315,DataRegularSeason20242025!$B$3:$B$1315, "&lt;=" &amp; GB$1, DataRegularSeason20242025!$E$3:$E$1315, $A8)</f>
        <v>63</v>
      </c>
      <c r="GC8">
        <f>SUMIFS(DataRegularSeason20242025!$AA$3:$AA$1315,DataRegularSeason20242025!$B$3:$B$1315, "&lt;=" &amp; GC$1, DataRegularSeason20242025!$D$3:$D$1315, $A8)+SUMIFS(DataRegularSeason20242025!$AB$3:$AB$1315,DataRegularSeason20242025!$B$3:$B$1315, "&lt;=" &amp; GC$1, DataRegularSeason20242025!$E$3:$E$1315, $A8)</f>
        <v>63</v>
      </c>
      <c r="GD8">
        <f>SUMIFS(DataRegularSeason20242025!$AA$3:$AA$1315,DataRegularSeason20242025!$B$3:$B$1315, "&lt;=" &amp; GD$1, DataRegularSeason20242025!$D$3:$D$1315, $A8)+SUMIFS(DataRegularSeason20242025!$AB$3:$AB$1315,DataRegularSeason20242025!$B$3:$B$1315, "&lt;=" &amp; GD$1, DataRegularSeason20242025!$E$3:$E$1315, $A8)</f>
        <v>63</v>
      </c>
      <c r="GE8">
        <f>SUMIFS(DataRegularSeason20242025!$AA$3:$AA$1315,DataRegularSeason20242025!$B$3:$B$1315, "&lt;=" &amp; GE$1, DataRegularSeason20242025!$D$3:$D$1315, $A8)+SUMIFS(DataRegularSeason20242025!$AB$3:$AB$1315,DataRegularSeason20242025!$B$3:$B$1315, "&lt;=" &amp; GE$1, DataRegularSeason20242025!$E$3:$E$1315, $A8)</f>
        <v>63</v>
      </c>
      <c r="GF8">
        <f>SUMIFS(DataRegularSeason20242025!$AA$3:$AA$1315,DataRegularSeason20242025!$B$3:$B$1315, "&lt;=" &amp; GF$1, DataRegularSeason20242025!$D$3:$D$1315, $A8)+SUMIFS(DataRegularSeason20242025!$AB$3:$AB$1315,DataRegularSeason20242025!$B$3:$B$1315, "&lt;=" &amp; GF$1, DataRegularSeason20242025!$E$3:$E$1315, $A8)</f>
        <v>63</v>
      </c>
      <c r="GG8">
        <f>SUMIFS(DataRegularSeason20242025!$AA$3:$AA$1315,DataRegularSeason20242025!$B$3:$B$1315, "&lt;=" &amp; GG$1, DataRegularSeason20242025!$D$3:$D$1315, $A8)+SUMIFS(DataRegularSeason20242025!$AB$3:$AB$1315,DataRegularSeason20242025!$B$3:$B$1315, "&lt;=" &amp; GG$1, DataRegularSeason20242025!$E$3:$E$1315, $A8)</f>
        <v>63</v>
      </c>
      <c r="GH8">
        <f>SUMIFS(DataRegularSeason20242025!$AA$3:$AA$1315,DataRegularSeason20242025!$B$3:$B$1315, "&lt;=" &amp; GH$1, DataRegularSeason20242025!$D$3:$D$1315, $A8)+SUMIFS(DataRegularSeason20242025!$AB$3:$AB$1315,DataRegularSeason20242025!$B$3:$B$1315, "&lt;=" &amp; GH$1, DataRegularSeason20242025!$E$3:$E$1315, $A8)</f>
        <v>63</v>
      </c>
      <c r="GI8">
        <f>SUMIFS(DataRegularSeason20242025!$AA$3:$AA$1315,DataRegularSeason20242025!$B$3:$B$1315, "&lt;=" &amp; GI$1, DataRegularSeason20242025!$D$3:$D$1315, $A8)+SUMIFS(DataRegularSeason20242025!$AB$3:$AB$1315,DataRegularSeason20242025!$B$3:$B$1315, "&lt;=" &amp; GI$1, DataRegularSeason20242025!$E$3:$E$1315, $A8)</f>
        <v>63</v>
      </c>
      <c r="GJ8">
        <f>SUMIFS(DataRegularSeason20242025!$AA$3:$AA$1315,DataRegularSeason20242025!$B$3:$B$1315, "&lt;=" &amp; GJ$1, DataRegularSeason20242025!$D$3:$D$1315, $A8)+SUMIFS(DataRegularSeason20242025!$AB$3:$AB$1315,DataRegularSeason20242025!$B$3:$B$1315, "&lt;=" &amp; GJ$1, DataRegularSeason20242025!$E$3:$E$1315, $A8)</f>
        <v>63</v>
      </c>
      <c r="GK8">
        <f>SUMIFS(DataRegularSeason20242025!$AA$3:$AA$1315,DataRegularSeason20242025!$B$3:$B$1315, "&lt;=" &amp; GK$1, DataRegularSeason20242025!$D$3:$D$1315, $A8)+SUMIFS(DataRegularSeason20242025!$AB$3:$AB$1315,DataRegularSeason20242025!$B$3:$B$1315, "&lt;=" &amp; GK$1, DataRegularSeason20242025!$E$3:$E$1315, $A8)</f>
        <v>63</v>
      </c>
      <c r="GL8">
        <f>SUMIFS(DataRegularSeason20242025!$AA$3:$AA$1315,DataRegularSeason20242025!$B$3:$B$1315, "&lt;=" &amp; GL$1, DataRegularSeason20242025!$D$3:$D$1315, $A8)+SUMIFS(DataRegularSeason20242025!$AB$3:$AB$1315,DataRegularSeason20242025!$B$3:$B$1315, "&lt;=" &amp; GL$1, DataRegularSeason20242025!$E$3:$E$1315, $A8)</f>
        <v>63</v>
      </c>
      <c r="GM8">
        <f>SUMIFS(DataRegularSeason20242025!$AA$3:$AA$1315,DataRegularSeason20242025!$B$3:$B$1315, "&lt;=" &amp; GM$1, DataRegularSeason20242025!$D$3:$D$1315, $A8)+SUMIFS(DataRegularSeason20242025!$AB$3:$AB$1315,DataRegularSeason20242025!$B$3:$B$1315, "&lt;=" &amp; GM$1, DataRegularSeason20242025!$E$3:$E$1315, $A8)</f>
        <v>63</v>
      </c>
      <c r="GN8">
        <f>SUMIFS(DataRegularSeason20242025!$AA$3:$AA$1315,DataRegularSeason20242025!$B$3:$B$1315, "&lt;=" &amp; GN$1, DataRegularSeason20242025!$D$3:$D$1315, $A8)+SUMIFS(DataRegularSeason20242025!$AB$3:$AB$1315,DataRegularSeason20242025!$B$3:$B$1315, "&lt;=" &amp; GN$1, DataRegularSeason20242025!$E$3:$E$1315, $A8)</f>
        <v>63</v>
      </c>
      <c r="GO8">
        <f>SUMIFS(DataRegularSeason20242025!$AA$3:$AA$1315,DataRegularSeason20242025!$B$3:$B$1315, "&lt;=" &amp; GO$1, DataRegularSeason20242025!$D$3:$D$1315, $A8)+SUMIFS(DataRegularSeason20242025!$AB$3:$AB$1315,DataRegularSeason20242025!$B$3:$B$1315, "&lt;=" &amp; GO$1, DataRegularSeason20242025!$E$3:$E$1315, $A8)</f>
        <v>63</v>
      </c>
      <c r="GP8">
        <f>SUMIFS(DataRegularSeason20242025!$AA$3:$AA$1315,DataRegularSeason20242025!$B$3:$B$1315, "&lt;=" &amp; GP$1, DataRegularSeason20242025!$D$3:$D$1315, $A8)+SUMIFS(DataRegularSeason20242025!$AB$3:$AB$1315,DataRegularSeason20242025!$B$3:$B$1315, "&lt;=" &amp; GP$1, DataRegularSeason20242025!$E$3:$E$1315, $A8)</f>
        <v>63</v>
      </c>
      <c r="GQ8">
        <f>SUMIFS(DataRegularSeason20242025!$AA$3:$AA$1315,DataRegularSeason20242025!$B$3:$B$1315, "&lt;=" &amp; GQ$1, DataRegularSeason20242025!$D$3:$D$1315, $A8)+SUMIFS(DataRegularSeason20242025!$AB$3:$AB$1315,DataRegularSeason20242025!$B$3:$B$1315, "&lt;=" &amp; GQ$1, DataRegularSeason20242025!$E$3:$E$1315, $A8)</f>
        <v>63</v>
      </c>
      <c r="GR8">
        <f>SUMIFS(DataRegularSeason20242025!$AA$3:$AA$1315,DataRegularSeason20242025!$B$3:$B$1315, "&lt;=" &amp; GR$1, DataRegularSeason20242025!$D$3:$D$1315, $A8)+SUMIFS(DataRegularSeason20242025!$AB$3:$AB$1315,DataRegularSeason20242025!$B$3:$B$1315, "&lt;=" &amp; GR$1, DataRegularSeason20242025!$E$3:$E$1315, $A8)</f>
        <v>63</v>
      </c>
      <c r="GS8">
        <f>SUMIFS(DataRegularSeason20242025!$AA$3:$AA$1315,DataRegularSeason20242025!$B$3:$B$1315, "&lt;=" &amp; GS$1, DataRegularSeason20242025!$D$3:$D$1315, $A8)+SUMIFS(DataRegularSeason20242025!$AB$3:$AB$1315,DataRegularSeason20242025!$B$3:$B$1315, "&lt;=" &amp; GS$1, DataRegularSeason20242025!$E$3:$E$1315, $A8)</f>
        <v>63</v>
      </c>
      <c r="GT8">
        <f>SUMIFS(DataRegularSeason20242025!$AA$3:$AA$1315,DataRegularSeason20242025!$B$3:$B$1315, "&lt;=" &amp; GT$1, DataRegularSeason20242025!$D$3:$D$1315, $A8)+SUMIFS(DataRegularSeason20242025!$AB$3:$AB$1315,DataRegularSeason20242025!$B$3:$B$1315, "&lt;=" &amp; GT$1, DataRegularSeason20242025!$E$3:$E$1315, $A8)</f>
        <v>63</v>
      </c>
      <c r="GU8">
        <f>SUMIFS(DataRegularSeason20242025!$AA$3:$AA$1315,DataRegularSeason20242025!$B$3:$B$1315, "&lt;=" &amp; GU$1, DataRegularSeason20242025!$D$3:$D$1315, $A8)+SUMIFS(DataRegularSeason20242025!$AB$3:$AB$1315,DataRegularSeason20242025!$B$3:$B$1315, "&lt;=" &amp; GU$1, DataRegularSeason20242025!$E$3:$E$1315, $A8)</f>
        <v>63</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61</v>
      </c>
      <c r="FA16">
        <f>SUMIFS(DataRegularSeason20242025!$AA$3:$AA$1315,DataRegularSeason20242025!$B$3:$B$1315, "&lt;=" &amp; FA$1, DataRegularSeason20242025!$D$3:$D$1315, $A16)+SUMIFS(DataRegularSeason20242025!$AB$3:$AB$1315,DataRegularSeason20242025!$B$3:$B$1315, "&lt;=" &amp; FA$1, DataRegularSeason20242025!$E$3:$E$1315, $A16)</f>
        <v>61</v>
      </c>
      <c r="FB16">
        <f>SUMIFS(DataRegularSeason20242025!$AA$3:$AA$1315,DataRegularSeason20242025!$B$3:$B$1315, "&lt;=" &amp; FB$1, DataRegularSeason20242025!$D$3:$D$1315, $A16)+SUMIFS(DataRegularSeason20242025!$AB$3:$AB$1315,DataRegularSeason20242025!$B$3:$B$1315, "&lt;=" &amp; FB$1, DataRegularSeason20242025!$E$3:$E$1315, $A16)</f>
        <v>61</v>
      </c>
      <c r="FC16">
        <f>SUMIFS(DataRegularSeason20242025!$AA$3:$AA$1315,DataRegularSeason20242025!$B$3:$B$1315, "&lt;=" &amp; FC$1, DataRegularSeason20242025!$D$3:$D$1315, $A16)+SUMIFS(DataRegularSeason20242025!$AB$3:$AB$1315,DataRegularSeason20242025!$B$3:$B$1315, "&lt;=" &amp; FC$1, DataRegularSeason20242025!$E$3:$E$1315, $A16)</f>
        <v>61</v>
      </c>
      <c r="FD16">
        <f>SUMIFS(DataRegularSeason20242025!$AA$3:$AA$1315,DataRegularSeason20242025!$B$3:$B$1315, "&lt;=" &amp; FD$1, DataRegularSeason20242025!$D$3:$D$1315, $A16)+SUMIFS(DataRegularSeason20242025!$AB$3:$AB$1315,DataRegularSeason20242025!$B$3:$B$1315, "&lt;=" &amp; FD$1, DataRegularSeason20242025!$E$3:$E$1315, $A16)</f>
        <v>61</v>
      </c>
      <c r="FE16">
        <f>SUMIFS(DataRegularSeason20242025!$AA$3:$AA$1315,DataRegularSeason20242025!$B$3:$B$1315, "&lt;=" &amp; FE$1, DataRegularSeason20242025!$D$3:$D$1315, $A16)+SUMIFS(DataRegularSeason20242025!$AB$3:$AB$1315,DataRegularSeason20242025!$B$3:$B$1315, "&lt;=" &amp; FE$1, DataRegularSeason20242025!$E$3:$E$1315, $A16)</f>
        <v>61</v>
      </c>
      <c r="FF16">
        <f>SUMIFS(DataRegularSeason20242025!$AA$3:$AA$1315,DataRegularSeason20242025!$B$3:$B$1315, "&lt;=" &amp; FF$1, DataRegularSeason20242025!$D$3:$D$1315, $A16)+SUMIFS(DataRegularSeason20242025!$AB$3:$AB$1315,DataRegularSeason20242025!$B$3:$B$1315, "&lt;=" &amp; FF$1, DataRegularSeason20242025!$E$3:$E$1315, $A16)</f>
        <v>61</v>
      </c>
      <c r="FG16">
        <f>SUMIFS(DataRegularSeason20242025!$AA$3:$AA$1315,DataRegularSeason20242025!$B$3:$B$1315, "&lt;=" &amp; FG$1, DataRegularSeason20242025!$D$3:$D$1315, $A16)+SUMIFS(DataRegularSeason20242025!$AB$3:$AB$1315,DataRegularSeason20242025!$B$3:$B$1315, "&lt;=" &amp; FG$1, DataRegularSeason20242025!$E$3:$E$1315, $A16)</f>
        <v>61</v>
      </c>
      <c r="FH16">
        <f>SUMIFS(DataRegularSeason20242025!$AA$3:$AA$1315,DataRegularSeason20242025!$B$3:$B$1315, "&lt;=" &amp; FH$1, DataRegularSeason20242025!$D$3:$D$1315, $A16)+SUMIFS(DataRegularSeason20242025!$AB$3:$AB$1315,DataRegularSeason20242025!$B$3:$B$1315, "&lt;=" &amp; FH$1, DataRegularSeason20242025!$E$3:$E$1315, $A16)</f>
        <v>61</v>
      </c>
      <c r="FI16">
        <f>SUMIFS(DataRegularSeason20242025!$AA$3:$AA$1315,DataRegularSeason20242025!$B$3:$B$1315, "&lt;=" &amp; FI$1, DataRegularSeason20242025!$D$3:$D$1315, $A16)+SUMIFS(DataRegularSeason20242025!$AB$3:$AB$1315,DataRegularSeason20242025!$B$3:$B$1315, "&lt;=" &amp; FI$1, DataRegularSeason20242025!$E$3:$E$1315, $A16)</f>
        <v>61</v>
      </c>
      <c r="FJ16">
        <f>SUMIFS(DataRegularSeason20242025!$AA$3:$AA$1315,DataRegularSeason20242025!$B$3:$B$1315, "&lt;=" &amp; FJ$1, DataRegularSeason20242025!$D$3:$D$1315, $A16)+SUMIFS(DataRegularSeason20242025!$AB$3:$AB$1315,DataRegularSeason20242025!$B$3:$B$1315, "&lt;=" &amp; FJ$1, DataRegularSeason20242025!$E$3:$E$1315, $A16)</f>
        <v>61</v>
      </c>
      <c r="FK16">
        <f>SUMIFS(DataRegularSeason20242025!$AA$3:$AA$1315,DataRegularSeason20242025!$B$3:$B$1315, "&lt;=" &amp; FK$1, DataRegularSeason20242025!$D$3:$D$1315, $A16)+SUMIFS(DataRegularSeason20242025!$AB$3:$AB$1315,DataRegularSeason20242025!$B$3:$B$1315, "&lt;=" &amp; FK$1, DataRegularSeason20242025!$E$3:$E$1315, $A16)</f>
        <v>61</v>
      </c>
      <c r="FL16">
        <f>SUMIFS(DataRegularSeason20242025!$AA$3:$AA$1315,DataRegularSeason20242025!$B$3:$B$1315, "&lt;=" &amp; FL$1, DataRegularSeason20242025!$D$3:$D$1315, $A16)+SUMIFS(DataRegularSeason20242025!$AB$3:$AB$1315,DataRegularSeason20242025!$B$3:$B$1315, "&lt;=" &amp; FL$1, DataRegularSeason20242025!$E$3:$E$1315, $A16)</f>
        <v>61</v>
      </c>
      <c r="FM16">
        <f>SUMIFS(DataRegularSeason20242025!$AA$3:$AA$1315,DataRegularSeason20242025!$B$3:$B$1315, "&lt;=" &amp; FM$1, DataRegularSeason20242025!$D$3:$D$1315, $A16)+SUMIFS(DataRegularSeason20242025!$AB$3:$AB$1315,DataRegularSeason20242025!$B$3:$B$1315, "&lt;=" &amp; FM$1, DataRegularSeason20242025!$E$3:$E$1315, $A16)</f>
        <v>61</v>
      </c>
      <c r="FN16">
        <f>SUMIFS(DataRegularSeason20242025!$AA$3:$AA$1315,DataRegularSeason20242025!$B$3:$B$1315, "&lt;=" &amp; FN$1, DataRegularSeason20242025!$D$3:$D$1315, $A16)+SUMIFS(DataRegularSeason20242025!$AB$3:$AB$1315,DataRegularSeason20242025!$B$3:$B$1315, "&lt;=" &amp; FN$1, DataRegularSeason20242025!$E$3:$E$1315, $A16)</f>
        <v>61</v>
      </c>
      <c r="FO16">
        <f>SUMIFS(DataRegularSeason20242025!$AA$3:$AA$1315,DataRegularSeason20242025!$B$3:$B$1315, "&lt;=" &amp; FO$1, DataRegularSeason20242025!$D$3:$D$1315, $A16)+SUMIFS(DataRegularSeason20242025!$AB$3:$AB$1315,DataRegularSeason20242025!$B$3:$B$1315, "&lt;=" &amp; FO$1, DataRegularSeason20242025!$E$3:$E$1315, $A16)</f>
        <v>61</v>
      </c>
      <c r="FP16">
        <f>SUMIFS(DataRegularSeason20242025!$AA$3:$AA$1315,DataRegularSeason20242025!$B$3:$B$1315, "&lt;=" &amp; FP$1, DataRegularSeason20242025!$D$3:$D$1315, $A16)+SUMIFS(DataRegularSeason20242025!$AB$3:$AB$1315,DataRegularSeason20242025!$B$3:$B$1315, "&lt;=" &amp; FP$1, DataRegularSeason20242025!$E$3:$E$1315, $A16)</f>
        <v>61</v>
      </c>
      <c r="FQ16">
        <f>SUMIFS(DataRegularSeason20242025!$AA$3:$AA$1315,DataRegularSeason20242025!$B$3:$B$1315, "&lt;=" &amp; FQ$1, DataRegularSeason20242025!$D$3:$D$1315, $A16)+SUMIFS(DataRegularSeason20242025!$AB$3:$AB$1315,DataRegularSeason20242025!$B$3:$B$1315, "&lt;=" &amp; FQ$1, DataRegularSeason20242025!$E$3:$E$1315, $A16)</f>
        <v>61</v>
      </c>
      <c r="FR16">
        <f>SUMIFS(DataRegularSeason20242025!$AA$3:$AA$1315,DataRegularSeason20242025!$B$3:$B$1315, "&lt;=" &amp; FR$1, DataRegularSeason20242025!$D$3:$D$1315, $A16)+SUMIFS(DataRegularSeason20242025!$AB$3:$AB$1315,DataRegularSeason20242025!$B$3:$B$1315, "&lt;=" &amp; FR$1, DataRegularSeason20242025!$E$3:$E$1315, $A16)</f>
        <v>61</v>
      </c>
      <c r="FS16">
        <f>SUMIFS(DataRegularSeason20242025!$AA$3:$AA$1315,DataRegularSeason20242025!$B$3:$B$1315, "&lt;=" &amp; FS$1, DataRegularSeason20242025!$D$3:$D$1315, $A16)+SUMIFS(DataRegularSeason20242025!$AB$3:$AB$1315,DataRegularSeason20242025!$B$3:$B$1315, "&lt;=" &amp; FS$1, DataRegularSeason20242025!$E$3:$E$1315, $A16)</f>
        <v>61</v>
      </c>
      <c r="FT16">
        <f>SUMIFS(DataRegularSeason20242025!$AA$3:$AA$1315,DataRegularSeason20242025!$B$3:$B$1315, "&lt;=" &amp; FT$1, DataRegularSeason20242025!$D$3:$D$1315, $A16)+SUMIFS(DataRegularSeason20242025!$AB$3:$AB$1315,DataRegularSeason20242025!$B$3:$B$1315, "&lt;=" &amp; FT$1, DataRegularSeason20242025!$E$3:$E$1315, $A16)</f>
        <v>61</v>
      </c>
      <c r="FU16">
        <f>SUMIFS(DataRegularSeason20242025!$AA$3:$AA$1315,DataRegularSeason20242025!$B$3:$B$1315, "&lt;=" &amp; FU$1, DataRegularSeason20242025!$D$3:$D$1315, $A16)+SUMIFS(DataRegularSeason20242025!$AB$3:$AB$1315,DataRegularSeason20242025!$B$3:$B$1315, "&lt;=" &amp; FU$1, DataRegularSeason20242025!$E$3:$E$1315, $A16)</f>
        <v>61</v>
      </c>
      <c r="FV16">
        <f>SUMIFS(DataRegularSeason20242025!$AA$3:$AA$1315,DataRegularSeason20242025!$B$3:$B$1315, "&lt;=" &amp; FV$1, DataRegularSeason20242025!$D$3:$D$1315, $A16)+SUMIFS(DataRegularSeason20242025!$AB$3:$AB$1315,DataRegularSeason20242025!$B$3:$B$1315, "&lt;=" &amp; FV$1, DataRegularSeason20242025!$E$3:$E$1315, $A16)</f>
        <v>61</v>
      </c>
      <c r="FW16">
        <f>SUMIFS(DataRegularSeason20242025!$AA$3:$AA$1315,DataRegularSeason20242025!$B$3:$B$1315, "&lt;=" &amp; FW$1, DataRegularSeason20242025!$D$3:$D$1315, $A16)+SUMIFS(DataRegularSeason20242025!$AB$3:$AB$1315,DataRegularSeason20242025!$B$3:$B$1315, "&lt;=" &amp; FW$1, DataRegularSeason20242025!$E$3:$E$1315, $A16)</f>
        <v>61</v>
      </c>
      <c r="FX16">
        <f>SUMIFS(DataRegularSeason20242025!$AA$3:$AA$1315,DataRegularSeason20242025!$B$3:$B$1315, "&lt;=" &amp; FX$1, DataRegularSeason20242025!$D$3:$D$1315, $A16)+SUMIFS(DataRegularSeason20242025!$AB$3:$AB$1315,DataRegularSeason20242025!$B$3:$B$1315, "&lt;=" &amp; FX$1, DataRegularSeason20242025!$E$3:$E$1315, $A16)</f>
        <v>61</v>
      </c>
      <c r="FY16">
        <f>SUMIFS(DataRegularSeason20242025!$AA$3:$AA$1315,DataRegularSeason20242025!$B$3:$B$1315, "&lt;=" &amp; FY$1, DataRegularSeason20242025!$D$3:$D$1315, $A16)+SUMIFS(DataRegularSeason20242025!$AB$3:$AB$1315,DataRegularSeason20242025!$B$3:$B$1315, "&lt;=" &amp; FY$1, DataRegularSeason20242025!$E$3:$E$1315, $A16)</f>
        <v>61</v>
      </c>
      <c r="FZ16">
        <f>SUMIFS(DataRegularSeason20242025!$AA$3:$AA$1315,DataRegularSeason20242025!$B$3:$B$1315, "&lt;=" &amp; FZ$1, DataRegularSeason20242025!$D$3:$D$1315, $A16)+SUMIFS(DataRegularSeason20242025!$AB$3:$AB$1315,DataRegularSeason20242025!$B$3:$B$1315, "&lt;=" &amp; FZ$1, DataRegularSeason20242025!$E$3:$E$1315, $A16)</f>
        <v>61</v>
      </c>
      <c r="GA16">
        <f>SUMIFS(DataRegularSeason20242025!$AA$3:$AA$1315,DataRegularSeason20242025!$B$3:$B$1315, "&lt;=" &amp; GA$1, DataRegularSeason20242025!$D$3:$D$1315, $A16)+SUMIFS(DataRegularSeason20242025!$AB$3:$AB$1315,DataRegularSeason20242025!$B$3:$B$1315, "&lt;=" &amp; GA$1, DataRegularSeason20242025!$E$3:$E$1315, $A16)</f>
        <v>61</v>
      </c>
      <c r="GB16">
        <f>SUMIFS(DataRegularSeason20242025!$AA$3:$AA$1315,DataRegularSeason20242025!$B$3:$B$1315, "&lt;=" &amp; GB$1, DataRegularSeason20242025!$D$3:$D$1315, $A16)+SUMIFS(DataRegularSeason20242025!$AB$3:$AB$1315,DataRegularSeason20242025!$B$3:$B$1315, "&lt;=" &amp; GB$1, DataRegularSeason20242025!$E$3:$E$1315, $A16)</f>
        <v>61</v>
      </c>
      <c r="GC16">
        <f>SUMIFS(DataRegularSeason20242025!$AA$3:$AA$1315,DataRegularSeason20242025!$B$3:$B$1315, "&lt;=" &amp; GC$1, DataRegularSeason20242025!$D$3:$D$1315, $A16)+SUMIFS(DataRegularSeason20242025!$AB$3:$AB$1315,DataRegularSeason20242025!$B$3:$B$1315, "&lt;=" &amp; GC$1, DataRegularSeason20242025!$E$3:$E$1315, $A16)</f>
        <v>61</v>
      </c>
      <c r="GD16">
        <f>SUMIFS(DataRegularSeason20242025!$AA$3:$AA$1315,DataRegularSeason20242025!$B$3:$B$1315, "&lt;=" &amp; GD$1, DataRegularSeason20242025!$D$3:$D$1315, $A16)+SUMIFS(DataRegularSeason20242025!$AB$3:$AB$1315,DataRegularSeason20242025!$B$3:$B$1315, "&lt;=" &amp; GD$1, DataRegularSeason20242025!$E$3:$E$1315, $A16)</f>
        <v>61</v>
      </c>
      <c r="GE16">
        <f>SUMIFS(DataRegularSeason20242025!$AA$3:$AA$1315,DataRegularSeason20242025!$B$3:$B$1315, "&lt;=" &amp; GE$1, DataRegularSeason20242025!$D$3:$D$1315, $A16)+SUMIFS(DataRegularSeason20242025!$AB$3:$AB$1315,DataRegularSeason20242025!$B$3:$B$1315, "&lt;=" &amp; GE$1, DataRegularSeason20242025!$E$3:$E$1315, $A16)</f>
        <v>61</v>
      </c>
      <c r="GF16">
        <f>SUMIFS(DataRegularSeason20242025!$AA$3:$AA$1315,DataRegularSeason20242025!$B$3:$B$1315, "&lt;=" &amp; GF$1, DataRegularSeason20242025!$D$3:$D$1315, $A16)+SUMIFS(DataRegularSeason20242025!$AB$3:$AB$1315,DataRegularSeason20242025!$B$3:$B$1315, "&lt;=" &amp; GF$1, DataRegularSeason20242025!$E$3:$E$1315, $A16)</f>
        <v>61</v>
      </c>
      <c r="GG16">
        <f>SUMIFS(DataRegularSeason20242025!$AA$3:$AA$1315,DataRegularSeason20242025!$B$3:$B$1315, "&lt;=" &amp; GG$1, DataRegularSeason20242025!$D$3:$D$1315, $A16)+SUMIFS(DataRegularSeason20242025!$AB$3:$AB$1315,DataRegularSeason20242025!$B$3:$B$1315, "&lt;=" &amp; GG$1, DataRegularSeason20242025!$E$3:$E$1315, $A16)</f>
        <v>61</v>
      </c>
      <c r="GH16">
        <f>SUMIFS(DataRegularSeason20242025!$AA$3:$AA$1315,DataRegularSeason20242025!$B$3:$B$1315, "&lt;=" &amp; GH$1, DataRegularSeason20242025!$D$3:$D$1315, $A16)+SUMIFS(DataRegularSeason20242025!$AB$3:$AB$1315,DataRegularSeason20242025!$B$3:$B$1315, "&lt;=" &amp; GH$1, DataRegularSeason20242025!$E$3:$E$1315, $A16)</f>
        <v>61</v>
      </c>
      <c r="GI16">
        <f>SUMIFS(DataRegularSeason20242025!$AA$3:$AA$1315,DataRegularSeason20242025!$B$3:$B$1315, "&lt;=" &amp; GI$1, DataRegularSeason20242025!$D$3:$D$1315, $A16)+SUMIFS(DataRegularSeason20242025!$AB$3:$AB$1315,DataRegularSeason20242025!$B$3:$B$1315, "&lt;=" &amp; GI$1, DataRegularSeason20242025!$E$3:$E$1315, $A16)</f>
        <v>61</v>
      </c>
      <c r="GJ16">
        <f>SUMIFS(DataRegularSeason20242025!$AA$3:$AA$1315,DataRegularSeason20242025!$B$3:$B$1315, "&lt;=" &amp; GJ$1, DataRegularSeason20242025!$D$3:$D$1315, $A16)+SUMIFS(DataRegularSeason20242025!$AB$3:$AB$1315,DataRegularSeason20242025!$B$3:$B$1315, "&lt;=" &amp; GJ$1, DataRegularSeason20242025!$E$3:$E$1315, $A16)</f>
        <v>61</v>
      </c>
      <c r="GK16">
        <f>SUMIFS(DataRegularSeason20242025!$AA$3:$AA$1315,DataRegularSeason20242025!$B$3:$B$1315, "&lt;=" &amp; GK$1, DataRegularSeason20242025!$D$3:$D$1315, $A16)+SUMIFS(DataRegularSeason20242025!$AB$3:$AB$1315,DataRegularSeason20242025!$B$3:$B$1315, "&lt;=" &amp; GK$1, DataRegularSeason20242025!$E$3:$E$1315, $A16)</f>
        <v>61</v>
      </c>
      <c r="GL16">
        <f>SUMIFS(DataRegularSeason20242025!$AA$3:$AA$1315,DataRegularSeason20242025!$B$3:$B$1315, "&lt;=" &amp; GL$1, DataRegularSeason20242025!$D$3:$D$1315, $A16)+SUMIFS(DataRegularSeason20242025!$AB$3:$AB$1315,DataRegularSeason20242025!$B$3:$B$1315, "&lt;=" &amp; GL$1, DataRegularSeason20242025!$E$3:$E$1315, $A16)</f>
        <v>61</v>
      </c>
      <c r="GM16">
        <f>SUMIFS(DataRegularSeason20242025!$AA$3:$AA$1315,DataRegularSeason20242025!$B$3:$B$1315, "&lt;=" &amp; GM$1, DataRegularSeason20242025!$D$3:$D$1315, $A16)+SUMIFS(DataRegularSeason20242025!$AB$3:$AB$1315,DataRegularSeason20242025!$B$3:$B$1315, "&lt;=" &amp; GM$1, DataRegularSeason20242025!$E$3:$E$1315, $A16)</f>
        <v>61</v>
      </c>
      <c r="GN16">
        <f>SUMIFS(DataRegularSeason20242025!$AA$3:$AA$1315,DataRegularSeason20242025!$B$3:$B$1315, "&lt;=" &amp; GN$1, DataRegularSeason20242025!$D$3:$D$1315, $A16)+SUMIFS(DataRegularSeason20242025!$AB$3:$AB$1315,DataRegularSeason20242025!$B$3:$B$1315, "&lt;=" &amp; GN$1, DataRegularSeason20242025!$E$3:$E$1315, $A16)</f>
        <v>61</v>
      </c>
      <c r="GO16">
        <f>SUMIFS(DataRegularSeason20242025!$AA$3:$AA$1315,DataRegularSeason20242025!$B$3:$B$1315, "&lt;=" &amp; GO$1, DataRegularSeason20242025!$D$3:$D$1315, $A16)+SUMIFS(DataRegularSeason20242025!$AB$3:$AB$1315,DataRegularSeason20242025!$B$3:$B$1315, "&lt;=" &amp; GO$1, DataRegularSeason20242025!$E$3:$E$1315, $A16)</f>
        <v>61</v>
      </c>
      <c r="GP16">
        <f>SUMIFS(DataRegularSeason20242025!$AA$3:$AA$1315,DataRegularSeason20242025!$B$3:$B$1315, "&lt;=" &amp; GP$1, DataRegularSeason20242025!$D$3:$D$1315, $A16)+SUMIFS(DataRegularSeason20242025!$AB$3:$AB$1315,DataRegularSeason20242025!$B$3:$B$1315, "&lt;=" &amp; GP$1, DataRegularSeason20242025!$E$3:$E$1315, $A16)</f>
        <v>61</v>
      </c>
      <c r="GQ16">
        <f>SUMIFS(DataRegularSeason20242025!$AA$3:$AA$1315,DataRegularSeason20242025!$B$3:$B$1315, "&lt;=" &amp; GQ$1, DataRegularSeason20242025!$D$3:$D$1315, $A16)+SUMIFS(DataRegularSeason20242025!$AB$3:$AB$1315,DataRegularSeason20242025!$B$3:$B$1315, "&lt;=" &amp; GQ$1, DataRegularSeason20242025!$E$3:$E$1315, $A16)</f>
        <v>61</v>
      </c>
      <c r="GR16">
        <f>SUMIFS(DataRegularSeason20242025!$AA$3:$AA$1315,DataRegularSeason20242025!$B$3:$B$1315, "&lt;=" &amp; GR$1, DataRegularSeason20242025!$D$3:$D$1315, $A16)+SUMIFS(DataRegularSeason20242025!$AB$3:$AB$1315,DataRegularSeason20242025!$B$3:$B$1315, "&lt;=" &amp; GR$1, DataRegularSeason20242025!$E$3:$E$1315, $A16)</f>
        <v>61</v>
      </c>
      <c r="GS16">
        <f>SUMIFS(DataRegularSeason20242025!$AA$3:$AA$1315,DataRegularSeason20242025!$B$3:$B$1315, "&lt;=" &amp; GS$1, DataRegularSeason20242025!$D$3:$D$1315, $A16)+SUMIFS(DataRegularSeason20242025!$AB$3:$AB$1315,DataRegularSeason20242025!$B$3:$B$1315, "&lt;=" &amp; GS$1, DataRegularSeason20242025!$E$3:$E$1315, $A16)</f>
        <v>61</v>
      </c>
      <c r="GT16">
        <f>SUMIFS(DataRegularSeason20242025!$AA$3:$AA$1315,DataRegularSeason20242025!$B$3:$B$1315, "&lt;=" &amp; GT$1, DataRegularSeason20242025!$D$3:$D$1315, $A16)+SUMIFS(DataRegularSeason20242025!$AB$3:$AB$1315,DataRegularSeason20242025!$B$3:$B$1315, "&lt;=" &amp; GT$1, DataRegularSeason20242025!$E$3:$E$1315, $A16)</f>
        <v>61</v>
      </c>
      <c r="GU16">
        <f>SUMIFS(DataRegularSeason20242025!$AA$3:$AA$1315,DataRegularSeason20242025!$B$3:$B$1315, "&lt;=" &amp; GU$1, DataRegularSeason20242025!$D$3:$D$1315, $A16)+SUMIFS(DataRegularSeason20242025!$AB$3:$AB$1315,DataRegularSeason20242025!$B$3:$B$1315, "&lt;=" &amp; GU$1, DataRegularSeason20242025!$E$3:$E$1315, $A16)</f>
        <v>61</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14</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65.5625</v>
      </c>
      <c r="EX34">
        <f>SUBTOTAL(101,Table4[2025-03-02])</f>
        <v>65.5625</v>
      </c>
      <c r="EY34">
        <f>SUBTOTAL(101,Table4[2025-03-03])</f>
        <v>65.5625</v>
      </c>
      <c r="EZ34">
        <f>SUBTOTAL(101,Table4[2025-03-04])</f>
        <v>65.5625</v>
      </c>
      <c r="FA34">
        <f>SUBTOTAL(101,Table4[2025-03-05])</f>
        <v>65.5625</v>
      </c>
      <c r="FB34">
        <f>SUBTOTAL(101,Table4[2025-03-06])</f>
        <v>65.5625</v>
      </c>
      <c r="FC34">
        <f>SUBTOTAL(101,Table4[2025-03-07])</f>
        <v>65.5625</v>
      </c>
      <c r="FD34">
        <f>SUBTOTAL(101,Table4[2025-03-08])</f>
        <v>65.5625</v>
      </c>
      <c r="FE34">
        <f>SUBTOTAL(101,Table4[2025-03-09])</f>
        <v>65.5625</v>
      </c>
      <c r="FF34">
        <f>SUBTOTAL(101,Table4[2025-03-10])</f>
        <v>65.5625</v>
      </c>
      <c r="FG34">
        <f>SUBTOTAL(101,Table4[2025-03-11])</f>
        <v>65.5625</v>
      </c>
      <c r="FH34">
        <f>SUBTOTAL(101,Table4[2025-03-12])</f>
        <v>65.5625</v>
      </c>
      <c r="FI34">
        <f>SUBTOTAL(101,Table4[2025-03-13])</f>
        <v>65.5625</v>
      </c>
      <c r="FJ34">
        <f>SUBTOTAL(101,Table4[2025-03-14])</f>
        <v>65.5625</v>
      </c>
      <c r="FK34">
        <f>SUBTOTAL(101,Table4[2025-03-15])</f>
        <v>65.5625</v>
      </c>
      <c r="FL34">
        <f>SUBTOTAL(101,Table4[2025-03-16])</f>
        <v>65.5625</v>
      </c>
      <c r="FM34">
        <f>SUBTOTAL(101,Table4[2025-03-17])</f>
        <v>65.5625</v>
      </c>
      <c r="FN34">
        <f>SUBTOTAL(101,Table4[2025-03-18])</f>
        <v>65.5625</v>
      </c>
      <c r="FO34">
        <f>SUBTOTAL(101,Table4[2025-03-19])</f>
        <v>65.5625</v>
      </c>
      <c r="FP34">
        <f>SUBTOTAL(101,Table4[2025-03-20])</f>
        <v>65.5625</v>
      </c>
      <c r="FQ34">
        <f>SUBTOTAL(101,Table4[2025-03-21])</f>
        <v>65.5625</v>
      </c>
      <c r="FR34">
        <f>SUBTOTAL(101,Table4[2025-03-22])</f>
        <v>65.5625</v>
      </c>
      <c r="FS34">
        <f>SUBTOTAL(101,Table4[2025-03-23])</f>
        <v>65.5625</v>
      </c>
      <c r="FT34">
        <f>SUBTOTAL(101,Table4[2025-03-24])</f>
        <v>65.5625</v>
      </c>
      <c r="FU34">
        <f>SUBTOTAL(101,Table4[2025-03-25])</f>
        <v>65.5625</v>
      </c>
      <c r="FV34">
        <f>SUBTOTAL(101,Table4[2025-03-26])</f>
        <v>65.5625</v>
      </c>
      <c r="FW34">
        <f>SUBTOTAL(101,Table4[2025-03-27])</f>
        <v>65.5625</v>
      </c>
      <c r="FX34">
        <f>SUBTOTAL(101,Table4[2025-03-28])</f>
        <v>65.5625</v>
      </c>
      <c r="FY34">
        <f>SUBTOTAL(101,Table4[2025-03-29])</f>
        <v>65.5625</v>
      </c>
      <c r="FZ34">
        <f>SUBTOTAL(101,Table4[2025-03-30])</f>
        <v>65.5625</v>
      </c>
      <c r="GA34">
        <f>SUBTOTAL(101,Table4[2025-03-31])</f>
        <v>65.5625</v>
      </c>
      <c r="GB34">
        <f>SUBTOTAL(101,Table4[2025-04-01])</f>
        <v>65.5625</v>
      </c>
      <c r="GC34">
        <f>SUBTOTAL(101,Table4[2025-04-02])</f>
        <v>65.5625</v>
      </c>
      <c r="GD34">
        <f>SUBTOTAL(101,Table4[2025-04-03])</f>
        <v>65.5625</v>
      </c>
      <c r="GE34">
        <f>SUBTOTAL(101,Table4[2025-04-04])</f>
        <v>65.5625</v>
      </c>
      <c r="GF34">
        <f>SUBTOTAL(101,Table4[2025-04-05])</f>
        <v>65.5625</v>
      </c>
      <c r="GG34">
        <f>SUBTOTAL(101,Table4[2025-04-06])</f>
        <v>65.5625</v>
      </c>
      <c r="GH34">
        <f>SUBTOTAL(101,Table4[2025-04-07])</f>
        <v>65.5625</v>
      </c>
      <c r="GI34">
        <f>SUBTOTAL(101,Table4[2025-04-08])</f>
        <v>65.5625</v>
      </c>
      <c r="GJ34">
        <f>SUBTOTAL(101,Table4[2025-04-09])</f>
        <v>65.5625</v>
      </c>
      <c r="GK34">
        <f>SUBTOTAL(101,Table4[2025-04-10])</f>
        <v>65.5625</v>
      </c>
      <c r="GL34">
        <f>SUBTOTAL(101,Table4[2025-04-11])</f>
        <v>65.5625</v>
      </c>
      <c r="GM34">
        <f>SUBTOTAL(101,Table4[2025-04-12])</f>
        <v>65.5625</v>
      </c>
      <c r="GN34">
        <f>SUBTOTAL(101,Table4[2025-04-13])</f>
        <v>65.5625</v>
      </c>
      <c r="GO34">
        <f>SUBTOTAL(101,Table4[2025-04-14])</f>
        <v>65.5625</v>
      </c>
      <c r="GP34">
        <f>SUBTOTAL(101,Table4[2025-04-15])</f>
        <v>65.5625</v>
      </c>
      <c r="GQ34">
        <f>SUBTOTAL(101,Table4[2025-04-16])</f>
        <v>65.5625</v>
      </c>
      <c r="GR34">
        <f>SUBTOTAL(101,Table4[2025-04-17])</f>
        <v>65.5625</v>
      </c>
      <c r="GS34">
        <f>SUBTOTAL(101,Table4[2025-04-18])</f>
        <v>65.5625</v>
      </c>
      <c r="GT34">
        <f>SUBTOTAL(101,Table4[2025-04-19])</f>
        <v>65.5625</v>
      </c>
      <c r="GU34">
        <f>SUBTOTAL(101,Table4[2025-04-20])</f>
        <v>65.5625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77</v>
      </c>
      <c r="EZ39">
        <f>SUMIFS(DataRegularSeason20242025!$AA$3:$AA$1315,DataRegularSeason20242025!$B$3:$B$1315, "&lt;=" &amp; EZ$1, DataRegularSeason20242025!$D$3:$D$1315, $A39)+SUMIFS(DataRegularSeason20242025!$AB$3:$AB$1315,DataRegularSeason20242025!$B$3:$B$1315, "&lt;=" &amp; EZ$1, DataRegularSeason20242025!$E$3:$E$1315, $A39)</f>
        <v>77</v>
      </c>
      <c r="FA39">
        <f>SUMIFS(DataRegularSeason20242025!$AA$3:$AA$1315,DataRegularSeason20242025!$B$3:$B$1315, "&lt;=" &amp; FA$1, DataRegularSeason20242025!$D$3:$D$1315, $A39)+SUMIFS(DataRegularSeason20242025!$AB$3:$AB$1315,DataRegularSeason20242025!$B$3:$B$1315, "&lt;=" &amp; FA$1, DataRegularSeason20242025!$E$3:$E$1315, $A39)</f>
        <v>77</v>
      </c>
      <c r="FB39">
        <f>SUMIFS(DataRegularSeason20242025!$AA$3:$AA$1315,DataRegularSeason20242025!$B$3:$B$1315, "&lt;=" &amp; FB$1, DataRegularSeason20242025!$D$3:$D$1315, $A39)+SUMIFS(DataRegularSeason20242025!$AB$3:$AB$1315,DataRegularSeason20242025!$B$3:$B$1315, "&lt;=" &amp; FB$1, DataRegularSeason20242025!$E$3:$E$1315, $A39)</f>
        <v>77</v>
      </c>
      <c r="FC39">
        <f>SUMIFS(DataRegularSeason20242025!$AA$3:$AA$1315,DataRegularSeason20242025!$B$3:$B$1315, "&lt;=" &amp; FC$1, DataRegularSeason20242025!$D$3:$D$1315, $A39)+SUMIFS(DataRegularSeason20242025!$AB$3:$AB$1315,DataRegularSeason20242025!$B$3:$B$1315, "&lt;=" &amp; FC$1, DataRegularSeason20242025!$E$3:$E$1315, $A39)</f>
        <v>77</v>
      </c>
      <c r="FD39">
        <f>SUMIFS(DataRegularSeason20242025!$AA$3:$AA$1315,DataRegularSeason20242025!$B$3:$B$1315, "&lt;=" &amp; FD$1, DataRegularSeason20242025!$D$3:$D$1315, $A39)+SUMIFS(DataRegularSeason20242025!$AB$3:$AB$1315,DataRegularSeason20242025!$B$3:$B$1315, "&lt;=" &amp; FD$1, DataRegularSeason20242025!$E$3:$E$1315, $A39)</f>
        <v>77</v>
      </c>
      <c r="FE39">
        <f>SUMIFS(DataRegularSeason20242025!$AA$3:$AA$1315,DataRegularSeason20242025!$B$3:$B$1315, "&lt;=" &amp; FE$1, DataRegularSeason20242025!$D$3:$D$1315, $A39)+SUMIFS(DataRegularSeason20242025!$AB$3:$AB$1315,DataRegularSeason20242025!$B$3:$B$1315, "&lt;=" &amp; FE$1, DataRegularSeason20242025!$E$3:$E$1315, $A39)</f>
        <v>77</v>
      </c>
      <c r="FF39">
        <f>SUMIFS(DataRegularSeason20242025!$AA$3:$AA$1315,DataRegularSeason20242025!$B$3:$B$1315, "&lt;=" &amp; FF$1, DataRegularSeason20242025!$D$3:$D$1315, $A39)+SUMIFS(DataRegularSeason20242025!$AB$3:$AB$1315,DataRegularSeason20242025!$B$3:$B$1315, "&lt;=" &amp; FF$1, DataRegularSeason20242025!$E$3:$E$1315, $A39)</f>
        <v>77</v>
      </c>
      <c r="FG39">
        <f>SUMIFS(DataRegularSeason20242025!$AA$3:$AA$1315,DataRegularSeason20242025!$B$3:$B$1315, "&lt;=" &amp; FG$1, DataRegularSeason20242025!$D$3:$D$1315, $A39)+SUMIFS(DataRegularSeason20242025!$AB$3:$AB$1315,DataRegularSeason20242025!$B$3:$B$1315, "&lt;=" &amp; FG$1, DataRegularSeason20242025!$E$3:$E$1315, $A39)</f>
        <v>77</v>
      </c>
      <c r="FH39">
        <f>SUMIFS(DataRegularSeason20242025!$AA$3:$AA$1315,DataRegularSeason20242025!$B$3:$B$1315, "&lt;=" &amp; FH$1, DataRegularSeason20242025!$D$3:$D$1315, $A39)+SUMIFS(DataRegularSeason20242025!$AB$3:$AB$1315,DataRegularSeason20242025!$B$3:$B$1315, "&lt;=" &amp; FH$1, DataRegularSeason20242025!$E$3:$E$1315, $A39)</f>
        <v>77</v>
      </c>
      <c r="FI39">
        <f>SUMIFS(DataRegularSeason20242025!$AA$3:$AA$1315,DataRegularSeason20242025!$B$3:$B$1315, "&lt;=" &amp; FI$1, DataRegularSeason20242025!$D$3:$D$1315, $A39)+SUMIFS(DataRegularSeason20242025!$AB$3:$AB$1315,DataRegularSeason20242025!$B$3:$B$1315, "&lt;=" &amp; FI$1, DataRegularSeason20242025!$E$3:$E$1315, $A39)</f>
        <v>77</v>
      </c>
      <c r="FJ39">
        <f>SUMIFS(DataRegularSeason20242025!$AA$3:$AA$1315,DataRegularSeason20242025!$B$3:$B$1315, "&lt;=" &amp; FJ$1, DataRegularSeason20242025!$D$3:$D$1315, $A39)+SUMIFS(DataRegularSeason20242025!$AB$3:$AB$1315,DataRegularSeason20242025!$B$3:$B$1315, "&lt;=" &amp; FJ$1, DataRegularSeason20242025!$E$3:$E$1315, $A39)</f>
        <v>77</v>
      </c>
      <c r="FK39">
        <f>SUMIFS(DataRegularSeason20242025!$AA$3:$AA$1315,DataRegularSeason20242025!$B$3:$B$1315, "&lt;=" &amp; FK$1, DataRegularSeason20242025!$D$3:$D$1315, $A39)+SUMIFS(DataRegularSeason20242025!$AB$3:$AB$1315,DataRegularSeason20242025!$B$3:$B$1315, "&lt;=" &amp; FK$1, DataRegularSeason20242025!$E$3:$E$1315, $A39)</f>
        <v>77</v>
      </c>
      <c r="FL39">
        <f>SUMIFS(DataRegularSeason20242025!$AA$3:$AA$1315,DataRegularSeason20242025!$B$3:$B$1315, "&lt;=" &amp; FL$1, DataRegularSeason20242025!$D$3:$D$1315, $A39)+SUMIFS(DataRegularSeason20242025!$AB$3:$AB$1315,DataRegularSeason20242025!$B$3:$B$1315, "&lt;=" &amp; FL$1, DataRegularSeason20242025!$E$3:$E$1315, $A39)</f>
        <v>77</v>
      </c>
      <c r="FM39">
        <f>SUMIFS(DataRegularSeason20242025!$AA$3:$AA$1315,DataRegularSeason20242025!$B$3:$B$1315, "&lt;=" &amp; FM$1, DataRegularSeason20242025!$D$3:$D$1315, $A39)+SUMIFS(DataRegularSeason20242025!$AB$3:$AB$1315,DataRegularSeason20242025!$B$3:$B$1315, "&lt;=" &amp; FM$1, DataRegularSeason20242025!$E$3:$E$1315, $A39)</f>
        <v>77</v>
      </c>
      <c r="FN39">
        <f>SUMIFS(DataRegularSeason20242025!$AA$3:$AA$1315,DataRegularSeason20242025!$B$3:$B$1315, "&lt;=" &amp; FN$1, DataRegularSeason20242025!$D$3:$D$1315, $A39)+SUMIFS(DataRegularSeason20242025!$AB$3:$AB$1315,DataRegularSeason20242025!$B$3:$B$1315, "&lt;=" &amp; FN$1, DataRegularSeason20242025!$E$3:$E$1315, $A39)</f>
        <v>77</v>
      </c>
      <c r="FO39">
        <f>SUMIFS(DataRegularSeason20242025!$AA$3:$AA$1315,DataRegularSeason20242025!$B$3:$B$1315, "&lt;=" &amp; FO$1, DataRegularSeason20242025!$D$3:$D$1315, $A39)+SUMIFS(DataRegularSeason20242025!$AB$3:$AB$1315,DataRegularSeason20242025!$B$3:$B$1315, "&lt;=" &amp; FO$1, DataRegularSeason20242025!$E$3:$E$1315, $A39)</f>
        <v>77</v>
      </c>
      <c r="FP39">
        <f>SUMIFS(DataRegularSeason20242025!$AA$3:$AA$1315,DataRegularSeason20242025!$B$3:$B$1315, "&lt;=" &amp; FP$1, DataRegularSeason20242025!$D$3:$D$1315, $A39)+SUMIFS(DataRegularSeason20242025!$AB$3:$AB$1315,DataRegularSeason20242025!$B$3:$B$1315, "&lt;=" &amp; FP$1, DataRegularSeason20242025!$E$3:$E$1315, $A39)</f>
        <v>77</v>
      </c>
      <c r="FQ39">
        <f>SUMIFS(DataRegularSeason20242025!$AA$3:$AA$1315,DataRegularSeason20242025!$B$3:$B$1315, "&lt;=" &amp; FQ$1, DataRegularSeason20242025!$D$3:$D$1315, $A39)+SUMIFS(DataRegularSeason20242025!$AB$3:$AB$1315,DataRegularSeason20242025!$B$3:$B$1315, "&lt;=" &amp; FQ$1, DataRegularSeason20242025!$E$3:$E$1315, $A39)</f>
        <v>77</v>
      </c>
      <c r="FR39">
        <f>SUMIFS(DataRegularSeason20242025!$AA$3:$AA$1315,DataRegularSeason20242025!$B$3:$B$1315, "&lt;=" &amp; FR$1, DataRegularSeason20242025!$D$3:$D$1315, $A39)+SUMIFS(DataRegularSeason20242025!$AB$3:$AB$1315,DataRegularSeason20242025!$B$3:$B$1315, "&lt;=" &amp; FR$1, DataRegularSeason20242025!$E$3:$E$1315, $A39)</f>
        <v>77</v>
      </c>
      <c r="FS39">
        <f>SUMIFS(DataRegularSeason20242025!$AA$3:$AA$1315,DataRegularSeason20242025!$B$3:$B$1315, "&lt;=" &amp; FS$1, DataRegularSeason20242025!$D$3:$D$1315, $A39)+SUMIFS(DataRegularSeason20242025!$AB$3:$AB$1315,DataRegularSeason20242025!$B$3:$B$1315, "&lt;=" &amp; FS$1, DataRegularSeason20242025!$E$3:$E$1315, $A39)</f>
        <v>77</v>
      </c>
      <c r="FT39">
        <f>SUMIFS(DataRegularSeason20242025!$AA$3:$AA$1315,DataRegularSeason20242025!$B$3:$B$1315, "&lt;=" &amp; FT$1, DataRegularSeason20242025!$D$3:$D$1315, $A39)+SUMIFS(DataRegularSeason20242025!$AB$3:$AB$1315,DataRegularSeason20242025!$B$3:$B$1315, "&lt;=" &amp; FT$1, DataRegularSeason20242025!$E$3:$E$1315, $A39)</f>
        <v>77</v>
      </c>
      <c r="FU39">
        <f>SUMIFS(DataRegularSeason20242025!$AA$3:$AA$1315,DataRegularSeason20242025!$B$3:$B$1315, "&lt;=" &amp; FU$1, DataRegularSeason20242025!$D$3:$D$1315, $A39)+SUMIFS(DataRegularSeason20242025!$AB$3:$AB$1315,DataRegularSeason20242025!$B$3:$B$1315, "&lt;=" &amp; FU$1, DataRegularSeason20242025!$E$3:$E$1315, $A39)</f>
        <v>77</v>
      </c>
      <c r="FV39">
        <f>SUMIFS(DataRegularSeason20242025!$AA$3:$AA$1315,DataRegularSeason20242025!$B$3:$B$1315, "&lt;=" &amp; FV$1, DataRegularSeason20242025!$D$3:$D$1315, $A39)+SUMIFS(DataRegularSeason20242025!$AB$3:$AB$1315,DataRegularSeason20242025!$B$3:$B$1315, "&lt;=" &amp; FV$1, DataRegularSeason20242025!$E$3:$E$1315, $A39)</f>
        <v>77</v>
      </c>
      <c r="FW39">
        <f>SUMIFS(DataRegularSeason20242025!$AA$3:$AA$1315,DataRegularSeason20242025!$B$3:$B$1315, "&lt;=" &amp; FW$1, DataRegularSeason20242025!$D$3:$D$1315, $A39)+SUMIFS(DataRegularSeason20242025!$AB$3:$AB$1315,DataRegularSeason20242025!$B$3:$B$1315, "&lt;=" &amp; FW$1, DataRegularSeason20242025!$E$3:$E$1315, $A39)</f>
        <v>77</v>
      </c>
      <c r="FX39">
        <f>SUMIFS(DataRegularSeason20242025!$AA$3:$AA$1315,DataRegularSeason20242025!$B$3:$B$1315, "&lt;=" &amp; FX$1, DataRegularSeason20242025!$D$3:$D$1315, $A39)+SUMIFS(DataRegularSeason20242025!$AB$3:$AB$1315,DataRegularSeason20242025!$B$3:$B$1315, "&lt;=" &amp; FX$1, DataRegularSeason20242025!$E$3:$E$1315, $A39)</f>
        <v>77</v>
      </c>
      <c r="FY39">
        <f>SUMIFS(DataRegularSeason20242025!$AA$3:$AA$1315,DataRegularSeason20242025!$B$3:$B$1315, "&lt;=" &amp; FY$1, DataRegularSeason20242025!$D$3:$D$1315, $A39)+SUMIFS(DataRegularSeason20242025!$AB$3:$AB$1315,DataRegularSeason20242025!$B$3:$B$1315, "&lt;=" &amp; FY$1, DataRegularSeason20242025!$E$3:$E$1315, $A39)</f>
        <v>77</v>
      </c>
      <c r="FZ39">
        <f>SUMIFS(DataRegularSeason20242025!$AA$3:$AA$1315,DataRegularSeason20242025!$B$3:$B$1315, "&lt;=" &amp; FZ$1, DataRegularSeason20242025!$D$3:$D$1315, $A39)+SUMIFS(DataRegularSeason20242025!$AB$3:$AB$1315,DataRegularSeason20242025!$B$3:$B$1315, "&lt;=" &amp; FZ$1, DataRegularSeason20242025!$E$3:$E$1315, $A39)</f>
        <v>77</v>
      </c>
      <c r="GA39">
        <f>SUMIFS(DataRegularSeason20242025!$AA$3:$AA$1315,DataRegularSeason20242025!$B$3:$B$1315, "&lt;=" &amp; GA$1, DataRegularSeason20242025!$D$3:$D$1315, $A39)+SUMIFS(DataRegularSeason20242025!$AB$3:$AB$1315,DataRegularSeason20242025!$B$3:$B$1315, "&lt;=" &amp; GA$1, DataRegularSeason20242025!$E$3:$E$1315, $A39)</f>
        <v>77</v>
      </c>
      <c r="GB39">
        <f>SUMIFS(DataRegularSeason20242025!$AA$3:$AA$1315,DataRegularSeason20242025!$B$3:$B$1315, "&lt;=" &amp; GB$1, DataRegularSeason20242025!$D$3:$D$1315, $A39)+SUMIFS(DataRegularSeason20242025!$AB$3:$AB$1315,DataRegularSeason20242025!$B$3:$B$1315, "&lt;=" &amp; GB$1, DataRegularSeason20242025!$E$3:$E$1315, $A39)</f>
        <v>77</v>
      </c>
      <c r="GC39">
        <f>SUMIFS(DataRegularSeason20242025!$AA$3:$AA$1315,DataRegularSeason20242025!$B$3:$B$1315, "&lt;=" &amp; GC$1, DataRegularSeason20242025!$D$3:$D$1315, $A39)+SUMIFS(DataRegularSeason20242025!$AB$3:$AB$1315,DataRegularSeason20242025!$B$3:$B$1315, "&lt;=" &amp; GC$1, DataRegularSeason20242025!$E$3:$E$1315, $A39)</f>
        <v>77</v>
      </c>
      <c r="GD39">
        <f>SUMIFS(DataRegularSeason20242025!$AA$3:$AA$1315,DataRegularSeason20242025!$B$3:$B$1315, "&lt;=" &amp; GD$1, DataRegularSeason20242025!$D$3:$D$1315, $A39)+SUMIFS(DataRegularSeason20242025!$AB$3:$AB$1315,DataRegularSeason20242025!$B$3:$B$1315, "&lt;=" &amp; GD$1, DataRegularSeason20242025!$E$3:$E$1315, $A39)</f>
        <v>77</v>
      </c>
      <c r="GE39">
        <f>SUMIFS(DataRegularSeason20242025!$AA$3:$AA$1315,DataRegularSeason20242025!$B$3:$B$1315, "&lt;=" &amp; GE$1, DataRegularSeason20242025!$D$3:$D$1315, $A39)+SUMIFS(DataRegularSeason20242025!$AB$3:$AB$1315,DataRegularSeason20242025!$B$3:$B$1315, "&lt;=" &amp; GE$1, DataRegularSeason20242025!$E$3:$E$1315, $A39)</f>
        <v>77</v>
      </c>
      <c r="GF39">
        <f>SUMIFS(DataRegularSeason20242025!$AA$3:$AA$1315,DataRegularSeason20242025!$B$3:$B$1315, "&lt;=" &amp; GF$1, DataRegularSeason20242025!$D$3:$D$1315, $A39)+SUMIFS(DataRegularSeason20242025!$AB$3:$AB$1315,DataRegularSeason20242025!$B$3:$B$1315, "&lt;=" &amp; GF$1, DataRegularSeason20242025!$E$3:$E$1315, $A39)</f>
        <v>77</v>
      </c>
      <c r="GG39">
        <f>SUMIFS(DataRegularSeason20242025!$AA$3:$AA$1315,DataRegularSeason20242025!$B$3:$B$1315, "&lt;=" &amp; GG$1, DataRegularSeason20242025!$D$3:$D$1315, $A39)+SUMIFS(DataRegularSeason20242025!$AB$3:$AB$1315,DataRegularSeason20242025!$B$3:$B$1315, "&lt;=" &amp; GG$1, DataRegularSeason20242025!$E$3:$E$1315, $A39)</f>
        <v>77</v>
      </c>
      <c r="GH39">
        <f>SUMIFS(DataRegularSeason20242025!$AA$3:$AA$1315,DataRegularSeason20242025!$B$3:$B$1315, "&lt;=" &amp; GH$1, DataRegularSeason20242025!$D$3:$D$1315, $A39)+SUMIFS(DataRegularSeason20242025!$AB$3:$AB$1315,DataRegularSeason20242025!$B$3:$B$1315, "&lt;=" &amp; GH$1, DataRegularSeason20242025!$E$3:$E$1315, $A39)</f>
        <v>77</v>
      </c>
      <c r="GI39">
        <f>SUMIFS(DataRegularSeason20242025!$AA$3:$AA$1315,DataRegularSeason20242025!$B$3:$B$1315, "&lt;=" &amp; GI$1, DataRegularSeason20242025!$D$3:$D$1315, $A39)+SUMIFS(DataRegularSeason20242025!$AB$3:$AB$1315,DataRegularSeason20242025!$B$3:$B$1315, "&lt;=" &amp; GI$1, DataRegularSeason20242025!$E$3:$E$1315, $A39)</f>
        <v>77</v>
      </c>
      <c r="GJ39">
        <f>SUMIFS(DataRegularSeason20242025!$AA$3:$AA$1315,DataRegularSeason20242025!$B$3:$B$1315, "&lt;=" &amp; GJ$1, DataRegularSeason20242025!$D$3:$D$1315, $A39)+SUMIFS(DataRegularSeason20242025!$AB$3:$AB$1315,DataRegularSeason20242025!$B$3:$B$1315, "&lt;=" &amp; GJ$1, DataRegularSeason20242025!$E$3:$E$1315, $A39)</f>
        <v>77</v>
      </c>
      <c r="GK39">
        <f>SUMIFS(DataRegularSeason20242025!$AA$3:$AA$1315,DataRegularSeason20242025!$B$3:$B$1315, "&lt;=" &amp; GK$1, DataRegularSeason20242025!$D$3:$D$1315, $A39)+SUMIFS(DataRegularSeason20242025!$AB$3:$AB$1315,DataRegularSeason20242025!$B$3:$B$1315, "&lt;=" &amp; GK$1, DataRegularSeason20242025!$E$3:$E$1315, $A39)</f>
        <v>77</v>
      </c>
      <c r="GL39">
        <f>SUMIFS(DataRegularSeason20242025!$AA$3:$AA$1315,DataRegularSeason20242025!$B$3:$B$1315, "&lt;=" &amp; GL$1, DataRegularSeason20242025!$D$3:$D$1315, $A39)+SUMIFS(DataRegularSeason20242025!$AB$3:$AB$1315,DataRegularSeason20242025!$B$3:$B$1315, "&lt;=" &amp; GL$1, DataRegularSeason20242025!$E$3:$E$1315, $A39)</f>
        <v>77</v>
      </c>
      <c r="GM39">
        <f>SUMIFS(DataRegularSeason20242025!$AA$3:$AA$1315,DataRegularSeason20242025!$B$3:$B$1315, "&lt;=" &amp; GM$1, DataRegularSeason20242025!$D$3:$D$1315, $A39)+SUMIFS(DataRegularSeason20242025!$AB$3:$AB$1315,DataRegularSeason20242025!$B$3:$B$1315, "&lt;=" &amp; GM$1, DataRegularSeason20242025!$E$3:$E$1315, $A39)</f>
        <v>77</v>
      </c>
      <c r="GN39">
        <f>SUMIFS(DataRegularSeason20242025!$AA$3:$AA$1315,DataRegularSeason20242025!$B$3:$B$1315, "&lt;=" &amp; GN$1, DataRegularSeason20242025!$D$3:$D$1315, $A39)+SUMIFS(DataRegularSeason20242025!$AB$3:$AB$1315,DataRegularSeason20242025!$B$3:$B$1315, "&lt;=" &amp; GN$1, DataRegularSeason20242025!$E$3:$E$1315, $A39)</f>
        <v>77</v>
      </c>
      <c r="GO39">
        <f>SUMIFS(DataRegularSeason20242025!$AA$3:$AA$1315,DataRegularSeason20242025!$B$3:$B$1315, "&lt;=" &amp; GO$1, DataRegularSeason20242025!$D$3:$D$1315, $A39)+SUMIFS(DataRegularSeason20242025!$AB$3:$AB$1315,DataRegularSeason20242025!$B$3:$B$1315, "&lt;=" &amp; GO$1, DataRegularSeason20242025!$E$3:$E$1315, $A39)</f>
        <v>77</v>
      </c>
      <c r="GP39">
        <f>SUMIFS(DataRegularSeason20242025!$AA$3:$AA$1315,DataRegularSeason20242025!$B$3:$B$1315, "&lt;=" &amp; GP$1, DataRegularSeason20242025!$D$3:$D$1315, $A39)+SUMIFS(DataRegularSeason20242025!$AB$3:$AB$1315,DataRegularSeason20242025!$B$3:$B$1315, "&lt;=" &amp; GP$1, DataRegularSeason20242025!$E$3:$E$1315, $A39)</f>
        <v>77</v>
      </c>
      <c r="GQ39">
        <f>SUMIFS(DataRegularSeason20242025!$AA$3:$AA$1315,DataRegularSeason20242025!$B$3:$B$1315, "&lt;=" &amp; GQ$1, DataRegularSeason20242025!$D$3:$D$1315, $A39)+SUMIFS(DataRegularSeason20242025!$AB$3:$AB$1315,DataRegularSeason20242025!$B$3:$B$1315, "&lt;=" &amp; GQ$1, DataRegularSeason20242025!$E$3:$E$1315, $A39)</f>
        <v>77</v>
      </c>
      <c r="GR39">
        <f>SUMIFS(DataRegularSeason20242025!$AA$3:$AA$1315,DataRegularSeason20242025!$B$3:$B$1315, "&lt;=" &amp; GR$1, DataRegularSeason20242025!$D$3:$D$1315, $A39)+SUMIFS(DataRegularSeason20242025!$AB$3:$AB$1315,DataRegularSeason20242025!$B$3:$B$1315, "&lt;=" &amp; GR$1, DataRegularSeason20242025!$E$3:$E$1315, $A39)</f>
        <v>77</v>
      </c>
      <c r="GS39">
        <f>SUMIFS(DataRegularSeason20242025!$AA$3:$AA$1315,DataRegularSeason20242025!$B$3:$B$1315, "&lt;=" &amp; GS$1, DataRegularSeason20242025!$D$3:$D$1315, $A39)+SUMIFS(DataRegularSeason20242025!$AB$3:$AB$1315,DataRegularSeason20242025!$B$3:$B$1315, "&lt;=" &amp; GS$1, DataRegularSeason20242025!$E$3:$E$1315, $A39)</f>
        <v>77</v>
      </c>
      <c r="GT39">
        <f>SUMIFS(DataRegularSeason20242025!$AA$3:$AA$1315,DataRegularSeason20242025!$B$3:$B$1315, "&lt;=" &amp; GT$1, DataRegularSeason20242025!$D$3:$D$1315, $A39)+SUMIFS(DataRegularSeason20242025!$AB$3:$AB$1315,DataRegularSeason20242025!$B$3:$B$1315, "&lt;=" &amp; GT$1, DataRegularSeason20242025!$E$3:$E$1315, $A39)</f>
        <v>77</v>
      </c>
      <c r="GU39">
        <f>SUMIFS(DataRegularSeason20242025!$AA$3:$AA$1315,DataRegularSeason20242025!$B$3:$B$1315, "&lt;=" &amp; GU$1, DataRegularSeason20242025!$D$3:$D$1315, $A39)+SUMIFS(DataRegularSeason20242025!$AB$3:$AB$1315,DataRegularSeason20242025!$B$3:$B$1315, "&lt;=" &amp; GU$1, DataRegularSeason20242025!$E$3:$E$1315, $A39)</f>
        <v>77</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74</v>
      </c>
      <c r="FA41">
        <f>SUMIFS(DataRegularSeason20242025!$AA$3:$AA$1315,DataRegularSeason20242025!$B$3:$B$1315, "&lt;=" &amp; FA$1, DataRegularSeason20242025!$D$3:$D$1315, $A41)+SUMIFS(DataRegularSeason20242025!$AB$3:$AB$1315,DataRegularSeason20242025!$B$3:$B$1315, "&lt;=" &amp; FA$1, DataRegularSeason20242025!$E$3:$E$1315, $A41)</f>
        <v>74</v>
      </c>
      <c r="FB41">
        <f>SUMIFS(DataRegularSeason20242025!$AA$3:$AA$1315,DataRegularSeason20242025!$B$3:$B$1315, "&lt;=" &amp; FB$1, DataRegularSeason20242025!$D$3:$D$1315, $A41)+SUMIFS(DataRegularSeason20242025!$AB$3:$AB$1315,DataRegularSeason20242025!$B$3:$B$1315, "&lt;=" &amp; FB$1, DataRegularSeason20242025!$E$3:$E$1315, $A41)</f>
        <v>74</v>
      </c>
      <c r="FC41">
        <f>SUMIFS(DataRegularSeason20242025!$AA$3:$AA$1315,DataRegularSeason20242025!$B$3:$B$1315, "&lt;=" &amp; FC$1, DataRegularSeason20242025!$D$3:$D$1315, $A41)+SUMIFS(DataRegularSeason20242025!$AB$3:$AB$1315,DataRegularSeason20242025!$B$3:$B$1315, "&lt;=" &amp; FC$1, DataRegularSeason20242025!$E$3:$E$1315, $A41)</f>
        <v>74</v>
      </c>
      <c r="FD41">
        <f>SUMIFS(DataRegularSeason20242025!$AA$3:$AA$1315,DataRegularSeason20242025!$B$3:$B$1315, "&lt;=" &amp; FD$1, DataRegularSeason20242025!$D$3:$D$1315, $A41)+SUMIFS(DataRegularSeason20242025!$AB$3:$AB$1315,DataRegularSeason20242025!$B$3:$B$1315, "&lt;=" &amp; FD$1, DataRegularSeason20242025!$E$3:$E$1315, $A41)</f>
        <v>74</v>
      </c>
      <c r="FE41">
        <f>SUMIFS(DataRegularSeason20242025!$AA$3:$AA$1315,DataRegularSeason20242025!$B$3:$B$1315, "&lt;=" &amp; FE$1, DataRegularSeason20242025!$D$3:$D$1315, $A41)+SUMIFS(DataRegularSeason20242025!$AB$3:$AB$1315,DataRegularSeason20242025!$B$3:$B$1315, "&lt;=" &amp; FE$1, DataRegularSeason20242025!$E$3:$E$1315, $A41)</f>
        <v>74</v>
      </c>
      <c r="FF41">
        <f>SUMIFS(DataRegularSeason20242025!$AA$3:$AA$1315,DataRegularSeason20242025!$B$3:$B$1315, "&lt;=" &amp; FF$1, DataRegularSeason20242025!$D$3:$D$1315, $A41)+SUMIFS(DataRegularSeason20242025!$AB$3:$AB$1315,DataRegularSeason20242025!$B$3:$B$1315, "&lt;=" &amp; FF$1, DataRegularSeason20242025!$E$3:$E$1315, $A41)</f>
        <v>74</v>
      </c>
      <c r="FG41">
        <f>SUMIFS(DataRegularSeason20242025!$AA$3:$AA$1315,DataRegularSeason20242025!$B$3:$B$1315, "&lt;=" &amp; FG$1, DataRegularSeason20242025!$D$3:$D$1315, $A41)+SUMIFS(DataRegularSeason20242025!$AB$3:$AB$1315,DataRegularSeason20242025!$B$3:$B$1315, "&lt;=" &amp; FG$1, DataRegularSeason20242025!$E$3:$E$1315, $A41)</f>
        <v>74</v>
      </c>
      <c r="FH41">
        <f>SUMIFS(DataRegularSeason20242025!$AA$3:$AA$1315,DataRegularSeason20242025!$B$3:$B$1315, "&lt;=" &amp; FH$1, DataRegularSeason20242025!$D$3:$D$1315, $A41)+SUMIFS(DataRegularSeason20242025!$AB$3:$AB$1315,DataRegularSeason20242025!$B$3:$B$1315, "&lt;=" &amp; FH$1, DataRegularSeason20242025!$E$3:$E$1315, $A41)</f>
        <v>74</v>
      </c>
      <c r="FI41">
        <f>SUMIFS(DataRegularSeason20242025!$AA$3:$AA$1315,DataRegularSeason20242025!$B$3:$B$1315, "&lt;=" &amp; FI$1, DataRegularSeason20242025!$D$3:$D$1315, $A41)+SUMIFS(DataRegularSeason20242025!$AB$3:$AB$1315,DataRegularSeason20242025!$B$3:$B$1315, "&lt;=" &amp; FI$1, DataRegularSeason20242025!$E$3:$E$1315, $A41)</f>
        <v>74</v>
      </c>
      <c r="FJ41">
        <f>SUMIFS(DataRegularSeason20242025!$AA$3:$AA$1315,DataRegularSeason20242025!$B$3:$B$1315, "&lt;=" &amp; FJ$1, DataRegularSeason20242025!$D$3:$D$1315, $A41)+SUMIFS(DataRegularSeason20242025!$AB$3:$AB$1315,DataRegularSeason20242025!$B$3:$B$1315, "&lt;=" &amp; FJ$1, DataRegularSeason20242025!$E$3:$E$1315, $A41)</f>
        <v>74</v>
      </c>
      <c r="FK41">
        <f>SUMIFS(DataRegularSeason20242025!$AA$3:$AA$1315,DataRegularSeason20242025!$B$3:$B$1315, "&lt;=" &amp; FK$1, DataRegularSeason20242025!$D$3:$D$1315, $A41)+SUMIFS(DataRegularSeason20242025!$AB$3:$AB$1315,DataRegularSeason20242025!$B$3:$B$1315, "&lt;=" &amp; FK$1, DataRegularSeason20242025!$E$3:$E$1315, $A41)</f>
        <v>74</v>
      </c>
      <c r="FL41">
        <f>SUMIFS(DataRegularSeason20242025!$AA$3:$AA$1315,DataRegularSeason20242025!$B$3:$B$1315, "&lt;=" &amp; FL$1, DataRegularSeason20242025!$D$3:$D$1315, $A41)+SUMIFS(DataRegularSeason20242025!$AB$3:$AB$1315,DataRegularSeason20242025!$B$3:$B$1315, "&lt;=" &amp; FL$1, DataRegularSeason20242025!$E$3:$E$1315, $A41)</f>
        <v>74</v>
      </c>
      <c r="FM41">
        <f>SUMIFS(DataRegularSeason20242025!$AA$3:$AA$1315,DataRegularSeason20242025!$B$3:$B$1315, "&lt;=" &amp; FM$1, DataRegularSeason20242025!$D$3:$D$1315, $A41)+SUMIFS(DataRegularSeason20242025!$AB$3:$AB$1315,DataRegularSeason20242025!$B$3:$B$1315, "&lt;=" &amp; FM$1, DataRegularSeason20242025!$E$3:$E$1315, $A41)</f>
        <v>74</v>
      </c>
      <c r="FN41">
        <f>SUMIFS(DataRegularSeason20242025!$AA$3:$AA$1315,DataRegularSeason20242025!$B$3:$B$1315, "&lt;=" &amp; FN$1, DataRegularSeason20242025!$D$3:$D$1315, $A41)+SUMIFS(DataRegularSeason20242025!$AB$3:$AB$1315,DataRegularSeason20242025!$B$3:$B$1315, "&lt;=" &amp; FN$1, DataRegularSeason20242025!$E$3:$E$1315, $A41)</f>
        <v>74</v>
      </c>
      <c r="FO41">
        <f>SUMIFS(DataRegularSeason20242025!$AA$3:$AA$1315,DataRegularSeason20242025!$B$3:$B$1315, "&lt;=" &amp; FO$1, DataRegularSeason20242025!$D$3:$D$1315, $A41)+SUMIFS(DataRegularSeason20242025!$AB$3:$AB$1315,DataRegularSeason20242025!$B$3:$B$1315, "&lt;=" &amp; FO$1, DataRegularSeason20242025!$E$3:$E$1315, $A41)</f>
        <v>74</v>
      </c>
      <c r="FP41">
        <f>SUMIFS(DataRegularSeason20242025!$AA$3:$AA$1315,DataRegularSeason20242025!$B$3:$B$1315, "&lt;=" &amp; FP$1, DataRegularSeason20242025!$D$3:$D$1315, $A41)+SUMIFS(DataRegularSeason20242025!$AB$3:$AB$1315,DataRegularSeason20242025!$B$3:$B$1315, "&lt;=" &amp; FP$1, DataRegularSeason20242025!$E$3:$E$1315, $A41)</f>
        <v>74</v>
      </c>
      <c r="FQ41">
        <f>SUMIFS(DataRegularSeason20242025!$AA$3:$AA$1315,DataRegularSeason20242025!$B$3:$B$1315, "&lt;=" &amp; FQ$1, DataRegularSeason20242025!$D$3:$D$1315, $A41)+SUMIFS(DataRegularSeason20242025!$AB$3:$AB$1315,DataRegularSeason20242025!$B$3:$B$1315, "&lt;=" &amp; FQ$1, DataRegularSeason20242025!$E$3:$E$1315, $A41)</f>
        <v>74</v>
      </c>
      <c r="FR41">
        <f>SUMIFS(DataRegularSeason20242025!$AA$3:$AA$1315,DataRegularSeason20242025!$B$3:$B$1315, "&lt;=" &amp; FR$1, DataRegularSeason20242025!$D$3:$D$1315, $A41)+SUMIFS(DataRegularSeason20242025!$AB$3:$AB$1315,DataRegularSeason20242025!$B$3:$B$1315, "&lt;=" &amp; FR$1, DataRegularSeason20242025!$E$3:$E$1315, $A41)</f>
        <v>74</v>
      </c>
      <c r="FS41">
        <f>SUMIFS(DataRegularSeason20242025!$AA$3:$AA$1315,DataRegularSeason20242025!$B$3:$B$1315, "&lt;=" &amp; FS$1, DataRegularSeason20242025!$D$3:$D$1315, $A41)+SUMIFS(DataRegularSeason20242025!$AB$3:$AB$1315,DataRegularSeason20242025!$B$3:$B$1315, "&lt;=" &amp; FS$1, DataRegularSeason20242025!$E$3:$E$1315, $A41)</f>
        <v>74</v>
      </c>
      <c r="FT41">
        <f>SUMIFS(DataRegularSeason20242025!$AA$3:$AA$1315,DataRegularSeason20242025!$B$3:$B$1315, "&lt;=" &amp; FT$1, DataRegularSeason20242025!$D$3:$D$1315, $A41)+SUMIFS(DataRegularSeason20242025!$AB$3:$AB$1315,DataRegularSeason20242025!$B$3:$B$1315, "&lt;=" &amp; FT$1, DataRegularSeason20242025!$E$3:$E$1315, $A41)</f>
        <v>74</v>
      </c>
      <c r="FU41">
        <f>SUMIFS(DataRegularSeason20242025!$AA$3:$AA$1315,DataRegularSeason20242025!$B$3:$B$1315, "&lt;=" &amp; FU$1, DataRegularSeason20242025!$D$3:$D$1315, $A41)+SUMIFS(DataRegularSeason20242025!$AB$3:$AB$1315,DataRegularSeason20242025!$B$3:$B$1315, "&lt;=" &amp; FU$1, DataRegularSeason20242025!$E$3:$E$1315, $A41)</f>
        <v>74</v>
      </c>
      <c r="FV41">
        <f>SUMIFS(DataRegularSeason20242025!$AA$3:$AA$1315,DataRegularSeason20242025!$B$3:$B$1315, "&lt;=" &amp; FV$1, DataRegularSeason20242025!$D$3:$D$1315, $A41)+SUMIFS(DataRegularSeason20242025!$AB$3:$AB$1315,DataRegularSeason20242025!$B$3:$B$1315, "&lt;=" &amp; FV$1, DataRegularSeason20242025!$E$3:$E$1315, $A41)</f>
        <v>74</v>
      </c>
      <c r="FW41">
        <f>SUMIFS(DataRegularSeason20242025!$AA$3:$AA$1315,DataRegularSeason20242025!$B$3:$B$1315, "&lt;=" &amp; FW$1, DataRegularSeason20242025!$D$3:$D$1315, $A41)+SUMIFS(DataRegularSeason20242025!$AB$3:$AB$1315,DataRegularSeason20242025!$B$3:$B$1315, "&lt;=" &amp; FW$1, DataRegularSeason20242025!$E$3:$E$1315, $A41)</f>
        <v>74</v>
      </c>
      <c r="FX41">
        <f>SUMIFS(DataRegularSeason20242025!$AA$3:$AA$1315,DataRegularSeason20242025!$B$3:$B$1315, "&lt;=" &amp; FX$1, DataRegularSeason20242025!$D$3:$D$1315, $A41)+SUMIFS(DataRegularSeason20242025!$AB$3:$AB$1315,DataRegularSeason20242025!$B$3:$B$1315, "&lt;=" &amp; FX$1, DataRegularSeason20242025!$E$3:$E$1315, $A41)</f>
        <v>74</v>
      </c>
      <c r="FY41">
        <f>SUMIFS(DataRegularSeason20242025!$AA$3:$AA$1315,DataRegularSeason20242025!$B$3:$B$1315, "&lt;=" &amp; FY$1, DataRegularSeason20242025!$D$3:$D$1315, $A41)+SUMIFS(DataRegularSeason20242025!$AB$3:$AB$1315,DataRegularSeason20242025!$B$3:$B$1315, "&lt;=" &amp; FY$1, DataRegularSeason20242025!$E$3:$E$1315, $A41)</f>
        <v>74</v>
      </c>
      <c r="FZ41">
        <f>SUMIFS(DataRegularSeason20242025!$AA$3:$AA$1315,DataRegularSeason20242025!$B$3:$B$1315, "&lt;=" &amp; FZ$1, DataRegularSeason20242025!$D$3:$D$1315, $A41)+SUMIFS(DataRegularSeason20242025!$AB$3:$AB$1315,DataRegularSeason20242025!$B$3:$B$1315, "&lt;=" &amp; FZ$1, DataRegularSeason20242025!$E$3:$E$1315, $A41)</f>
        <v>74</v>
      </c>
      <c r="GA41">
        <f>SUMIFS(DataRegularSeason20242025!$AA$3:$AA$1315,DataRegularSeason20242025!$B$3:$B$1315, "&lt;=" &amp; GA$1, DataRegularSeason20242025!$D$3:$D$1315, $A41)+SUMIFS(DataRegularSeason20242025!$AB$3:$AB$1315,DataRegularSeason20242025!$B$3:$B$1315, "&lt;=" &amp; GA$1, DataRegularSeason20242025!$E$3:$E$1315, $A41)</f>
        <v>74</v>
      </c>
      <c r="GB41">
        <f>SUMIFS(DataRegularSeason20242025!$AA$3:$AA$1315,DataRegularSeason20242025!$B$3:$B$1315, "&lt;=" &amp; GB$1, DataRegularSeason20242025!$D$3:$D$1315, $A41)+SUMIFS(DataRegularSeason20242025!$AB$3:$AB$1315,DataRegularSeason20242025!$B$3:$B$1315, "&lt;=" &amp; GB$1, DataRegularSeason20242025!$E$3:$E$1315, $A41)</f>
        <v>74</v>
      </c>
      <c r="GC41">
        <f>SUMIFS(DataRegularSeason20242025!$AA$3:$AA$1315,DataRegularSeason20242025!$B$3:$B$1315, "&lt;=" &amp; GC$1, DataRegularSeason20242025!$D$3:$D$1315, $A41)+SUMIFS(DataRegularSeason20242025!$AB$3:$AB$1315,DataRegularSeason20242025!$B$3:$B$1315, "&lt;=" &amp; GC$1, DataRegularSeason20242025!$E$3:$E$1315, $A41)</f>
        <v>74</v>
      </c>
      <c r="GD41">
        <f>SUMIFS(DataRegularSeason20242025!$AA$3:$AA$1315,DataRegularSeason20242025!$B$3:$B$1315, "&lt;=" &amp; GD$1, DataRegularSeason20242025!$D$3:$D$1315, $A41)+SUMIFS(DataRegularSeason20242025!$AB$3:$AB$1315,DataRegularSeason20242025!$B$3:$B$1315, "&lt;=" &amp; GD$1, DataRegularSeason20242025!$E$3:$E$1315, $A41)</f>
        <v>74</v>
      </c>
      <c r="GE41">
        <f>SUMIFS(DataRegularSeason20242025!$AA$3:$AA$1315,DataRegularSeason20242025!$B$3:$B$1315, "&lt;=" &amp; GE$1, DataRegularSeason20242025!$D$3:$D$1315, $A41)+SUMIFS(DataRegularSeason20242025!$AB$3:$AB$1315,DataRegularSeason20242025!$B$3:$B$1315, "&lt;=" &amp; GE$1, DataRegularSeason20242025!$E$3:$E$1315, $A41)</f>
        <v>74</v>
      </c>
      <c r="GF41">
        <f>SUMIFS(DataRegularSeason20242025!$AA$3:$AA$1315,DataRegularSeason20242025!$B$3:$B$1315, "&lt;=" &amp; GF$1, DataRegularSeason20242025!$D$3:$D$1315, $A41)+SUMIFS(DataRegularSeason20242025!$AB$3:$AB$1315,DataRegularSeason20242025!$B$3:$B$1315, "&lt;=" &amp; GF$1, DataRegularSeason20242025!$E$3:$E$1315, $A41)</f>
        <v>74</v>
      </c>
      <c r="GG41">
        <f>SUMIFS(DataRegularSeason20242025!$AA$3:$AA$1315,DataRegularSeason20242025!$B$3:$B$1315, "&lt;=" &amp; GG$1, DataRegularSeason20242025!$D$3:$D$1315, $A41)+SUMIFS(DataRegularSeason20242025!$AB$3:$AB$1315,DataRegularSeason20242025!$B$3:$B$1315, "&lt;=" &amp; GG$1, DataRegularSeason20242025!$E$3:$E$1315, $A41)</f>
        <v>74</v>
      </c>
      <c r="GH41">
        <f>SUMIFS(DataRegularSeason20242025!$AA$3:$AA$1315,DataRegularSeason20242025!$B$3:$B$1315, "&lt;=" &amp; GH$1, DataRegularSeason20242025!$D$3:$D$1315, $A41)+SUMIFS(DataRegularSeason20242025!$AB$3:$AB$1315,DataRegularSeason20242025!$B$3:$B$1315, "&lt;=" &amp; GH$1, DataRegularSeason20242025!$E$3:$E$1315, $A41)</f>
        <v>74</v>
      </c>
      <c r="GI41">
        <f>SUMIFS(DataRegularSeason20242025!$AA$3:$AA$1315,DataRegularSeason20242025!$B$3:$B$1315, "&lt;=" &amp; GI$1, DataRegularSeason20242025!$D$3:$D$1315, $A41)+SUMIFS(DataRegularSeason20242025!$AB$3:$AB$1315,DataRegularSeason20242025!$B$3:$B$1315, "&lt;=" &amp; GI$1, DataRegularSeason20242025!$E$3:$E$1315, $A41)</f>
        <v>74</v>
      </c>
      <c r="GJ41">
        <f>SUMIFS(DataRegularSeason20242025!$AA$3:$AA$1315,DataRegularSeason20242025!$B$3:$B$1315, "&lt;=" &amp; GJ$1, DataRegularSeason20242025!$D$3:$D$1315, $A41)+SUMIFS(DataRegularSeason20242025!$AB$3:$AB$1315,DataRegularSeason20242025!$B$3:$B$1315, "&lt;=" &amp; GJ$1, DataRegularSeason20242025!$E$3:$E$1315, $A41)</f>
        <v>74</v>
      </c>
      <c r="GK41">
        <f>SUMIFS(DataRegularSeason20242025!$AA$3:$AA$1315,DataRegularSeason20242025!$B$3:$B$1315, "&lt;=" &amp; GK$1, DataRegularSeason20242025!$D$3:$D$1315, $A41)+SUMIFS(DataRegularSeason20242025!$AB$3:$AB$1315,DataRegularSeason20242025!$B$3:$B$1315, "&lt;=" &amp; GK$1, DataRegularSeason20242025!$E$3:$E$1315, $A41)</f>
        <v>74</v>
      </c>
      <c r="GL41">
        <f>SUMIFS(DataRegularSeason20242025!$AA$3:$AA$1315,DataRegularSeason20242025!$B$3:$B$1315, "&lt;=" &amp; GL$1, DataRegularSeason20242025!$D$3:$D$1315, $A41)+SUMIFS(DataRegularSeason20242025!$AB$3:$AB$1315,DataRegularSeason20242025!$B$3:$B$1315, "&lt;=" &amp; GL$1, DataRegularSeason20242025!$E$3:$E$1315, $A41)</f>
        <v>74</v>
      </c>
      <c r="GM41">
        <f>SUMIFS(DataRegularSeason20242025!$AA$3:$AA$1315,DataRegularSeason20242025!$B$3:$B$1315, "&lt;=" &amp; GM$1, DataRegularSeason20242025!$D$3:$D$1315, $A41)+SUMIFS(DataRegularSeason20242025!$AB$3:$AB$1315,DataRegularSeason20242025!$B$3:$B$1315, "&lt;=" &amp; GM$1, DataRegularSeason20242025!$E$3:$E$1315, $A41)</f>
        <v>74</v>
      </c>
      <c r="GN41">
        <f>SUMIFS(DataRegularSeason20242025!$AA$3:$AA$1315,DataRegularSeason20242025!$B$3:$B$1315, "&lt;=" &amp; GN$1, DataRegularSeason20242025!$D$3:$D$1315, $A41)+SUMIFS(DataRegularSeason20242025!$AB$3:$AB$1315,DataRegularSeason20242025!$B$3:$B$1315, "&lt;=" &amp; GN$1, DataRegularSeason20242025!$E$3:$E$1315, $A41)</f>
        <v>74</v>
      </c>
      <c r="GO41">
        <f>SUMIFS(DataRegularSeason20242025!$AA$3:$AA$1315,DataRegularSeason20242025!$B$3:$B$1315, "&lt;=" &amp; GO$1, DataRegularSeason20242025!$D$3:$D$1315, $A41)+SUMIFS(DataRegularSeason20242025!$AB$3:$AB$1315,DataRegularSeason20242025!$B$3:$B$1315, "&lt;=" &amp; GO$1, DataRegularSeason20242025!$E$3:$E$1315, $A41)</f>
        <v>74</v>
      </c>
      <c r="GP41">
        <f>SUMIFS(DataRegularSeason20242025!$AA$3:$AA$1315,DataRegularSeason20242025!$B$3:$B$1315, "&lt;=" &amp; GP$1, DataRegularSeason20242025!$D$3:$D$1315, $A41)+SUMIFS(DataRegularSeason20242025!$AB$3:$AB$1315,DataRegularSeason20242025!$B$3:$B$1315, "&lt;=" &amp; GP$1, DataRegularSeason20242025!$E$3:$E$1315, $A41)</f>
        <v>74</v>
      </c>
      <c r="GQ41">
        <f>SUMIFS(DataRegularSeason20242025!$AA$3:$AA$1315,DataRegularSeason20242025!$B$3:$B$1315, "&lt;=" &amp; GQ$1, DataRegularSeason20242025!$D$3:$D$1315, $A41)+SUMIFS(DataRegularSeason20242025!$AB$3:$AB$1315,DataRegularSeason20242025!$B$3:$B$1315, "&lt;=" &amp; GQ$1, DataRegularSeason20242025!$E$3:$E$1315, $A41)</f>
        <v>74</v>
      </c>
      <c r="GR41">
        <f>SUMIFS(DataRegularSeason20242025!$AA$3:$AA$1315,DataRegularSeason20242025!$B$3:$B$1315, "&lt;=" &amp; GR$1, DataRegularSeason20242025!$D$3:$D$1315, $A41)+SUMIFS(DataRegularSeason20242025!$AB$3:$AB$1315,DataRegularSeason20242025!$B$3:$B$1315, "&lt;=" &amp; GR$1, DataRegularSeason20242025!$E$3:$E$1315, $A41)</f>
        <v>74</v>
      </c>
      <c r="GS41">
        <f>SUMIFS(DataRegularSeason20242025!$AA$3:$AA$1315,DataRegularSeason20242025!$B$3:$B$1315, "&lt;=" &amp; GS$1, DataRegularSeason20242025!$D$3:$D$1315, $A41)+SUMIFS(DataRegularSeason20242025!$AB$3:$AB$1315,DataRegularSeason20242025!$B$3:$B$1315, "&lt;=" &amp; GS$1, DataRegularSeason20242025!$E$3:$E$1315, $A41)</f>
        <v>74</v>
      </c>
      <c r="GT41">
        <f>SUMIFS(DataRegularSeason20242025!$AA$3:$AA$1315,DataRegularSeason20242025!$B$3:$B$1315, "&lt;=" &amp; GT$1, DataRegularSeason20242025!$D$3:$D$1315, $A41)+SUMIFS(DataRegularSeason20242025!$AB$3:$AB$1315,DataRegularSeason20242025!$B$3:$B$1315, "&lt;=" &amp; GT$1, DataRegularSeason20242025!$E$3:$E$1315, $A41)</f>
        <v>74</v>
      </c>
      <c r="GU41">
        <f>SUMIFS(DataRegularSeason20242025!$AA$3:$AA$1315,DataRegularSeason20242025!$B$3:$B$1315, "&lt;=" &amp; GU$1, DataRegularSeason20242025!$D$3:$D$1315, $A41)+SUMIFS(DataRegularSeason20242025!$AB$3:$AB$1315,DataRegularSeason20242025!$B$3:$B$1315, "&lt;=" &amp; GU$1, DataRegularSeason20242025!$E$3:$E$1315, $A41)</f>
        <v>74</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64</v>
      </c>
      <c r="EZ42">
        <f>SUMIFS(DataRegularSeason20242025!$AA$3:$AA$1315,DataRegularSeason20242025!$B$3:$B$1315, "&lt;=" &amp; EZ$1, DataRegularSeason20242025!$D$3:$D$1315, $A42)+SUMIFS(DataRegularSeason20242025!$AB$3:$AB$1315,DataRegularSeason20242025!$B$3:$B$1315, "&lt;=" &amp; EZ$1, DataRegularSeason20242025!$E$3:$E$1315, $A42)</f>
        <v>64</v>
      </c>
      <c r="FA42">
        <f>SUMIFS(DataRegularSeason20242025!$AA$3:$AA$1315,DataRegularSeason20242025!$B$3:$B$1315, "&lt;=" &amp; FA$1, DataRegularSeason20242025!$D$3:$D$1315, $A42)+SUMIFS(DataRegularSeason20242025!$AB$3:$AB$1315,DataRegularSeason20242025!$B$3:$B$1315, "&lt;=" &amp; FA$1, DataRegularSeason20242025!$E$3:$E$1315, $A42)</f>
        <v>64</v>
      </c>
      <c r="FB42">
        <f>SUMIFS(DataRegularSeason20242025!$AA$3:$AA$1315,DataRegularSeason20242025!$B$3:$B$1315, "&lt;=" &amp; FB$1, DataRegularSeason20242025!$D$3:$D$1315, $A42)+SUMIFS(DataRegularSeason20242025!$AB$3:$AB$1315,DataRegularSeason20242025!$B$3:$B$1315, "&lt;=" &amp; FB$1, DataRegularSeason20242025!$E$3:$E$1315, $A42)</f>
        <v>64</v>
      </c>
      <c r="FC42">
        <f>SUMIFS(DataRegularSeason20242025!$AA$3:$AA$1315,DataRegularSeason20242025!$B$3:$B$1315, "&lt;=" &amp; FC$1, DataRegularSeason20242025!$D$3:$D$1315, $A42)+SUMIFS(DataRegularSeason20242025!$AB$3:$AB$1315,DataRegularSeason20242025!$B$3:$B$1315, "&lt;=" &amp; FC$1, DataRegularSeason20242025!$E$3:$E$1315, $A42)</f>
        <v>64</v>
      </c>
      <c r="FD42">
        <f>SUMIFS(DataRegularSeason20242025!$AA$3:$AA$1315,DataRegularSeason20242025!$B$3:$B$1315, "&lt;=" &amp; FD$1, DataRegularSeason20242025!$D$3:$D$1315, $A42)+SUMIFS(DataRegularSeason20242025!$AB$3:$AB$1315,DataRegularSeason20242025!$B$3:$B$1315, "&lt;=" &amp; FD$1, DataRegularSeason20242025!$E$3:$E$1315, $A42)</f>
        <v>64</v>
      </c>
      <c r="FE42">
        <f>SUMIFS(DataRegularSeason20242025!$AA$3:$AA$1315,DataRegularSeason20242025!$B$3:$B$1315, "&lt;=" &amp; FE$1, DataRegularSeason20242025!$D$3:$D$1315, $A42)+SUMIFS(DataRegularSeason20242025!$AB$3:$AB$1315,DataRegularSeason20242025!$B$3:$B$1315, "&lt;=" &amp; FE$1, DataRegularSeason20242025!$E$3:$E$1315, $A42)</f>
        <v>64</v>
      </c>
      <c r="FF42">
        <f>SUMIFS(DataRegularSeason20242025!$AA$3:$AA$1315,DataRegularSeason20242025!$B$3:$B$1315, "&lt;=" &amp; FF$1, DataRegularSeason20242025!$D$3:$D$1315, $A42)+SUMIFS(DataRegularSeason20242025!$AB$3:$AB$1315,DataRegularSeason20242025!$B$3:$B$1315, "&lt;=" &amp; FF$1, DataRegularSeason20242025!$E$3:$E$1315, $A42)</f>
        <v>64</v>
      </c>
      <c r="FG42">
        <f>SUMIFS(DataRegularSeason20242025!$AA$3:$AA$1315,DataRegularSeason20242025!$B$3:$B$1315, "&lt;=" &amp; FG$1, DataRegularSeason20242025!$D$3:$D$1315, $A42)+SUMIFS(DataRegularSeason20242025!$AB$3:$AB$1315,DataRegularSeason20242025!$B$3:$B$1315, "&lt;=" &amp; FG$1, DataRegularSeason20242025!$E$3:$E$1315, $A42)</f>
        <v>64</v>
      </c>
      <c r="FH42">
        <f>SUMIFS(DataRegularSeason20242025!$AA$3:$AA$1315,DataRegularSeason20242025!$B$3:$B$1315, "&lt;=" &amp; FH$1, DataRegularSeason20242025!$D$3:$D$1315, $A42)+SUMIFS(DataRegularSeason20242025!$AB$3:$AB$1315,DataRegularSeason20242025!$B$3:$B$1315, "&lt;=" &amp; FH$1, DataRegularSeason20242025!$E$3:$E$1315, $A42)</f>
        <v>64</v>
      </c>
      <c r="FI42">
        <f>SUMIFS(DataRegularSeason20242025!$AA$3:$AA$1315,DataRegularSeason20242025!$B$3:$B$1315, "&lt;=" &amp; FI$1, DataRegularSeason20242025!$D$3:$D$1315, $A42)+SUMIFS(DataRegularSeason20242025!$AB$3:$AB$1315,DataRegularSeason20242025!$B$3:$B$1315, "&lt;=" &amp; FI$1, DataRegularSeason20242025!$E$3:$E$1315, $A42)</f>
        <v>64</v>
      </c>
      <c r="FJ42">
        <f>SUMIFS(DataRegularSeason20242025!$AA$3:$AA$1315,DataRegularSeason20242025!$B$3:$B$1315, "&lt;=" &amp; FJ$1, DataRegularSeason20242025!$D$3:$D$1315, $A42)+SUMIFS(DataRegularSeason20242025!$AB$3:$AB$1315,DataRegularSeason20242025!$B$3:$B$1315, "&lt;=" &amp; FJ$1, DataRegularSeason20242025!$E$3:$E$1315, $A42)</f>
        <v>64</v>
      </c>
      <c r="FK42">
        <f>SUMIFS(DataRegularSeason20242025!$AA$3:$AA$1315,DataRegularSeason20242025!$B$3:$B$1315, "&lt;=" &amp; FK$1, DataRegularSeason20242025!$D$3:$D$1315, $A42)+SUMIFS(DataRegularSeason20242025!$AB$3:$AB$1315,DataRegularSeason20242025!$B$3:$B$1315, "&lt;=" &amp; FK$1, DataRegularSeason20242025!$E$3:$E$1315, $A42)</f>
        <v>64</v>
      </c>
      <c r="FL42">
        <f>SUMIFS(DataRegularSeason20242025!$AA$3:$AA$1315,DataRegularSeason20242025!$B$3:$B$1315, "&lt;=" &amp; FL$1, DataRegularSeason20242025!$D$3:$D$1315, $A42)+SUMIFS(DataRegularSeason20242025!$AB$3:$AB$1315,DataRegularSeason20242025!$B$3:$B$1315, "&lt;=" &amp; FL$1, DataRegularSeason20242025!$E$3:$E$1315, $A42)</f>
        <v>64</v>
      </c>
      <c r="FM42">
        <f>SUMIFS(DataRegularSeason20242025!$AA$3:$AA$1315,DataRegularSeason20242025!$B$3:$B$1315, "&lt;=" &amp; FM$1, DataRegularSeason20242025!$D$3:$D$1315, $A42)+SUMIFS(DataRegularSeason20242025!$AB$3:$AB$1315,DataRegularSeason20242025!$B$3:$B$1315, "&lt;=" &amp; FM$1, DataRegularSeason20242025!$E$3:$E$1315, $A42)</f>
        <v>64</v>
      </c>
      <c r="FN42">
        <f>SUMIFS(DataRegularSeason20242025!$AA$3:$AA$1315,DataRegularSeason20242025!$B$3:$B$1315, "&lt;=" &amp; FN$1, DataRegularSeason20242025!$D$3:$D$1315, $A42)+SUMIFS(DataRegularSeason20242025!$AB$3:$AB$1315,DataRegularSeason20242025!$B$3:$B$1315, "&lt;=" &amp; FN$1, DataRegularSeason20242025!$E$3:$E$1315, $A42)</f>
        <v>64</v>
      </c>
      <c r="FO42">
        <f>SUMIFS(DataRegularSeason20242025!$AA$3:$AA$1315,DataRegularSeason20242025!$B$3:$B$1315, "&lt;=" &amp; FO$1, DataRegularSeason20242025!$D$3:$D$1315, $A42)+SUMIFS(DataRegularSeason20242025!$AB$3:$AB$1315,DataRegularSeason20242025!$B$3:$B$1315, "&lt;=" &amp; FO$1, DataRegularSeason20242025!$E$3:$E$1315, $A42)</f>
        <v>64</v>
      </c>
      <c r="FP42">
        <f>SUMIFS(DataRegularSeason20242025!$AA$3:$AA$1315,DataRegularSeason20242025!$B$3:$B$1315, "&lt;=" &amp; FP$1, DataRegularSeason20242025!$D$3:$D$1315, $A42)+SUMIFS(DataRegularSeason20242025!$AB$3:$AB$1315,DataRegularSeason20242025!$B$3:$B$1315, "&lt;=" &amp; FP$1, DataRegularSeason20242025!$E$3:$E$1315, $A42)</f>
        <v>64</v>
      </c>
      <c r="FQ42">
        <f>SUMIFS(DataRegularSeason20242025!$AA$3:$AA$1315,DataRegularSeason20242025!$B$3:$B$1315, "&lt;=" &amp; FQ$1, DataRegularSeason20242025!$D$3:$D$1315, $A42)+SUMIFS(DataRegularSeason20242025!$AB$3:$AB$1315,DataRegularSeason20242025!$B$3:$B$1315, "&lt;=" &amp; FQ$1, DataRegularSeason20242025!$E$3:$E$1315, $A42)</f>
        <v>64</v>
      </c>
      <c r="FR42">
        <f>SUMIFS(DataRegularSeason20242025!$AA$3:$AA$1315,DataRegularSeason20242025!$B$3:$B$1315, "&lt;=" &amp; FR$1, DataRegularSeason20242025!$D$3:$D$1315, $A42)+SUMIFS(DataRegularSeason20242025!$AB$3:$AB$1315,DataRegularSeason20242025!$B$3:$B$1315, "&lt;=" &amp; FR$1, DataRegularSeason20242025!$E$3:$E$1315, $A42)</f>
        <v>64</v>
      </c>
      <c r="FS42">
        <f>SUMIFS(DataRegularSeason20242025!$AA$3:$AA$1315,DataRegularSeason20242025!$B$3:$B$1315, "&lt;=" &amp; FS$1, DataRegularSeason20242025!$D$3:$D$1315, $A42)+SUMIFS(DataRegularSeason20242025!$AB$3:$AB$1315,DataRegularSeason20242025!$B$3:$B$1315, "&lt;=" &amp; FS$1, DataRegularSeason20242025!$E$3:$E$1315, $A42)</f>
        <v>64</v>
      </c>
      <c r="FT42">
        <f>SUMIFS(DataRegularSeason20242025!$AA$3:$AA$1315,DataRegularSeason20242025!$B$3:$B$1315, "&lt;=" &amp; FT$1, DataRegularSeason20242025!$D$3:$D$1315, $A42)+SUMIFS(DataRegularSeason20242025!$AB$3:$AB$1315,DataRegularSeason20242025!$B$3:$B$1315, "&lt;=" &amp; FT$1, DataRegularSeason20242025!$E$3:$E$1315, $A42)</f>
        <v>64</v>
      </c>
      <c r="FU42">
        <f>SUMIFS(DataRegularSeason20242025!$AA$3:$AA$1315,DataRegularSeason20242025!$B$3:$B$1315, "&lt;=" &amp; FU$1, DataRegularSeason20242025!$D$3:$D$1315, $A42)+SUMIFS(DataRegularSeason20242025!$AB$3:$AB$1315,DataRegularSeason20242025!$B$3:$B$1315, "&lt;=" &amp; FU$1, DataRegularSeason20242025!$E$3:$E$1315, $A42)</f>
        <v>64</v>
      </c>
      <c r="FV42">
        <f>SUMIFS(DataRegularSeason20242025!$AA$3:$AA$1315,DataRegularSeason20242025!$B$3:$B$1315, "&lt;=" &amp; FV$1, DataRegularSeason20242025!$D$3:$D$1315, $A42)+SUMIFS(DataRegularSeason20242025!$AB$3:$AB$1315,DataRegularSeason20242025!$B$3:$B$1315, "&lt;=" &amp; FV$1, DataRegularSeason20242025!$E$3:$E$1315, $A42)</f>
        <v>64</v>
      </c>
      <c r="FW42">
        <f>SUMIFS(DataRegularSeason20242025!$AA$3:$AA$1315,DataRegularSeason20242025!$B$3:$B$1315, "&lt;=" &amp; FW$1, DataRegularSeason20242025!$D$3:$D$1315, $A42)+SUMIFS(DataRegularSeason20242025!$AB$3:$AB$1315,DataRegularSeason20242025!$B$3:$B$1315, "&lt;=" &amp; FW$1, DataRegularSeason20242025!$E$3:$E$1315, $A42)</f>
        <v>64</v>
      </c>
      <c r="FX42">
        <f>SUMIFS(DataRegularSeason20242025!$AA$3:$AA$1315,DataRegularSeason20242025!$B$3:$B$1315, "&lt;=" &amp; FX$1, DataRegularSeason20242025!$D$3:$D$1315, $A42)+SUMIFS(DataRegularSeason20242025!$AB$3:$AB$1315,DataRegularSeason20242025!$B$3:$B$1315, "&lt;=" &amp; FX$1, DataRegularSeason20242025!$E$3:$E$1315, $A42)</f>
        <v>64</v>
      </c>
      <c r="FY42">
        <f>SUMIFS(DataRegularSeason20242025!$AA$3:$AA$1315,DataRegularSeason20242025!$B$3:$B$1315, "&lt;=" &amp; FY$1, DataRegularSeason20242025!$D$3:$D$1315, $A42)+SUMIFS(DataRegularSeason20242025!$AB$3:$AB$1315,DataRegularSeason20242025!$B$3:$B$1315, "&lt;=" &amp; FY$1, DataRegularSeason20242025!$E$3:$E$1315, $A42)</f>
        <v>64</v>
      </c>
      <c r="FZ42">
        <f>SUMIFS(DataRegularSeason20242025!$AA$3:$AA$1315,DataRegularSeason20242025!$B$3:$B$1315, "&lt;=" &amp; FZ$1, DataRegularSeason20242025!$D$3:$D$1315, $A42)+SUMIFS(DataRegularSeason20242025!$AB$3:$AB$1315,DataRegularSeason20242025!$B$3:$B$1315, "&lt;=" &amp; FZ$1, DataRegularSeason20242025!$E$3:$E$1315, $A42)</f>
        <v>64</v>
      </c>
      <c r="GA42">
        <f>SUMIFS(DataRegularSeason20242025!$AA$3:$AA$1315,DataRegularSeason20242025!$B$3:$B$1315, "&lt;=" &amp; GA$1, DataRegularSeason20242025!$D$3:$D$1315, $A42)+SUMIFS(DataRegularSeason20242025!$AB$3:$AB$1315,DataRegularSeason20242025!$B$3:$B$1315, "&lt;=" &amp; GA$1, DataRegularSeason20242025!$E$3:$E$1315, $A42)</f>
        <v>64</v>
      </c>
      <c r="GB42">
        <f>SUMIFS(DataRegularSeason20242025!$AA$3:$AA$1315,DataRegularSeason20242025!$B$3:$B$1315, "&lt;=" &amp; GB$1, DataRegularSeason20242025!$D$3:$D$1315, $A42)+SUMIFS(DataRegularSeason20242025!$AB$3:$AB$1315,DataRegularSeason20242025!$B$3:$B$1315, "&lt;=" &amp; GB$1, DataRegularSeason20242025!$E$3:$E$1315, $A42)</f>
        <v>64</v>
      </c>
      <c r="GC42">
        <f>SUMIFS(DataRegularSeason20242025!$AA$3:$AA$1315,DataRegularSeason20242025!$B$3:$B$1315, "&lt;=" &amp; GC$1, DataRegularSeason20242025!$D$3:$D$1315, $A42)+SUMIFS(DataRegularSeason20242025!$AB$3:$AB$1315,DataRegularSeason20242025!$B$3:$B$1315, "&lt;=" &amp; GC$1, DataRegularSeason20242025!$E$3:$E$1315, $A42)</f>
        <v>64</v>
      </c>
      <c r="GD42">
        <f>SUMIFS(DataRegularSeason20242025!$AA$3:$AA$1315,DataRegularSeason20242025!$B$3:$B$1315, "&lt;=" &amp; GD$1, DataRegularSeason20242025!$D$3:$D$1315, $A42)+SUMIFS(DataRegularSeason20242025!$AB$3:$AB$1315,DataRegularSeason20242025!$B$3:$B$1315, "&lt;=" &amp; GD$1, DataRegularSeason20242025!$E$3:$E$1315, $A42)</f>
        <v>64</v>
      </c>
      <c r="GE42">
        <f>SUMIFS(DataRegularSeason20242025!$AA$3:$AA$1315,DataRegularSeason20242025!$B$3:$B$1315, "&lt;=" &amp; GE$1, DataRegularSeason20242025!$D$3:$D$1315, $A42)+SUMIFS(DataRegularSeason20242025!$AB$3:$AB$1315,DataRegularSeason20242025!$B$3:$B$1315, "&lt;=" &amp; GE$1, DataRegularSeason20242025!$E$3:$E$1315, $A42)</f>
        <v>64</v>
      </c>
      <c r="GF42">
        <f>SUMIFS(DataRegularSeason20242025!$AA$3:$AA$1315,DataRegularSeason20242025!$B$3:$B$1315, "&lt;=" &amp; GF$1, DataRegularSeason20242025!$D$3:$D$1315, $A42)+SUMIFS(DataRegularSeason20242025!$AB$3:$AB$1315,DataRegularSeason20242025!$B$3:$B$1315, "&lt;=" &amp; GF$1, DataRegularSeason20242025!$E$3:$E$1315, $A42)</f>
        <v>64</v>
      </c>
      <c r="GG42">
        <f>SUMIFS(DataRegularSeason20242025!$AA$3:$AA$1315,DataRegularSeason20242025!$B$3:$B$1315, "&lt;=" &amp; GG$1, DataRegularSeason20242025!$D$3:$D$1315, $A42)+SUMIFS(DataRegularSeason20242025!$AB$3:$AB$1315,DataRegularSeason20242025!$B$3:$B$1315, "&lt;=" &amp; GG$1, DataRegularSeason20242025!$E$3:$E$1315, $A42)</f>
        <v>64</v>
      </c>
      <c r="GH42">
        <f>SUMIFS(DataRegularSeason20242025!$AA$3:$AA$1315,DataRegularSeason20242025!$B$3:$B$1315, "&lt;=" &amp; GH$1, DataRegularSeason20242025!$D$3:$D$1315, $A42)+SUMIFS(DataRegularSeason20242025!$AB$3:$AB$1315,DataRegularSeason20242025!$B$3:$B$1315, "&lt;=" &amp; GH$1, DataRegularSeason20242025!$E$3:$E$1315, $A42)</f>
        <v>64</v>
      </c>
      <c r="GI42">
        <f>SUMIFS(DataRegularSeason20242025!$AA$3:$AA$1315,DataRegularSeason20242025!$B$3:$B$1315, "&lt;=" &amp; GI$1, DataRegularSeason20242025!$D$3:$D$1315, $A42)+SUMIFS(DataRegularSeason20242025!$AB$3:$AB$1315,DataRegularSeason20242025!$B$3:$B$1315, "&lt;=" &amp; GI$1, DataRegularSeason20242025!$E$3:$E$1315, $A42)</f>
        <v>64</v>
      </c>
      <c r="GJ42">
        <f>SUMIFS(DataRegularSeason20242025!$AA$3:$AA$1315,DataRegularSeason20242025!$B$3:$B$1315, "&lt;=" &amp; GJ$1, DataRegularSeason20242025!$D$3:$D$1315, $A42)+SUMIFS(DataRegularSeason20242025!$AB$3:$AB$1315,DataRegularSeason20242025!$B$3:$B$1315, "&lt;=" &amp; GJ$1, DataRegularSeason20242025!$E$3:$E$1315, $A42)</f>
        <v>64</v>
      </c>
      <c r="GK42">
        <f>SUMIFS(DataRegularSeason20242025!$AA$3:$AA$1315,DataRegularSeason20242025!$B$3:$B$1315, "&lt;=" &amp; GK$1, DataRegularSeason20242025!$D$3:$D$1315, $A42)+SUMIFS(DataRegularSeason20242025!$AB$3:$AB$1315,DataRegularSeason20242025!$B$3:$B$1315, "&lt;=" &amp; GK$1, DataRegularSeason20242025!$E$3:$E$1315, $A42)</f>
        <v>64</v>
      </c>
      <c r="GL42">
        <f>SUMIFS(DataRegularSeason20242025!$AA$3:$AA$1315,DataRegularSeason20242025!$B$3:$B$1315, "&lt;=" &amp; GL$1, DataRegularSeason20242025!$D$3:$D$1315, $A42)+SUMIFS(DataRegularSeason20242025!$AB$3:$AB$1315,DataRegularSeason20242025!$B$3:$B$1315, "&lt;=" &amp; GL$1, DataRegularSeason20242025!$E$3:$E$1315, $A42)</f>
        <v>64</v>
      </c>
      <c r="GM42">
        <f>SUMIFS(DataRegularSeason20242025!$AA$3:$AA$1315,DataRegularSeason20242025!$B$3:$B$1315, "&lt;=" &amp; GM$1, DataRegularSeason20242025!$D$3:$D$1315, $A42)+SUMIFS(DataRegularSeason20242025!$AB$3:$AB$1315,DataRegularSeason20242025!$B$3:$B$1315, "&lt;=" &amp; GM$1, DataRegularSeason20242025!$E$3:$E$1315, $A42)</f>
        <v>64</v>
      </c>
      <c r="GN42">
        <f>SUMIFS(DataRegularSeason20242025!$AA$3:$AA$1315,DataRegularSeason20242025!$B$3:$B$1315, "&lt;=" &amp; GN$1, DataRegularSeason20242025!$D$3:$D$1315, $A42)+SUMIFS(DataRegularSeason20242025!$AB$3:$AB$1315,DataRegularSeason20242025!$B$3:$B$1315, "&lt;=" &amp; GN$1, DataRegularSeason20242025!$E$3:$E$1315, $A42)</f>
        <v>64</v>
      </c>
      <c r="GO42">
        <f>SUMIFS(DataRegularSeason20242025!$AA$3:$AA$1315,DataRegularSeason20242025!$B$3:$B$1315, "&lt;=" &amp; GO$1, DataRegularSeason20242025!$D$3:$D$1315, $A42)+SUMIFS(DataRegularSeason20242025!$AB$3:$AB$1315,DataRegularSeason20242025!$B$3:$B$1315, "&lt;=" &amp; GO$1, DataRegularSeason20242025!$E$3:$E$1315, $A42)</f>
        <v>64</v>
      </c>
      <c r="GP42">
        <f>SUMIFS(DataRegularSeason20242025!$AA$3:$AA$1315,DataRegularSeason20242025!$B$3:$B$1315, "&lt;=" &amp; GP$1, DataRegularSeason20242025!$D$3:$D$1315, $A42)+SUMIFS(DataRegularSeason20242025!$AB$3:$AB$1315,DataRegularSeason20242025!$B$3:$B$1315, "&lt;=" &amp; GP$1, DataRegularSeason20242025!$E$3:$E$1315, $A42)</f>
        <v>64</v>
      </c>
      <c r="GQ42">
        <f>SUMIFS(DataRegularSeason20242025!$AA$3:$AA$1315,DataRegularSeason20242025!$B$3:$B$1315, "&lt;=" &amp; GQ$1, DataRegularSeason20242025!$D$3:$D$1315, $A42)+SUMIFS(DataRegularSeason20242025!$AB$3:$AB$1315,DataRegularSeason20242025!$B$3:$B$1315, "&lt;=" &amp; GQ$1, DataRegularSeason20242025!$E$3:$E$1315, $A42)</f>
        <v>64</v>
      </c>
      <c r="GR42">
        <f>SUMIFS(DataRegularSeason20242025!$AA$3:$AA$1315,DataRegularSeason20242025!$B$3:$B$1315, "&lt;=" &amp; GR$1, DataRegularSeason20242025!$D$3:$D$1315, $A42)+SUMIFS(DataRegularSeason20242025!$AB$3:$AB$1315,DataRegularSeason20242025!$B$3:$B$1315, "&lt;=" &amp; GR$1, DataRegularSeason20242025!$E$3:$E$1315, $A42)</f>
        <v>64</v>
      </c>
      <c r="GS42">
        <f>SUMIFS(DataRegularSeason20242025!$AA$3:$AA$1315,DataRegularSeason20242025!$B$3:$B$1315, "&lt;=" &amp; GS$1, DataRegularSeason20242025!$D$3:$D$1315, $A42)+SUMIFS(DataRegularSeason20242025!$AB$3:$AB$1315,DataRegularSeason20242025!$B$3:$B$1315, "&lt;=" &amp; GS$1, DataRegularSeason20242025!$E$3:$E$1315, $A42)</f>
        <v>64</v>
      </c>
      <c r="GT42">
        <f>SUMIFS(DataRegularSeason20242025!$AA$3:$AA$1315,DataRegularSeason20242025!$B$3:$B$1315, "&lt;=" &amp; GT$1, DataRegularSeason20242025!$D$3:$D$1315, $A42)+SUMIFS(DataRegularSeason20242025!$AB$3:$AB$1315,DataRegularSeason20242025!$B$3:$B$1315, "&lt;=" &amp; GT$1, DataRegularSeason20242025!$E$3:$E$1315, $A42)</f>
        <v>64</v>
      </c>
      <c r="GU42">
        <f>SUMIFS(DataRegularSeason20242025!$AA$3:$AA$1315,DataRegularSeason20242025!$B$3:$B$1315, "&lt;=" &amp; GU$1, DataRegularSeason20242025!$D$3:$D$1315, $A42)+SUMIFS(DataRegularSeason20242025!$AB$3:$AB$1315,DataRegularSeason20242025!$B$3:$B$1315, "&lt;=" &amp; GU$1, DataRegularSeason20242025!$E$3:$E$1315, $A42)</f>
        <v>64</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63</v>
      </c>
      <c r="EZ43">
        <f>SUMIFS(DataRegularSeason20242025!$AA$3:$AA$1315,DataRegularSeason20242025!$B$3:$B$1315, "&lt;=" &amp; EZ$1, DataRegularSeason20242025!$D$3:$D$1315, $A43)+SUMIFS(DataRegularSeason20242025!$AB$3:$AB$1315,DataRegularSeason20242025!$B$3:$B$1315, "&lt;=" &amp; EZ$1, DataRegularSeason20242025!$E$3:$E$1315, $A43)</f>
        <v>63</v>
      </c>
      <c r="FA43">
        <f>SUMIFS(DataRegularSeason20242025!$AA$3:$AA$1315,DataRegularSeason20242025!$B$3:$B$1315, "&lt;=" &amp; FA$1, DataRegularSeason20242025!$D$3:$D$1315, $A43)+SUMIFS(DataRegularSeason20242025!$AB$3:$AB$1315,DataRegularSeason20242025!$B$3:$B$1315, "&lt;=" &amp; FA$1, DataRegularSeason20242025!$E$3:$E$1315, $A43)</f>
        <v>63</v>
      </c>
      <c r="FB43">
        <f>SUMIFS(DataRegularSeason20242025!$AA$3:$AA$1315,DataRegularSeason20242025!$B$3:$B$1315, "&lt;=" &amp; FB$1, DataRegularSeason20242025!$D$3:$D$1315, $A43)+SUMIFS(DataRegularSeason20242025!$AB$3:$AB$1315,DataRegularSeason20242025!$B$3:$B$1315, "&lt;=" &amp; FB$1, DataRegularSeason20242025!$E$3:$E$1315, $A43)</f>
        <v>63</v>
      </c>
      <c r="FC43">
        <f>SUMIFS(DataRegularSeason20242025!$AA$3:$AA$1315,DataRegularSeason20242025!$B$3:$B$1315, "&lt;=" &amp; FC$1, DataRegularSeason20242025!$D$3:$D$1315, $A43)+SUMIFS(DataRegularSeason20242025!$AB$3:$AB$1315,DataRegularSeason20242025!$B$3:$B$1315, "&lt;=" &amp; FC$1, DataRegularSeason20242025!$E$3:$E$1315, $A43)</f>
        <v>63</v>
      </c>
      <c r="FD43">
        <f>SUMIFS(DataRegularSeason20242025!$AA$3:$AA$1315,DataRegularSeason20242025!$B$3:$B$1315, "&lt;=" &amp; FD$1, DataRegularSeason20242025!$D$3:$D$1315, $A43)+SUMIFS(DataRegularSeason20242025!$AB$3:$AB$1315,DataRegularSeason20242025!$B$3:$B$1315, "&lt;=" &amp; FD$1, DataRegularSeason20242025!$E$3:$E$1315, $A43)</f>
        <v>63</v>
      </c>
      <c r="FE43">
        <f>SUMIFS(DataRegularSeason20242025!$AA$3:$AA$1315,DataRegularSeason20242025!$B$3:$B$1315, "&lt;=" &amp; FE$1, DataRegularSeason20242025!$D$3:$D$1315, $A43)+SUMIFS(DataRegularSeason20242025!$AB$3:$AB$1315,DataRegularSeason20242025!$B$3:$B$1315, "&lt;=" &amp; FE$1, DataRegularSeason20242025!$E$3:$E$1315, $A43)</f>
        <v>63</v>
      </c>
      <c r="FF43">
        <f>SUMIFS(DataRegularSeason20242025!$AA$3:$AA$1315,DataRegularSeason20242025!$B$3:$B$1315, "&lt;=" &amp; FF$1, DataRegularSeason20242025!$D$3:$D$1315, $A43)+SUMIFS(DataRegularSeason20242025!$AB$3:$AB$1315,DataRegularSeason20242025!$B$3:$B$1315, "&lt;=" &amp; FF$1, DataRegularSeason20242025!$E$3:$E$1315, $A43)</f>
        <v>63</v>
      </c>
      <c r="FG43">
        <f>SUMIFS(DataRegularSeason20242025!$AA$3:$AA$1315,DataRegularSeason20242025!$B$3:$B$1315, "&lt;=" &amp; FG$1, DataRegularSeason20242025!$D$3:$D$1315, $A43)+SUMIFS(DataRegularSeason20242025!$AB$3:$AB$1315,DataRegularSeason20242025!$B$3:$B$1315, "&lt;=" &amp; FG$1, DataRegularSeason20242025!$E$3:$E$1315, $A43)</f>
        <v>63</v>
      </c>
      <c r="FH43">
        <f>SUMIFS(DataRegularSeason20242025!$AA$3:$AA$1315,DataRegularSeason20242025!$B$3:$B$1315, "&lt;=" &amp; FH$1, DataRegularSeason20242025!$D$3:$D$1315, $A43)+SUMIFS(DataRegularSeason20242025!$AB$3:$AB$1315,DataRegularSeason20242025!$B$3:$B$1315, "&lt;=" &amp; FH$1, DataRegularSeason20242025!$E$3:$E$1315, $A43)</f>
        <v>63</v>
      </c>
      <c r="FI43">
        <f>SUMIFS(DataRegularSeason20242025!$AA$3:$AA$1315,DataRegularSeason20242025!$B$3:$B$1315, "&lt;=" &amp; FI$1, DataRegularSeason20242025!$D$3:$D$1315, $A43)+SUMIFS(DataRegularSeason20242025!$AB$3:$AB$1315,DataRegularSeason20242025!$B$3:$B$1315, "&lt;=" &amp; FI$1, DataRegularSeason20242025!$E$3:$E$1315, $A43)</f>
        <v>63</v>
      </c>
      <c r="FJ43">
        <f>SUMIFS(DataRegularSeason20242025!$AA$3:$AA$1315,DataRegularSeason20242025!$B$3:$B$1315, "&lt;=" &amp; FJ$1, DataRegularSeason20242025!$D$3:$D$1315, $A43)+SUMIFS(DataRegularSeason20242025!$AB$3:$AB$1315,DataRegularSeason20242025!$B$3:$B$1315, "&lt;=" &amp; FJ$1, DataRegularSeason20242025!$E$3:$E$1315, $A43)</f>
        <v>63</v>
      </c>
      <c r="FK43">
        <f>SUMIFS(DataRegularSeason20242025!$AA$3:$AA$1315,DataRegularSeason20242025!$B$3:$B$1315, "&lt;=" &amp; FK$1, DataRegularSeason20242025!$D$3:$D$1315, $A43)+SUMIFS(DataRegularSeason20242025!$AB$3:$AB$1315,DataRegularSeason20242025!$B$3:$B$1315, "&lt;=" &amp; FK$1, DataRegularSeason20242025!$E$3:$E$1315, $A43)</f>
        <v>63</v>
      </c>
      <c r="FL43">
        <f>SUMIFS(DataRegularSeason20242025!$AA$3:$AA$1315,DataRegularSeason20242025!$B$3:$B$1315, "&lt;=" &amp; FL$1, DataRegularSeason20242025!$D$3:$D$1315, $A43)+SUMIFS(DataRegularSeason20242025!$AB$3:$AB$1315,DataRegularSeason20242025!$B$3:$B$1315, "&lt;=" &amp; FL$1, DataRegularSeason20242025!$E$3:$E$1315, $A43)</f>
        <v>63</v>
      </c>
      <c r="FM43">
        <f>SUMIFS(DataRegularSeason20242025!$AA$3:$AA$1315,DataRegularSeason20242025!$B$3:$B$1315, "&lt;=" &amp; FM$1, DataRegularSeason20242025!$D$3:$D$1315, $A43)+SUMIFS(DataRegularSeason20242025!$AB$3:$AB$1315,DataRegularSeason20242025!$B$3:$B$1315, "&lt;=" &amp; FM$1, DataRegularSeason20242025!$E$3:$E$1315, $A43)</f>
        <v>63</v>
      </c>
      <c r="FN43">
        <f>SUMIFS(DataRegularSeason20242025!$AA$3:$AA$1315,DataRegularSeason20242025!$B$3:$B$1315, "&lt;=" &amp; FN$1, DataRegularSeason20242025!$D$3:$D$1315, $A43)+SUMIFS(DataRegularSeason20242025!$AB$3:$AB$1315,DataRegularSeason20242025!$B$3:$B$1315, "&lt;=" &amp; FN$1, DataRegularSeason20242025!$E$3:$E$1315, $A43)</f>
        <v>63</v>
      </c>
      <c r="FO43">
        <f>SUMIFS(DataRegularSeason20242025!$AA$3:$AA$1315,DataRegularSeason20242025!$B$3:$B$1315, "&lt;=" &amp; FO$1, DataRegularSeason20242025!$D$3:$D$1315, $A43)+SUMIFS(DataRegularSeason20242025!$AB$3:$AB$1315,DataRegularSeason20242025!$B$3:$B$1315, "&lt;=" &amp; FO$1, DataRegularSeason20242025!$E$3:$E$1315, $A43)</f>
        <v>63</v>
      </c>
      <c r="FP43">
        <f>SUMIFS(DataRegularSeason20242025!$AA$3:$AA$1315,DataRegularSeason20242025!$B$3:$B$1315, "&lt;=" &amp; FP$1, DataRegularSeason20242025!$D$3:$D$1315, $A43)+SUMIFS(DataRegularSeason20242025!$AB$3:$AB$1315,DataRegularSeason20242025!$B$3:$B$1315, "&lt;=" &amp; FP$1, DataRegularSeason20242025!$E$3:$E$1315, $A43)</f>
        <v>63</v>
      </c>
      <c r="FQ43">
        <f>SUMIFS(DataRegularSeason20242025!$AA$3:$AA$1315,DataRegularSeason20242025!$B$3:$B$1315, "&lt;=" &amp; FQ$1, DataRegularSeason20242025!$D$3:$D$1315, $A43)+SUMIFS(DataRegularSeason20242025!$AB$3:$AB$1315,DataRegularSeason20242025!$B$3:$B$1315, "&lt;=" &amp; FQ$1, DataRegularSeason20242025!$E$3:$E$1315, $A43)</f>
        <v>63</v>
      </c>
      <c r="FR43">
        <f>SUMIFS(DataRegularSeason20242025!$AA$3:$AA$1315,DataRegularSeason20242025!$B$3:$B$1315, "&lt;=" &amp; FR$1, DataRegularSeason20242025!$D$3:$D$1315, $A43)+SUMIFS(DataRegularSeason20242025!$AB$3:$AB$1315,DataRegularSeason20242025!$B$3:$B$1315, "&lt;=" &amp; FR$1, DataRegularSeason20242025!$E$3:$E$1315, $A43)</f>
        <v>63</v>
      </c>
      <c r="FS43">
        <f>SUMIFS(DataRegularSeason20242025!$AA$3:$AA$1315,DataRegularSeason20242025!$B$3:$B$1315, "&lt;=" &amp; FS$1, DataRegularSeason20242025!$D$3:$D$1315, $A43)+SUMIFS(DataRegularSeason20242025!$AB$3:$AB$1315,DataRegularSeason20242025!$B$3:$B$1315, "&lt;=" &amp; FS$1, DataRegularSeason20242025!$E$3:$E$1315, $A43)</f>
        <v>63</v>
      </c>
      <c r="FT43">
        <f>SUMIFS(DataRegularSeason20242025!$AA$3:$AA$1315,DataRegularSeason20242025!$B$3:$B$1315, "&lt;=" &amp; FT$1, DataRegularSeason20242025!$D$3:$D$1315, $A43)+SUMIFS(DataRegularSeason20242025!$AB$3:$AB$1315,DataRegularSeason20242025!$B$3:$B$1315, "&lt;=" &amp; FT$1, DataRegularSeason20242025!$E$3:$E$1315, $A43)</f>
        <v>63</v>
      </c>
      <c r="FU43">
        <f>SUMIFS(DataRegularSeason20242025!$AA$3:$AA$1315,DataRegularSeason20242025!$B$3:$B$1315, "&lt;=" &amp; FU$1, DataRegularSeason20242025!$D$3:$D$1315, $A43)+SUMIFS(DataRegularSeason20242025!$AB$3:$AB$1315,DataRegularSeason20242025!$B$3:$B$1315, "&lt;=" &amp; FU$1, DataRegularSeason20242025!$E$3:$E$1315, $A43)</f>
        <v>63</v>
      </c>
      <c r="FV43">
        <f>SUMIFS(DataRegularSeason20242025!$AA$3:$AA$1315,DataRegularSeason20242025!$B$3:$B$1315, "&lt;=" &amp; FV$1, DataRegularSeason20242025!$D$3:$D$1315, $A43)+SUMIFS(DataRegularSeason20242025!$AB$3:$AB$1315,DataRegularSeason20242025!$B$3:$B$1315, "&lt;=" &amp; FV$1, DataRegularSeason20242025!$E$3:$E$1315, $A43)</f>
        <v>63</v>
      </c>
      <c r="FW43">
        <f>SUMIFS(DataRegularSeason20242025!$AA$3:$AA$1315,DataRegularSeason20242025!$B$3:$B$1315, "&lt;=" &amp; FW$1, DataRegularSeason20242025!$D$3:$D$1315, $A43)+SUMIFS(DataRegularSeason20242025!$AB$3:$AB$1315,DataRegularSeason20242025!$B$3:$B$1315, "&lt;=" &amp; FW$1, DataRegularSeason20242025!$E$3:$E$1315, $A43)</f>
        <v>63</v>
      </c>
      <c r="FX43">
        <f>SUMIFS(DataRegularSeason20242025!$AA$3:$AA$1315,DataRegularSeason20242025!$B$3:$B$1315, "&lt;=" &amp; FX$1, DataRegularSeason20242025!$D$3:$D$1315, $A43)+SUMIFS(DataRegularSeason20242025!$AB$3:$AB$1315,DataRegularSeason20242025!$B$3:$B$1315, "&lt;=" &amp; FX$1, DataRegularSeason20242025!$E$3:$E$1315, $A43)</f>
        <v>63</v>
      </c>
      <c r="FY43">
        <f>SUMIFS(DataRegularSeason20242025!$AA$3:$AA$1315,DataRegularSeason20242025!$B$3:$B$1315, "&lt;=" &amp; FY$1, DataRegularSeason20242025!$D$3:$D$1315, $A43)+SUMIFS(DataRegularSeason20242025!$AB$3:$AB$1315,DataRegularSeason20242025!$B$3:$B$1315, "&lt;=" &amp; FY$1, DataRegularSeason20242025!$E$3:$E$1315, $A43)</f>
        <v>63</v>
      </c>
      <c r="FZ43">
        <f>SUMIFS(DataRegularSeason20242025!$AA$3:$AA$1315,DataRegularSeason20242025!$B$3:$B$1315, "&lt;=" &amp; FZ$1, DataRegularSeason20242025!$D$3:$D$1315, $A43)+SUMIFS(DataRegularSeason20242025!$AB$3:$AB$1315,DataRegularSeason20242025!$B$3:$B$1315, "&lt;=" &amp; FZ$1, DataRegularSeason20242025!$E$3:$E$1315, $A43)</f>
        <v>63</v>
      </c>
      <c r="GA43">
        <f>SUMIFS(DataRegularSeason20242025!$AA$3:$AA$1315,DataRegularSeason20242025!$B$3:$B$1315, "&lt;=" &amp; GA$1, DataRegularSeason20242025!$D$3:$D$1315, $A43)+SUMIFS(DataRegularSeason20242025!$AB$3:$AB$1315,DataRegularSeason20242025!$B$3:$B$1315, "&lt;=" &amp; GA$1, DataRegularSeason20242025!$E$3:$E$1315, $A43)</f>
        <v>63</v>
      </c>
      <c r="GB43">
        <f>SUMIFS(DataRegularSeason20242025!$AA$3:$AA$1315,DataRegularSeason20242025!$B$3:$B$1315, "&lt;=" &amp; GB$1, DataRegularSeason20242025!$D$3:$D$1315, $A43)+SUMIFS(DataRegularSeason20242025!$AB$3:$AB$1315,DataRegularSeason20242025!$B$3:$B$1315, "&lt;=" &amp; GB$1, DataRegularSeason20242025!$E$3:$E$1315, $A43)</f>
        <v>63</v>
      </c>
      <c r="GC43">
        <f>SUMIFS(DataRegularSeason20242025!$AA$3:$AA$1315,DataRegularSeason20242025!$B$3:$B$1315, "&lt;=" &amp; GC$1, DataRegularSeason20242025!$D$3:$D$1315, $A43)+SUMIFS(DataRegularSeason20242025!$AB$3:$AB$1315,DataRegularSeason20242025!$B$3:$B$1315, "&lt;=" &amp; GC$1, DataRegularSeason20242025!$E$3:$E$1315, $A43)</f>
        <v>63</v>
      </c>
      <c r="GD43">
        <f>SUMIFS(DataRegularSeason20242025!$AA$3:$AA$1315,DataRegularSeason20242025!$B$3:$B$1315, "&lt;=" &amp; GD$1, DataRegularSeason20242025!$D$3:$D$1315, $A43)+SUMIFS(DataRegularSeason20242025!$AB$3:$AB$1315,DataRegularSeason20242025!$B$3:$B$1315, "&lt;=" &amp; GD$1, DataRegularSeason20242025!$E$3:$E$1315, $A43)</f>
        <v>63</v>
      </c>
      <c r="GE43">
        <f>SUMIFS(DataRegularSeason20242025!$AA$3:$AA$1315,DataRegularSeason20242025!$B$3:$B$1315, "&lt;=" &amp; GE$1, DataRegularSeason20242025!$D$3:$D$1315, $A43)+SUMIFS(DataRegularSeason20242025!$AB$3:$AB$1315,DataRegularSeason20242025!$B$3:$B$1315, "&lt;=" &amp; GE$1, DataRegularSeason20242025!$E$3:$E$1315, $A43)</f>
        <v>63</v>
      </c>
      <c r="GF43">
        <f>SUMIFS(DataRegularSeason20242025!$AA$3:$AA$1315,DataRegularSeason20242025!$B$3:$B$1315, "&lt;=" &amp; GF$1, DataRegularSeason20242025!$D$3:$D$1315, $A43)+SUMIFS(DataRegularSeason20242025!$AB$3:$AB$1315,DataRegularSeason20242025!$B$3:$B$1315, "&lt;=" &amp; GF$1, DataRegularSeason20242025!$E$3:$E$1315, $A43)</f>
        <v>63</v>
      </c>
      <c r="GG43">
        <f>SUMIFS(DataRegularSeason20242025!$AA$3:$AA$1315,DataRegularSeason20242025!$B$3:$B$1315, "&lt;=" &amp; GG$1, DataRegularSeason20242025!$D$3:$D$1315, $A43)+SUMIFS(DataRegularSeason20242025!$AB$3:$AB$1315,DataRegularSeason20242025!$B$3:$B$1315, "&lt;=" &amp; GG$1, DataRegularSeason20242025!$E$3:$E$1315, $A43)</f>
        <v>63</v>
      </c>
      <c r="GH43">
        <f>SUMIFS(DataRegularSeason20242025!$AA$3:$AA$1315,DataRegularSeason20242025!$B$3:$B$1315, "&lt;=" &amp; GH$1, DataRegularSeason20242025!$D$3:$D$1315, $A43)+SUMIFS(DataRegularSeason20242025!$AB$3:$AB$1315,DataRegularSeason20242025!$B$3:$B$1315, "&lt;=" &amp; GH$1, DataRegularSeason20242025!$E$3:$E$1315, $A43)</f>
        <v>63</v>
      </c>
      <c r="GI43">
        <f>SUMIFS(DataRegularSeason20242025!$AA$3:$AA$1315,DataRegularSeason20242025!$B$3:$B$1315, "&lt;=" &amp; GI$1, DataRegularSeason20242025!$D$3:$D$1315, $A43)+SUMIFS(DataRegularSeason20242025!$AB$3:$AB$1315,DataRegularSeason20242025!$B$3:$B$1315, "&lt;=" &amp; GI$1, DataRegularSeason20242025!$E$3:$E$1315, $A43)</f>
        <v>63</v>
      </c>
      <c r="GJ43">
        <f>SUMIFS(DataRegularSeason20242025!$AA$3:$AA$1315,DataRegularSeason20242025!$B$3:$B$1315, "&lt;=" &amp; GJ$1, DataRegularSeason20242025!$D$3:$D$1315, $A43)+SUMIFS(DataRegularSeason20242025!$AB$3:$AB$1315,DataRegularSeason20242025!$B$3:$B$1315, "&lt;=" &amp; GJ$1, DataRegularSeason20242025!$E$3:$E$1315, $A43)</f>
        <v>63</v>
      </c>
      <c r="GK43">
        <f>SUMIFS(DataRegularSeason20242025!$AA$3:$AA$1315,DataRegularSeason20242025!$B$3:$B$1315, "&lt;=" &amp; GK$1, DataRegularSeason20242025!$D$3:$D$1315, $A43)+SUMIFS(DataRegularSeason20242025!$AB$3:$AB$1315,DataRegularSeason20242025!$B$3:$B$1315, "&lt;=" &amp; GK$1, DataRegularSeason20242025!$E$3:$E$1315, $A43)</f>
        <v>63</v>
      </c>
      <c r="GL43">
        <f>SUMIFS(DataRegularSeason20242025!$AA$3:$AA$1315,DataRegularSeason20242025!$B$3:$B$1315, "&lt;=" &amp; GL$1, DataRegularSeason20242025!$D$3:$D$1315, $A43)+SUMIFS(DataRegularSeason20242025!$AB$3:$AB$1315,DataRegularSeason20242025!$B$3:$B$1315, "&lt;=" &amp; GL$1, DataRegularSeason20242025!$E$3:$E$1315, $A43)</f>
        <v>63</v>
      </c>
      <c r="GM43">
        <f>SUMIFS(DataRegularSeason20242025!$AA$3:$AA$1315,DataRegularSeason20242025!$B$3:$B$1315, "&lt;=" &amp; GM$1, DataRegularSeason20242025!$D$3:$D$1315, $A43)+SUMIFS(DataRegularSeason20242025!$AB$3:$AB$1315,DataRegularSeason20242025!$B$3:$B$1315, "&lt;=" &amp; GM$1, DataRegularSeason20242025!$E$3:$E$1315, $A43)</f>
        <v>63</v>
      </c>
      <c r="GN43">
        <f>SUMIFS(DataRegularSeason20242025!$AA$3:$AA$1315,DataRegularSeason20242025!$B$3:$B$1315, "&lt;=" &amp; GN$1, DataRegularSeason20242025!$D$3:$D$1315, $A43)+SUMIFS(DataRegularSeason20242025!$AB$3:$AB$1315,DataRegularSeason20242025!$B$3:$B$1315, "&lt;=" &amp; GN$1, DataRegularSeason20242025!$E$3:$E$1315, $A43)</f>
        <v>63</v>
      </c>
      <c r="GO43">
        <f>SUMIFS(DataRegularSeason20242025!$AA$3:$AA$1315,DataRegularSeason20242025!$B$3:$B$1315, "&lt;=" &amp; GO$1, DataRegularSeason20242025!$D$3:$D$1315, $A43)+SUMIFS(DataRegularSeason20242025!$AB$3:$AB$1315,DataRegularSeason20242025!$B$3:$B$1315, "&lt;=" &amp; GO$1, DataRegularSeason20242025!$E$3:$E$1315, $A43)</f>
        <v>63</v>
      </c>
      <c r="GP43">
        <f>SUMIFS(DataRegularSeason20242025!$AA$3:$AA$1315,DataRegularSeason20242025!$B$3:$B$1315, "&lt;=" &amp; GP$1, DataRegularSeason20242025!$D$3:$D$1315, $A43)+SUMIFS(DataRegularSeason20242025!$AB$3:$AB$1315,DataRegularSeason20242025!$B$3:$B$1315, "&lt;=" &amp; GP$1, DataRegularSeason20242025!$E$3:$E$1315, $A43)</f>
        <v>63</v>
      </c>
      <c r="GQ43">
        <f>SUMIFS(DataRegularSeason20242025!$AA$3:$AA$1315,DataRegularSeason20242025!$B$3:$B$1315, "&lt;=" &amp; GQ$1, DataRegularSeason20242025!$D$3:$D$1315, $A43)+SUMIFS(DataRegularSeason20242025!$AB$3:$AB$1315,DataRegularSeason20242025!$B$3:$B$1315, "&lt;=" &amp; GQ$1, DataRegularSeason20242025!$E$3:$E$1315, $A43)</f>
        <v>63</v>
      </c>
      <c r="GR43">
        <f>SUMIFS(DataRegularSeason20242025!$AA$3:$AA$1315,DataRegularSeason20242025!$B$3:$B$1315, "&lt;=" &amp; GR$1, DataRegularSeason20242025!$D$3:$D$1315, $A43)+SUMIFS(DataRegularSeason20242025!$AB$3:$AB$1315,DataRegularSeason20242025!$B$3:$B$1315, "&lt;=" &amp; GR$1, DataRegularSeason20242025!$E$3:$E$1315, $A43)</f>
        <v>63</v>
      </c>
      <c r="GS43">
        <f>SUMIFS(DataRegularSeason20242025!$AA$3:$AA$1315,DataRegularSeason20242025!$B$3:$B$1315, "&lt;=" &amp; GS$1, DataRegularSeason20242025!$D$3:$D$1315, $A43)+SUMIFS(DataRegularSeason20242025!$AB$3:$AB$1315,DataRegularSeason20242025!$B$3:$B$1315, "&lt;=" &amp; GS$1, DataRegularSeason20242025!$E$3:$E$1315, $A43)</f>
        <v>63</v>
      </c>
      <c r="GT43">
        <f>SUMIFS(DataRegularSeason20242025!$AA$3:$AA$1315,DataRegularSeason20242025!$B$3:$B$1315, "&lt;=" &amp; GT$1, DataRegularSeason20242025!$D$3:$D$1315, $A43)+SUMIFS(DataRegularSeason20242025!$AB$3:$AB$1315,DataRegularSeason20242025!$B$3:$B$1315, "&lt;=" &amp; GT$1, DataRegularSeason20242025!$E$3:$E$1315, $A43)</f>
        <v>63</v>
      </c>
      <c r="GU43">
        <f>SUMIFS(DataRegularSeason20242025!$AA$3:$AA$1315,DataRegularSeason20242025!$B$3:$B$1315, "&lt;=" &amp; GU$1, DataRegularSeason20242025!$D$3:$D$1315, $A43)+SUMIFS(DataRegularSeason20242025!$AB$3:$AB$1315,DataRegularSeason20242025!$B$3:$B$1315, "&lt;=" &amp; GU$1, DataRegularSeason20242025!$E$3:$E$1315, $A43)</f>
        <v>63</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65.5625</v>
      </c>
      <c r="EX70">
        <f>SUBTOTAL(101,Table46[2025-03-02])</f>
        <v>65.5625</v>
      </c>
      <c r="EY70">
        <f>SUBTOTAL(101,Table46[2025-03-03])</f>
        <v>65.5625</v>
      </c>
      <c r="EZ70">
        <f>SUBTOTAL(101,Table46[2025-03-04])</f>
        <v>65.5625</v>
      </c>
      <c r="FA70">
        <f>SUBTOTAL(101,Table46[2025-03-05])</f>
        <v>65.5625</v>
      </c>
      <c r="FB70">
        <f>SUBTOTAL(101,Table46[2025-03-06])</f>
        <v>65.5625</v>
      </c>
      <c r="FC70">
        <f>SUBTOTAL(101,Table46[2025-03-07])</f>
        <v>65.5625</v>
      </c>
      <c r="FD70">
        <f>SUBTOTAL(101,Table46[2025-03-08])</f>
        <v>65.5625</v>
      </c>
      <c r="FE70">
        <f>SUBTOTAL(101,Table46[2025-03-09])</f>
        <v>65.5625</v>
      </c>
      <c r="FF70">
        <f>SUBTOTAL(101,Table46[2025-03-10])</f>
        <v>65.5625</v>
      </c>
      <c r="FG70">
        <f>SUBTOTAL(101,Table46[2025-03-11])</f>
        <v>65.5625</v>
      </c>
      <c r="FH70">
        <f>SUBTOTAL(101,Table46[2025-03-12])</f>
        <v>65.5625</v>
      </c>
      <c r="FI70">
        <f>SUBTOTAL(101,Table46[2025-03-13])</f>
        <v>65.5625</v>
      </c>
      <c r="FJ70">
        <f>SUBTOTAL(101,Table46[2025-03-14])</f>
        <v>65.5625</v>
      </c>
      <c r="FK70">
        <f>SUBTOTAL(101,Table46[2025-03-15])</f>
        <v>65.5625</v>
      </c>
      <c r="FL70">
        <f>SUBTOTAL(101,Table46[2025-03-16])</f>
        <v>65.5625</v>
      </c>
      <c r="FM70">
        <f>SUBTOTAL(101,Table46[2025-03-17])</f>
        <v>65.5625</v>
      </c>
      <c r="FN70">
        <f>SUBTOTAL(101,Table46[2025-03-18])</f>
        <v>65.5625</v>
      </c>
      <c r="FO70">
        <f>SUBTOTAL(101,Table46[2025-03-19])</f>
        <v>65.5625</v>
      </c>
      <c r="FP70">
        <f>SUBTOTAL(101,Table46[2025-03-20])</f>
        <v>65.5625</v>
      </c>
      <c r="FQ70">
        <f>SUBTOTAL(101,Table46[2025-03-21])</f>
        <v>65.5625</v>
      </c>
      <c r="FR70">
        <f>SUBTOTAL(101,Table46[2025-03-22])</f>
        <v>65.5625</v>
      </c>
      <c r="FS70">
        <f>SUBTOTAL(101,Table46[2025-03-23])</f>
        <v>65.5625</v>
      </c>
      <c r="FT70">
        <f>SUBTOTAL(101,Table46[2025-03-24])</f>
        <v>65.5625</v>
      </c>
      <c r="FU70">
        <f>SUBTOTAL(101,Table46[2025-03-25])</f>
        <v>65.5625</v>
      </c>
      <c r="FV70">
        <f>SUBTOTAL(101,Table46[2025-03-26])</f>
        <v>65.5625</v>
      </c>
      <c r="FW70">
        <f>SUBTOTAL(101,Table46[2025-03-27])</f>
        <v>65.5625</v>
      </c>
      <c r="FX70">
        <f>SUBTOTAL(101,Table46[2025-03-28])</f>
        <v>65.5625</v>
      </c>
      <c r="FY70">
        <f>SUBTOTAL(101,Table46[2025-03-29])</f>
        <v>65.5625</v>
      </c>
      <c r="FZ70">
        <f>SUBTOTAL(101,Table46[2025-03-30])</f>
        <v>65.5625</v>
      </c>
      <c r="GA70">
        <f>SUBTOTAL(101,Table46[2025-03-31])</f>
        <v>65.5625</v>
      </c>
      <c r="GB70">
        <f>SUBTOTAL(101,Table46[2025-04-01])</f>
        <v>65.5625</v>
      </c>
      <c r="GC70">
        <f>SUBTOTAL(101,Table46[2025-04-02])</f>
        <v>65.5625</v>
      </c>
      <c r="GD70">
        <f>SUBTOTAL(101,Table46[2025-04-03])</f>
        <v>65.5625</v>
      </c>
      <c r="GE70">
        <f>SUBTOTAL(101,Table46[2025-04-04])</f>
        <v>65.5625</v>
      </c>
      <c r="GF70">
        <f>SUBTOTAL(101,Table46[2025-04-05])</f>
        <v>65.5625</v>
      </c>
      <c r="GG70">
        <f>SUBTOTAL(101,Table46[2025-04-06])</f>
        <v>65.5625</v>
      </c>
      <c r="GH70">
        <f>SUBTOTAL(101,Table46[2025-04-07])</f>
        <v>65.5625</v>
      </c>
      <c r="GI70">
        <f>SUBTOTAL(101,Table46[2025-04-08])</f>
        <v>65.5625</v>
      </c>
      <c r="GJ70">
        <f>SUBTOTAL(101,Table46[2025-04-09])</f>
        <v>65.5625</v>
      </c>
      <c r="GK70">
        <f>SUBTOTAL(101,Table46[2025-04-10])</f>
        <v>65.5625</v>
      </c>
      <c r="GL70">
        <f>SUBTOTAL(101,Table46[2025-04-11])</f>
        <v>65.5625</v>
      </c>
      <c r="GM70">
        <f>SUBTOTAL(101,Table46[2025-04-12])</f>
        <v>65.5625</v>
      </c>
      <c r="GN70">
        <f>SUBTOTAL(101,Table46[2025-04-13])</f>
        <v>65.5625</v>
      </c>
      <c r="GO70">
        <f>SUBTOTAL(101,Table46[2025-04-14])</f>
        <v>65.5625</v>
      </c>
      <c r="GP70">
        <f>SUBTOTAL(101,Table46[2025-04-15])</f>
        <v>65.5625</v>
      </c>
      <c r="GQ70">
        <f>SUBTOTAL(101,Table46[2025-04-16])</f>
        <v>65.5625</v>
      </c>
      <c r="GR70">
        <f>SUBTOTAL(101,Table46[2025-04-17])</f>
        <v>65.5625</v>
      </c>
      <c r="GS70">
        <f>SUBTOTAL(101,Table46[2025-04-18])</f>
        <v>65.5625</v>
      </c>
      <c r="GT70">
        <f>SUBTOTAL(101,Table46[2025-04-19])</f>
        <v>65.5625</v>
      </c>
      <c r="GU70">
        <f>SUBTOTAL(101,Table46[2025-04-20])</f>
        <v>65.5625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59"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0"/>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59"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0"/>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59"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0"/>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59"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0"/>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59"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0"/>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59"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0"/>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59"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0"/>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59"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0"/>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59"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0"/>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59"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0"/>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59"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0"/>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59"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0"/>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59"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0"/>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59"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0"/>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59"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0"/>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59"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0"/>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59"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0"/>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59"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0"/>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59"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0"/>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59"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0"/>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59"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0"/>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59"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0"/>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59"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0"/>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59"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0"/>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59"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0"/>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59"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0"/>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59"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0"/>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59"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0"/>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59"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0"/>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59"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0"/>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59"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0"/>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59"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0"/>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63">
        <f>BO3+BO4</f>
        <v>58</v>
      </c>
      <c r="BQ3" s="159">
        <f>82-BP3</f>
        <v>24</v>
      </c>
    </row>
    <row r="4" spans="1:69" ht="9.9499999999999993" customHeight="1" x14ac:dyDescent="0.25">
      <c r="A4" s="160"/>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63"/>
      <c r="BQ4" s="159"/>
    </row>
    <row r="5" spans="1:69" ht="9.9499999999999993" customHeight="1" x14ac:dyDescent="0.25">
      <c r="A5" s="16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28</v>
      </c>
      <c r="BP5" s="163">
        <f t="shared" ref="BP5" si="1">BO5+BO6</f>
        <v>61</v>
      </c>
      <c r="BQ5" s="159">
        <f t="shared" ref="BQ5" si="2">82-BP5</f>
        <v>21</v>
      </c>
    </row>
    <row r="6" spans="1:69" ht="9.9499999999999993" customHeight="1" x14ac:dyDescent="0.25">
      <c r="A6" s="160"/>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63"/>
      <c r="BQ6" s="159"/>
    </row>
    <row r="7" spans="1:69" ht="9.9499999999999993" customHeight="1" x14ac:dyDescent="0.25">
      <c r="A7" s="16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63">
        <f t="shared" ref="BP7" si="3">BO7+BO8</f>
        <v>58</v>
      </c>
      <c r="BQ7" s="159">
        <f t="shared" ref="BQ7" si="4">82-BP7</f>
        <v>24</v>
      </c>
    </row>
    <row r="8" spans="1:69" ht="9.9499999999999993" customHeight="1" x14ac:dyDescent="0.25">
      <c r="A8" s="160"/>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31</v>
      </c>
      <c r="BP8" s="163"/>
      <c r="BQ8" s="159"/>
    </row>
    <row r="9" spans="1:69" ht="9.9499999999999993" customHeight="1" x14ac:dyDescent="0.25">
      <c r="A9" s="16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63">
        <f t="shared" ref="BP9" si="5">BO9+BO10</f>
        <v>60</v>
      </c>
      <c r="BQ9" s="159">
        <f t="shared" ref="BQ9" si="6">82-BP9</f>
        <v>22</v>
      </c>
    </row>
    <row r="10" spans="1:69" ht="9.9499999999999993" customHeight="1" x14ac:dyDescent="0.25">
      <c r="A10" s="160"/>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30</v>
      </c>
      <c r="BP10" s="163"/>
      <c r="BQ10" s="159"/>
    </row>
    <row r="11" spans="1:69" ht="9.9499999999999993" customHeight="1" x14ac:dyDescent="0.25">
      <c r="A11" s="16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63">
        <f t="shared" ref="BP11" si="7">BO11+BO12</f>
        <v>60</v>
      </c>
      <c r="BQ11" s="159">
        <f t="shared" ref="BQ11" si="8">82-BP11</f>
        <v>22</v>
      </c>
    </row>
    <row r="12" spans="1:69" ht="9.9499999999999993" customHeight="1" x14ac:dyDescent="0.25">
      <c r="A12" s="160"/>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59"/>
    </row>
    <row r="13" spans="1:69" ht="9.9499999999999993" customHeight="1" x14ac:dyDescent="0.25">
      <c r="A13" s="16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28</v>
      </c>
      <c r="BP13" s="163">
        <f t="shared" ref="BP13" si="9">BO13+BO14</f>
        <v>59</v>
      </c>
      <c r="BQ13" s="159">
        <f t="shared" ref="BQ13" si="10">82-BP13</f>
        <v>23</v>
      </c>
    </row>
    <row r="14" spans="1:69" ht="9.9499999999999993" customHeight="1" x14ac:dyDescent="0.25">
      <c r="A14" s="160"/>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3"/>
      <c r="BQ14" s="159"/>
    </row>
    <row r="15" spans="1:69" ht="9.9499999999999993" customHeight="1" x14ac:dyDescent="0.25">
      <c r="A15" s="16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63">
        <f t="shared" ref="BP15" si="11">BO15+BO16</f>
        <v>59</v>
      </c>
      <c r="BQ15" s="159">
        <f t="shared" ref="BQ15" si="12">82-BP15</f>
        <v>23</v>
      </c>
    </row>
    <row r="16" spans="1:69" ht="9.9499999999999993" customHeight="1" x14ac:dyDescent="0.25">
      <c r="A16" s="160"/>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63"/>
      <c r="BQ16" s="159"/>
    </row>
    <row r="17" spans="1:69" ht="9.9499999999999993" customHeight="1" x14ac:dyDescent="0.25">
      <c r="A17" s="16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61</v>
      </c>
      <c r="BQ17" s="159">
        <f t="shared" ref="BQ17" si="14">82-BP17</f>
        <v>21</v>
      </c>
    </row>
    <row r="18" spans="1:69" ht="9.9499999999999993" customHeight="1" x14ac:dyDescent="0.25">
      <c r="A18" s="160"/>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63"/>
      <c r="BQ18" s="159"/>
    </row>
    <row r="19" spans="1:69" ht="9.9499999999999993" customHeight="1" x14ac:dyDescent="0.25">
      <c r="A19" s="16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59</v>
      </c>
      <c r="BQ19" s="159">
        <f t="shared" ref="BQ19" si="16">82-BP19</f>
        <v>23</v>
      </c>
    </row>
    <row r="20" spans="1:69" ht="9.9499999999999993" customHeight="1" x14ac:dyDescent="0.25">
      <c r="A20" s="160"/>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63"/>
      <c r="BQ20" s="159"/>
    </row>
    <row r="21" spans="1:69" ht="9.9499999999999993" customHeight="1" x14ac:dyDescent="0.25">
      <c r="A21" s="16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3">
        <f t="shared" ref="BP21" si="17">BO21+BO22</f>
        <v>60</v>
      </c>
      <c r="BQ21" s="159">
        <f t="shared" ref="BQ21" si="18">82-BP21</f>
        <v>22</v>
      </c>
    </row>
    <row r="22" spans="1:69" ht="9.9499999999999993" customHeight="1" x14ac:dyDescent="0.25">
      <c r="A22" s="160"/>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63"/>
      <c r="BQ22" s="159"/>
    </row>
    <row r="23" spans="1:69" ht="9.9499999999999993" customHeight="1" x14ac:dyDescent="0.25">
      <c r="A23" s="16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60</v>
      </c>
      <c r="BQ23" s="159">
        <f t="shared" ref="BQ23" si="20">82-BP23</f>
        <v>22</v>
      </c>
    </row>
    <row r="24" spans="1:69" ht="9.9499999999999993" customHeight="1" x14ac:dyDescent="0.25">
      <c r="A24" s="160"/>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63"/>
      <c r="BQ24" s="159"/>
    </row>
    <row r="25" spans="1:69" ht="9.9499999999999993" customHeight="1" x14ac:dyDescent="0.25">
      <c r="A25" s="16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61</v>
      </c>
      <c r="BQ25" s="159">
        <f t="shared" ref="BQ25" si="22">82-BP25</f>
        <v>21</v>
      </c>
    </row>
    <row r="26" spans="1:69" ht="9.9499999999999993" customHeight="1" x14ac:dyDescent="0.25">
      <c r="A26" s="160"/>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31</v>
      </c>
      <c r="BP26" s="163"/>
      <c r="BQ26" s="159"/>
    </row>
    <row r="27" spans="1:69" ht="9.9499999999999993" customHeight="1" x14ac:dyDescent="0.25">
      <c r="A27" s="16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63">
        <f t="shared" ref="BP27" si="23">BO27+BO28</f>
        <v>57</v>
      </c>
      <c r="BQ27" s="159">
        <f t="shared" ref="BQ27" si="24">82-BP27</f>
        <v>25</v>
      </c>
    </row>
    <row r="28" spans="1:69" ht="9.9499999999999993" customHeight="1" x14ac:dyDescent="0.25">
      <c r="A28" s="160"/>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63"/>
      <c r="BQ28" s="159"/>
    </row>
    <row r="29" spans="1:69" ht="9.9499999999999993" customHeight="1" x14ac:dyDescent="0.25">
      <c r="A29" s="16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63">
        <f t="shared" ref="BP29" si="25">BO29+BO30</f>
        <v>60</v>
      </c>
      <c r="BQ29" s="159">
        <f t="shared" ref="BQ29" si="26">82-BP29</f>
        <v>22</v>
      </c>
    </row>
    <row r="30" spans="1:69" ht="9.9499999999999993" customHeight="1" x14ac:dyDescent="0.25">
      <c r="A30" s="160"/>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63"/>
      <c r="BQ30" s="159"/>
    </row>
    <row r="31" spans="1:69" ht="9.9499999999999993" customHeight="1" x14ac:dyDescent="0.25">
      <c r="A31" s="16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3">
        <f t="shared" ref="BP31" si="27">BO31+BO32</f>
        <v>60</v>
      </c>
      <c r="BQ31" s="159">
        <f t="shared" ref="BQ31" si="28">82-BP31</f>
        <v>22</v>
      </c>
    </row>
    <row r="32" spans="1:69" ht="9.9499999999999993" customHeight="1" x14ac:dyDescent="0.25">
      <c r="A32" s="160"/>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63"/>
      <c r="BQ32" s="159"/>
    </row>
    <row r="33" spans="1:69" ht="9.9499999999999993" customHeight="1" x14ac:dyDescent="0.25">
      <c r="A33" s="16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63">
        <f t="shared" ref="BP33" si="29">BO33+BO34</f>
        <v>60</v>
      </c>
      <c r="BQ33" s="159">
        <f t="shared" ref="BQ33" si="30">82-BP33</f>
        <v>22</v>
      </c>
    </row>
    <row r="34" spans="1:69" ht="9.9499999999999993" customHeight="1" x14ac:dyDescent="0.25">
      <c r="A34" s="160"/>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3"/>
      <c r="BQ34" s="159"/>
    </row>
    <row r="35" spans="1:69" ht="9.9499999999999993" customHeight="1" x14ac:dyDescent="0.25">
      <c r="A35" s="16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29</v>
      </c>
      <c r="BP35" s="163">
        <f t="shared" ref="BP35" si="31">BO35+BO36</f>
        <v>59</v>
      </c>
      <c r="BQ35" s="159">
        <f t="shared" ref="BQ35" si="32">82-BP35</f>
        <v>23</v>
      </c>
    </row>
    <row r="36" spans="1:69" ht="9.9499999999999993" customHeight="1" x14ac:dyDescent="0.25">
      <c r="A36" s="160"/>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3"/>
      <c r="BQ36" s="159"/>
    </row>
    <row r="37" spans="1:69" ht="9.9499999999999993" customHeight="1" x14ac:dyDescent="0.25">
      <c r="A37" s="16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63">
        <f t="shared" ref="BP37" si="33">BO37+BO38</f>
        <v>59</v>
      </c>
      <c r="BQ37" s="159">
        <f t="shared" ref="BQ37" si="34">82-BP37</f>
        <v>23</v>
      </c>
    </row>
    <row r="38" spans="1:69" ht="9.9499999999999993" customHeight="1" x14ac:dyDescent="0.25">
      <c r="A38" s="160"/>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63"/>
      <c r="BQ38" s="159"/>
    </row>
    <row r="39" spans="1:69" ht="9.9499999999999993" customHeight="1" x14ac:dyDescent="0.25">
      <c r="A39" s="16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3">
        <f t="shared" ref="BP39" si="35">BO39+BO40</f>
        <v>59</v>
      </c>
      <c r="BQ39" s="159">
        <f t="shared" ref="BQ39" si="36">82-BP39</f>
        <v>23</v>
      </c>
    </row>
    <row r="40" spans="1:69" ht="9.9499999999999993" customHeight="1" x14ac:dyDescent="0.25">
      <c r="A40" s="160"/>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63"/>
      <c r="BQ40" s="159"/>
    </row>
    <row r="41" spans="1:69" ht="9.9499999999999993" customHeight="1" x14ac:dyDescent="0.25">
      <c r="A41" s="16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63">
        <f t="shared" ref="BP41" si="37">BO41+BO42</f>
        <v>59</v>
      </c>
      <c r="BQ41" s="159">
        <f t="shared" ref="BQ41" si="38">82-BP41</f>
        <v>23</v>
      </c>
    </row>
    <row r="42" spans="1:69" ht="9.9499999999999993" customHeight="1" x14ac:dyDescent="0.25">
      <c r="A42" s="160"/>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3"/>
      <c r="BQ42" s="159"/>
    </row>
    <row r="43" spans="1:69" ht="9.9499999999999993" customHeight="1" x14ac:dyDescent="0.25">
      <c r="A43" s="16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61</v>
      </c>
      <c r="BQ43" s="159">
        <f t="shared" ref="BQ43" si="40">82-BP43</f>
        <v>21</v>
      </c>
    </row>
    <row r="44" spans="1:69" ht="9.9499999999999993" customHeight="1" x14ac:dyDescent="0.25">
      <c r="A44" s="160"/>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63"/>
      <c r="BQ44" s="159"/>
    </row>
    <row r="45" spans="1:69" ht="9.9499999999999993" customHeight="1" x14ac:dyDescent="0.25">
      <c r="A45" s="16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63">
        <f t="shared" ref="BP45" si="41">BO45+BO46</f>
        <v>62</v>
      </c>
      <c r="BQ45" s="159">
        <f t="shared" ref="BQ45" si="42">82-BP45</f>
        <v>20</v>
      </c>
    </row>
    <row r="46" spans="1:69" ht="9.9499999999999993" customHeight="1" x14ac:dyDescent="0.25">
      <c r="A46" s="160"/>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31</v>
      </c>
      <c r="BP46" s="163"/>
      <c r="BQ46" s="159"/>
    </row>
    <row r="47" spans="1:69" ht="9.9499999999999993" customHeight="1" x14ac:dyDescent="0.25">
      <c r="A47" s="16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3">
        <f t="shared" ref="BP47" si="43">BO47+BO48</f>
        <v>60</v>
      </c>
      <c r="BQ47" s="159">
        <f t="shared" ref="BQ47" si="44">82-BP47</f>
        <v>22</v>
      </c>
    </row>
    <row r="48" spans="1:69" ht="9.9499999999999993" customHeight="1" x14ac:dyDescent="0.25">
      <c r="A48" s="160"/>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63"/>
      <c r="BQ48" s="159"/>
    </row>
    <row r="49" spans="1:69" ht="9.9499999999999993" customHeight="1" x14ac:dyDescent="0.25">
      <c r="A49" s="16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32</v>
      </c>
      <c r="BP49" s="163">
        <f t="shared" ref="BP49" si="45">BO49+BO50</f>
        <v>61</v>
      </c>
      <c r="BQ49" s="159">
        <f t="shared" ref="BQ49" si="46">82-BP49</f>
        <v>21</v>
      </c>
    </row>
    <row r="50" spans="1:69" ht="9.9499999999999993" customHeight="1" x14ac:dyDescent="0.25">
      <c r="A50" s="160"/>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59"/>
    </row>
    <row r="51" spans="1:69" ht="9.9499999999999993" customHeight="1" x14ac:dyDescent="0.25">
      <c r="A51" s="16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63">
        <f t="shared" ref="BP51" si="47">BO51+BO52</f>
        <v>60</v>
      </c>
      <c r="BQ51" s="159">
        <f t="shared" ref="BQ51" si="48">82-BP51</f>
        <v>22</v>
      </c>
    </row>
    <row r="52" spans="1:69" ht="9.9499999999999993" customHeight="1" x14ac:dyDescent="0.25">
      <c r="A52" s="160"/>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63"/>
      <c r="BQ52" s="159"/>
    </row>
    <row r="53" spans="1:69" ht="9.9499999999999993" customHeight="1" x14ac:dyDescent="0.25">
      <c r="A53" s="16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29</v>
      </c>
      <c r="BP53" s="163">
        <f t="shared" ref="BP53" si="49">BO53+BO54</f>
        <v>59</v>
      </c>
      <c r="BQ53" s="159">
        <f t="shared" ref="BQ53" si="50">82-BP53</f>
        <v>23</v>
      </c>
    </row>
    <row r="54" spans="1:69" ht="9.9499999999999993" customHeight="1" x14ac:dyDescent="0.25">
      <c r="A54" s="160"/>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63"/>
      <c r="BQ54" s="159"/>
    </row>
    <row r="55" spans="1:69" ht="9.9499999999999993" customHeight="1" x14ac:dyDescent="0.25">
      <c r="A55" s="16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63">
        <f t="shared" ref="BP55" si="51">BO55+BO56</f>
        <v>59</v>
      </c>
      <c r="BQ55" s="159">
        <f t="shared" ref="BQ55" si="52">82-BP55</f>
        <v>23</v>
      </c>
    </row>
    <row r="56" spans="1:69" ht="9.9499999999999993" customHeight="1" x14ac:dyDescent="0.25">
      <c r="A56" s="160"/>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63"/>
      <c r="BQ56" s="159"/>
    </row>
    <row r="57" spans="1:69" ht="9.9499999999999993" customHeight="1" x14ac:dyDescent="0.25">
      <c r="A57" s="16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63">
        <f t="shared" ref="BP57" si="53">BO57+BO58</f>
        <v>60</v>
      </c>
      <c r="BQ57" s="159">
        <f t="shared" ref="BQ57" si="54">82-BP57</f>
        <v>22</v>
      </c>
    </row>
    <row r="58" spans="1:69" ht="9.9499999999999993" customHeight="1" x14ac:dyDescent="0.25">
      <c r="A58" s="160"/>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63"/>
      <c r="BQ58" s="159"/>
    </row>
    <row r="59" spans="1:69" ht="9.9499999999999993" customHeight="1" x14ac:dyDescent="0.25">
      <c r="A59" s="16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63">
        <f t="shared" ref="BP59" si="55">BO59+BO60</f>
        <v>59</v>
      </c>
      <c r="BQ59" s="159">
        <f t="shared" ref="BQ59" si="56">82-BP59</f>
        <v>23</v>
      </c>
    </row>
    <row r="60" spans="1:69" ht="9.9499999999999993" customHeight="1" x14ac:dyDescent="0.25">
      <c r="A60" s="160"/>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63"/>
      <c r="BQ60" s="159"/>
    </row>
    <row r="61" spans="1:69" ht="9.9499999999999993" customHeight="1" x14ac:dyDescent="0.25">
      <c r="A61" s="16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59</v>
      </c>
      <c r="BQ61" s="159">
        <f t="shared" ref="BQ61" si="58">82-BP61</f>
        <v>23</v>
      </c>
    </row>
    <row r="62" spans="1:69" ht="9.9499999999999993" customHeight="1" x14ac:dyDescent="0.25">
      <c r="A62" s="160"/>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63"/>
      <c r="BQ62" s="159"/>
    </row>
    <row r="63" spans="1:69" ht="9.9499999999999993" customHeight="1" x14ac:dyDescent="0.25">
      <c r="A63" s="16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63">
        <f t="shared" ref="BP63" si="59">BO63+BO64</f>
        <v>61</v>
      </c>
      <c r="BQ63" s="159">
        <f t="shared" ref="BQ63" si="60">82-BP63</f>
        <v>21</v>
      </c>
    </row>
    <row r="64" spans="1:69" ht="9.9499999999999993" customHeight="1" x14ac:dyDescent="0.25">
      <c r="A64" s="160"/>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59"/>
    </row>
    <row r="65" spans="1:69" ht="9.9499999999999993" customHeight="1" x14ac:dyDescent="0.25">
      <c r="A65" s="16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63">
        <f t="shared" ref="BP65" si="61">BO65+BO66</f>
        <v>60</v>
      </c>
      <c r="BQ65" s="159">
        <f t="shared" ref="BQ65" si="62">82-BP65</f>
        <v>22</v>
      </c>
    </row>
    <row r="66" spans="1:69" ht="9.9499999999999993" customHeight="1" x14ac:dyDescent="0.25">
      <c r="A66" s="160"/>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31</v>
      </c>
      <c r="BP66" s="163"/>
      <c r="BQ66" s="15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69" x14ac:dyDescent="0.25">
      <c r="BP68" s="50">
        <f>2*BP67/SUM(BP3:BQ66)</f>
        <v>0.72789634146341464</v>
      </c>
      <c r="BQ68" s="50">
        <f>2*BQ67/SUM(BP3:BQ66)</f>
        <v>0.27210365853658536</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57" t="s">
        <v>46</v>
      </c>
      <c r="D1" s="158"/>
      <c r="E1" s="157" t="s">
        <v>23</v>
      </c>
      <c r="F1" s="158"/>
      <c r="G1" s="157" t="s">
        <v>22</v>
      </c>
      <c r="H1" s="158"/>
      <c r="I1" s="157" t="s">
        <v>27</v>
      </c>
      <c r="J1" s="158"/>
      <c r="K1" s="157" t="s">
        <v>11</v>
      </c>
      <c r="L1" s="158"/>
      <c r="M1" s="157" t="s">
        <v>37</v>
      </c>
      <c r="N1" s="158"/>
      <c r="O1" s="157" t="s">
        <v>24</v>
      </c>
      <c r="P1" s="158"/>
      <c r="Q1" s="157" t="s">
        <v>26</v>
      </c>
      <c r="R1" s="165"/>
      <c r="S1" s="157" t="s">
        <v>16</v>
      </c>
      <c r="T1" s="158"/>
      <c r="U1" s="157" t="s">
        <v>25</v>
      </c>
      <c r="V1" s="158"/>
      <c r="W1" s="157" t="s">
        <v>33</v>
      </c>
      <c r="X1" s="158"/>
      <c r="Y1" s="157" t="s">
        <v>36</v>
      </c>
      <c r="Z1" s="158"/>
      <c r="AA1" s="157" t="s">
        <v>34</v>
      </c>
      <c r="AB1" s="158"/>
      <c r="AC1" s="157" t="s">
        <v>12</v>
      </c>
      <c r="AD1" s="158"/>
      <c r="AE1" s="157" t="s">
        <v>14</v>
      </c>
      <c r="AF1" s="158"/>
      <c r="AG1" s="166" t="s">
        <v>21</v>
      </c>
      <c r="AH1" s="165"/>
      <c r="AI1" s="157" t="s">
        <v>43</v>
      </c>
      <c r="AJ1" s="158"/>
      <c r="AK1" s="157" t="s">
        <v>35</v>
      </c>
      <c r="AL1" s="158"/>
      <c r="AM1" s="157" t="s">
        <v>31</v>
      </c>
      <c r="AN1" s="158"/>
      <c r="AO1" s="157" t="s">
        <v>32</v>
      </c>
      <c r="AP1" s="158"/>
      <c r="AQ1" s="157" t="s">
        <v>19</v>
      </c>
      <c r="AR1" s="158"/>
      <c r="AS1" s="157" t="s">
        <v>44</v>
      </c>
      <c r="AT1" s="158"/>
      <c r="AU1" s="157" t="s">
        <v>20</v>
      </c>
      <c r="AV1" s="158"/>
      <c r="AW1" s="157" t="s">
        <v>45</v>
      </c>
      <c r="AX1" s="165"/>
      <c r="AY1" s="157" t="s">
        <v>15</v>
      </c>
      <c r="AZ1" s="158"/>
      <c r="BA1" s="157" t="s">
        <v>28</v>
      </c>
      <c r="BB1" s="158"/>
      <c r="BC1" s="157" t="s">
        <v>30</v>
      </c>
      <c r="BD1" s="158"/>
      <c r="BE1" s="157" t="s">
        <v>13</v>
      </c>
      <c r="BF1" s="157"/>
      <c r="BG1" s="161" t="s">
        <v>18</v>
      </c>
      <c r="BH1" s="162"/>
      <c r="BI1" s="157" t="s">
        <v>29</v>
      </c>
      <c r="BJ1" s="158"/>
      <c r="BK1" s="157" t="s">
        <v>42</v>
      </c>
      <c r="BL1" s="158"/>
      <c r="BM1" s="157" t="s">
        <v>17</v>
      </c>
      <c r="BN1" s="158"/>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3">
        <f>BO3+BO4</f>
        <v>58</v>
      </c>
      <c r="BQ3" s="159">
        <f>82-BP3</f>
        <v>24</v>
      </c>
      <c r="BR3" s="169">
        <f t="shared" ref="BR3" si="0">BP3/(BP3+BQ3)</f>
        <v>0.70731707317073167</v>
      </c>
    </row>
    <row r="4" spans="1:70" ht="9.9499999999999993" customHeight="1" x14ac:dyDescent="0.25">
      <c r="A4" s="16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63"/>
      <c r="BQ4" s="159"/>
      <c r="BR4" s="169"/>
    </row>
    <row r="5" spans="1:70" ht="9.9499999999999993"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28</v>
      </c>
      <c r="BP5" s="163">
        <f t="shared" ref="BP5" si="2">BO5+BO6</f>
        <v>59</v>
      </c>
      <c r="BQ5" s="159">
        <f t="shared" ref="BQ5" si="3">82-BP5</f>
        <v>23</v>
      </c>
      <c r="BR5" s="169">
        <f t="shared" ref="BR5" si="4">BP5/(BP5+BQ5)</f>
        <v>0.71951219512195119</v>
      </c>
    </row>
    <row r="6" spans="1:70" ht="9.9499999999999993" customHeight="1" x14ac:dyDescent="0.25">
      <c r="A6" s="16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3"/>
      <c r="BQ6" s="159"/>
      <c r="BR6" s="169"/>
    </row>
    <row r="7" spans="1:70" ht="9.9499999999999993"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60</v>
      </c>
      <c r="BQ7" s="159">
        <f t="shared" ref="BQ7" si="6">82-BP7</f>
        <v>22</v>
      </c>
      <c r="BR7" s="169">
        <f t="shared" ref="BR7" si="7">BP7/(BP7+BQ7)</f>
        <v>0.73170731707317072</v>
      </c>
    </row>
    <row r="8" spans="1:70" ht="9.9499999999999993" customHeight="1" x14ac:dyDescent="0.25">
      <c r="A8" s="16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63"/>
      <c r="BQ8" s="159"/>
      <c r="BR8" s="169"/>
    </row>
    <row r="9" spans="1:70" ht="9.9499999999999993"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63">
        <f t="shared" ref="BP9" si="8">BO9+BO10</f>
        <v>57</v>
      </c>
      <c r="BQ9" s="159">
        <f t="shared" ref="BQ9" si="9">82-BP9</f>
        <v>25</v>
      </c>
      <c r="BR9" s="169">
        <f t="shared" ref="BR9" si="10">BP9/(BP9+BQ9)</f>
        <v>0.69512195121951215</v>
      </c>
    </row>
    <row r="10" spans="1:70" ht="9.9499999999999993" customHeight="1" x14ac:dyDescent="0.25">
      <c r="A10" s="16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63"/>
      <c r="BQ10" s="159"/>
      <c r="BR10" s="169"/>
    </row>
    <row r="11" spans="1:70" ht="9.9499999999999993"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3">
        <f t="shared" ref="BP11" si="11">BO11+BO12</f>
        <v>60</v>
      </c>
      <c r="BQ11" s="159">
        <f t="shared" ref="BQ11" si="12">82-BP11</f>
        <v>22</v>
      </c>
      <c r="BR11" s="169">
        <f t="shared" ref="BR11" si="13">BP11/(BP11+BQ11)</f>
        <v>0.73170731707317072</v>
      </c>
    </row>
    <row r="12" spans="1:70" ht="9.9499999999999993" customHeight="1" x14ac:dyDescent="0.25">
      <c r="A12" s="16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63"/>
      <c r="BQ12" s="159"/>
      <c r="BR12" s="169"/>
    </row>
    <row r="13" spans="1:70" ht="9.9499999999999993"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32</v>
      </c>
      <c r="BP13" s="163">
        <f t="shared" ref="BP13" si="14">BO13+BO14</f>
        <v>61</v>
      </c>
      <c r="BQ13" s="159">
        <f t="shared" ref="BQ13" si="15">82-BP13</f>
        <v>21</v>
      </c>
      <c r="BR13" s="169">
        <f t="shared" ref="BR13" si="16">BP13/(BP13+BQ13)</f>
        <v>0.74390243902439024</v>
      </c>
    </row>
    <row r="14" spans="1:70" ht="9.9499999999999993" customHeight="1" x14ac:dyDescent="0.25">
      <c r="A14" s="16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59"/>
      <c r="BR14" s="169"/>
    </row>
    <row r="15" spans="1:70" ht="9.9499999999999993"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63">
        <f t="shared" ref="BP15" si="17">BO15+BO16</f>
        <v>59</v>
      </c>
      <c r="BQ15" s="159">
        <f t="shared" ref="BQ15" si="18">82-BP15</f>
        <v>23</v>
      </c>
      <c r="BR15" s="169">
        <f t="shared" ref="BR15" si="19">BP15/(BP15+BQ15)</f>
        <v>0.71951219512195119</v>
      </c>
    </row>
    <row r="16" spans="1:70" ht="9.9499999999999993" customHeight="1" x14ac:dyDescent="0.25">
      <c r="A16" s="16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63"/>
      <c r="BQ16" s="159"/>
      <c r="BR16" s="169"/>
    </row>
    <row r="17" spans="1:70" ht="9.9499999999999993"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59</v>
      </c>
      <c r="BQ17" s="159">
        <f t="shared" ref="BQ17" si="21">82-BP17</f>
        <v>23</v>
      </c>
      <c r="BR17" s="169">
        <f t="shared" ref="BR17" si="22">BP17/(BP17+BQ17)</f>
        <v>0.71951219512195119</v>
      </c>
    </row>
    <row r="18" spans="1:70" ht="9.9499999999999993" customHeight="1" thickBot="1" x14ac:dyDescent="0.3">
      <c r="A18" s="15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63"/>
      <c r="BQ18" s="159"/>
      <c r="BR18" s="169"/>
    </row>
    <row r="19" spans="1:70" ht="9.9499999999999993" customHeight="1" thickTop="1" x14ac:dyDescent="0.25">
      <c r="A19" s="16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63">
        <f t="shared" ref="BP19" si="23">BO19+BO20</f>
        <v>59</v>
      </c>
      <c r="BQ19" s="159">
        <f t="shared" ref="BQ19" si="24">82-BP19</f>
        <v>23</v>
      </c>
      <c r="BR19" s="169">
        <f t="shared" ref="BR19" si="25">BP19/(BP19+BQ19)</f>
        <v>0.71951219512195119</v>
      </c>
    </row>
    <row r="20" spans="1:70" ht="9.9499999999999993" customHeight="1" x14ac:dyDescent="0.25">
      <c r="A20" s="16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63"/>
      <c r="BQ20" s="159"/>
      <c r="BR20" s="169"/>
    </row>
    <row r="21" spans="1:70" ht="9.9499999999999993"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61</v>
      </c>
      <c r="BQ21" s="159">
        <f t="shared" ref="BQ21" si="27">82-BP21</f>
        <v>21</v>
      </c>
      <c r="BR21" s="169">
        <f t="shared" ref="BR21" si="28">BP21/(BP21+BQ21)</f>
        <v>0.74390243902439024</v>
      </c>
    </row>
    <row r="22" spans="1:70" ht="9.9499999999999993" customHeight="1" x14ac:dyDescent="0.25">
      <c r="A22" s="16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63"/>
      <c r="BQ22" s="159"/>
      <c r="BR22" s="169"/>
    </row>
    <row r="23" spans="1:70" ht="9.9499999999999993"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59</v>
      </c>
      <c r="BQ23" s="159">
        <f t="shared" ref="BQ23" si="30">82-BP23</f>
        <v>23</v>
      </c>
      <c r="BR23" s="169">
        <f t="shared" ref="BR23" si="31">BP23/(BP23+BQ23)</f>
        <v>0.71951219512195119</v>
      </c>
    </row>
    <row r="24" spans="1:70" ht="9.9499999999999993" customHeight="1" x14ac:dyDescent="0.25">
      <c r="A24" s="16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63"/>
      <c r="BQ24" s="159"/>
      <c r="BR24" s="169"/>
    </row>
    <row r="25" spans="1:70" ht="9.9499999999999993"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63">
        <f t="shared" ref="BP25" si="32">BO25+BO26</f>
        <v>60</v>
      </c>
      <c r="BQ25" s="159">
        <f t="shared" ref="BQ25" si="33">82-BP25</f>
        <v>22</v>
      </c>
      <c r="BR25" s="169">
        <f t="shared" ref="BR25" si="34">BP25/(BP25+BQ25)</f>
        <v>0.73170731707317072</v>
      </c>
    </row>
    <row r="26" spans="1:70" ht="9.9499999999999993" customHeight="1" x14ac:dyDescent="0.25">
      <c r="A26" s="16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63"/>
      <c r="BQ26" s="159"/>
      <c r="BR26" s="169"/>
    </row>
    <row r="27" spans="1:70" ht="9.9499999999999993"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29</v>
      </c>
      <c r="BP27" s="163">
        <f t="shared" ref="BP27" si="35">BO27+BO28</f>
        <v>59</v>
      </c>
      <c r="BQ27" s="159">
        <f t="shared" ref="BQ27" si="36">82-BP27</f>
        <v>23</v>
      </c>
      <c r="BR27" s="169">
        <f t="shared" ref="BR27" si="37">BP27/(BP27+BQ27)</f>
        <v>0.71951219512195119</v>
      </c>
    </row>
    <row r="28" spans="1:70" ht="9.9499999999999993" customHeight="1" x14ac:dyDescent="0.25">
      <c r="A28" s="16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3"/>
      <c r="BQ28" s="159"/>
      <c r="BR28" s="169"/>
    </row>
    <row r="29" spans="1:70" ht="9.9499999999999993"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63">
        <f t="shared" ref="BP29" si="38">BO29+BO30</f>
        <v>60</v>
      </c>
      <c r="BQ29" s="159">
        <f t="shared" ref="BQ29" si="39">82-BP29</f>
        <v>22</v>
      </c>
      <c r="BR29" s="169">
        <f t="shared" ref="BR29" si="40">BP29/(BP29+BQ29)</f>
        <v>0.73170731707317072</v>
      </c>
    </row>
    <row r="30" spans="1:70" ht="9.9499999999999993" customHeight="1" x14ac:dyDescent="0.25">
      <c r="A30" s="16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63"/>
      <c r="BQ30" s="159"/>
      <c r="BR30" s="169"/>
    </row>
    <row r="31" spans="1:70" ht="9.9499999999999993"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63">
        <f t="shared" ref="BP31" si="41">BO31+BO32</f>
        <v>60</v>
      </c>
      <c r="BQ31" s="159">
        <f t="shared" ref="BQ31" si="42">82-BP31</f>
        <v>22</v>
      </c>
      <c r="BR31" s="169">
        <f t="shared" ref="BR31" si="43">BP31/(BP31+BQ31)</f>
        <v>0.73170731707317072</v>
      </c>
    </row>
    <row r="32" spans="1:70" ht="9.9499999999999993" customHeight="1" x14ac:dyDescent="0.25">
      <c r="A32" s="16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63"/>
      <c r="BQ32" s="159"/>
      <c r="BR32" s="169"/>
    </row>
    <row r="33" spans="1:70" ht="9.9499999999999993"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63">
        <f t="shared" ref="BP33" si="44">BO33+BO34</f>
        <v>61</v>
      </c>
      <c r="BQ33" s="159">
        <f t="shared" ref="BQ33" si="45">82-BP33</f>
        <v>21</v>
      </c>
      <c r="BR33" s="169">
        <f t="shared" ref="BR33" si="46">BP33/(BP33+BQ33)</f>
        <v>0.74390243902439024</v>
      </c>
    </row>
    <row r="34" spans="1:70" ht="9.9499999999999993" customHeight="1" thickBot="1" x14ac:dyDescent="0.3">
      <c r="A34" s="15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59"/>
      <c r="BR34" s="169"/>
    </row>
    <row r="35" spans="1:70" ht="9.9499999999999993"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63">
        <f t="shared" ref="BP35" si="47">BO35+BO36</f>
        <v>60</v>
      </c>
      <c r="BQ35" s="159">
        <f t="shared" ref="BQ35" si="48">82-BP35</f>
        <v>22</v>
      </c>
      <c r="BR35" s="169">
        <f t="shared" ref="BR35" si="49">BP35/(BP35+BQ35)</f>
        <v>0.73170731707317072</v>
      </c>
    </row>
    <row r="36" spans="1:70" ht="9.9499999999999993" customHeight="1" x14ac:dyDescent="0.25">
      <c r="A36" s="16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30</v>
      </c>
      <c r="BP36" s="163"/>
      <c r="BQ36" s="159"/>
      <c r="BR36" s="169"/>
    </row>
    <row r="37" spans="1:70" ht="9.9499999999999993"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63">
        <f t="shared" ref="BP37" si="50">BO37+BO38</f>
        <v>60</v>
      </c>
      <c r="BQ37" s="159">
        <f t="shared" ref="BQ37" si="51">82-BP37</f>
        <v>22</v>
      </c>
      <c r="BR37" s="169">
        <f t="shared" ref="BR37" si="52">BP37/(BP37+BQ37)</f>
        <v>0.73170731707317072</v>
      </c>
    </row>
    <row r="38" spans="1:70" ht="9.9499999999999993" customHeight="1" x14ac:dyDescent="0.25">
      <c r="A38" s="16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59"/>
      <c r="BR38" s="169"/>
    </row>
    <row r="39" spans="1:70" ht="9.9499999999999993"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63">
        <f t="shared" ref="BP39" si="53">BO39+BO40</f>
        <v>60</v>
      </c>
      <c r="BQ39" s="159">
        <f t="shared" ref="BQ39" si="54">82-BP39</f>
        <v>22</v>
      </c>
      <c r="BR39" s="169">
        <f t="shared" ref="BR39" si="55">BP39/(BP39+BQ39)</f>
        <v>0.73170731707317072</v>
      </c>
    </row>
    <row r="40" spans="1:70" ht="9.9499999999999993" customHeight="1" x14ac:dyDescent="0.25">
      <c r="A40" s="16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3"/>
      <c r="BQ40" s="159"/>
      <c r="BR40" s="169"/>
    </row>
    <row r="41" spans="1:70" ht="9.9499999999999993"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63">
        <f t="shared" ref="BP41" si="56">BO41+BO42</f>
        <v>59</v>
      </c>
      <c r="BQ41" s="159">
        <f t="shared" ref="BQ41" si="57">82-BP41</f>
        <v>23</v>
      </c>
      <c r="BR41" s="169">
        <f t="shared" ref="BR41" si="58">BP41/(BP41+BQ41)</f>
        <v>0.71951219512195119</v>
      </c>
    </row>
    <row r="42" spans="1:70" ht="9.9499999999999993" customHeight="1" x14ac:dyDescent="0.25">
      <c r="A42" s="16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63"/>
      <c r="BQ42" s="159"/>
      <c r="BR42" s="169"/>
    </row>
    <row r="43" spans="1:70" ht="9.9499999999999993"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3">
        <f t="shared" ref="BP43" si="59">BO43+BO44</f>
        <v>59</v>
      </c>
      <c r="BQ43" s="159">
        <f t="shared" ref="BQ43" si="60">82-BP43</f>
        <v>23</v>
      </c>
      <c r="BR43" s="169">
        <f t="shared" ref="BR43" si="61">BP43/(BP43+BQ43)</f>
        <v>0.71951219512195119</v>
      </c>
    </row>
    <row r="44" spans="1:70" ht="9.9499999999999993" customHeight="1" x14ac:dyDescent="0.25">
      <c r="A44" s="16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63"/>
      <c r="BQ44" s="159"/>
      <c r="BR44" s="169"/>
    </row>
    <row r="45" spans="1:70" ht="9.9499999999999993"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61</v>
      </c>
      <c r="BQ45" s="159">
        <f t="shared" ref="BQ45" si="63">82-BP45</f>
        <v>21</v>
      </c>
      <c r="BR45" s="169">
        <f t="shared" ref="BR45" si="64">BP45/(BP45+BQ45)</f>
        <v>0.74390243902439024</v>
      </c>
    </row>
    <row r="46" spans="1:70" ht="9.9499999999999993" customHeight="1" x14ac:dyDescent="0.25">
      <c r="A46" s="16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63"/>
      <c r="BQ46" s="159"/>
      <c r="BR46" s="169"/>
    </row>
    <row r="47" spans="1:70" ht="9.9499999999999993"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63">
        <f t="shared" ref="BP47" si="65">BO47+BO48</f>
        <v>62</v>
      </c>
      <c r="BQ47" s="159">
        <f t="shared" ref="BQ47" si="66">82-BP47</f>
        <v>20</v>
      </c>
      <c r="BR47" s="169">
        <f t="shared" ref="BR47" si="67">BP47/(BP47+BQ47)</f>
        <v>0.75609756097560976</v>
      </c>
    </row>
    <row r="48" spans="1:70" ht="9.9499999999999993" customHeight="1" x14ac:dyDescent="0.25">
      <c r="A48" s="16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31</v>
      </c>
      <c r="BP48" s="163"/>
      <c r="BQ48" s="159"/>
      <c r="BR48" s="169"/>
    </row>
    <row r="49" spans="1:70" ht="9.9499999999999993"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63">
        <f t="shared" ref="BP49" si="68">BO49+BO50</f>
        <v>60</v>
      </c>
      <c r="BQ49" s="159">
        <f t="shared" ref="BQ49" si="69">82-BP49</f>
        <v>22</v>
      </c>
      <c r="BR49" s="169">
        <f t="shared" ref="BR49" si="70">BP49/(BP49+BQ49)</f>
        <v>0.73170731707317072</v>
      </c>
    </row>
    <row r="50" spans="1:70" ht="9.9499999999999993" customHeight="1" thickBot="1" x14ac:dyDescent="0.3">
      <c r="A50" s="16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31</v>
      </c>
      <c r="BP50" s="163"/>
      <c r="BQ50" s="159"/>
      <c r="BR50" s="169"/>
    </row>
    <row r="51" spans="1:70" ht="9.9499999999999993" customHeight="1" thickTop="1" x14ac:dyDescent="0.25">
      <c r="A51" s="15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28</v>
      </c>
      <c r="BP51" s="163">
        <f t="shared" ref="BP51" si="71">BO51+BO52</f>
        <v>61</v>
      </c>
      <c r="BQ51" s="159">
        <f t="shared" ref="BQ51" si="72">82-BP51</f>
        <v>21</v>
      </c>
      <c r="BR51" s="169">
        <f t="shared" ref="BR51" si="73">BP51/(BP51+BQ51)</f>
        <v>0.74390243902439024</v>
      </c>
    </row>
    <row r="52" spans="1:70" ht="9.9499999999999993" customHeight="1" x14ac:dyDescent="0.25">
      <c r="A52" s="16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63"/>
      <c r="BQ52" s="159"/>
      <c r="BR52" s="169"/>
    </row>
    <row r="53" spans="1:70" ht="9.9499999999999993"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63">
        <f t="shared" ref="BP53" si="74">BO53+BO54</f>
        <v>58</v>
      </c>
      <c r="BQ53" s="159">
        <f t="shared" ref="BQ53" si="75">82-BP53</f>
        <v>24</v>
      </c>
      <c r="BR53" s="169">
        <f t="shared" ref="BR53" si="76">BP53/(BP53+BQ53)</f>
        <v>0.70731707317073167</v>
      </c>
    </row>
    <row r="54" spans="1:70" ht="9.9499999999999993" customHeight="1" x14ac:dyDescent="0.25">
      <c r="A54" s="16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31</v>
      </c>
      <c r="BP54" s="163"/>
      <c r="BQ54" s="159"/>
      <c r="BR54" s="169"/>
    </row>
    <row r="55" spans="1:70" ht="9.9499999999999993"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3">
        <f t="shared" ref="BP55" si="77">BO55+BO56</f>
        <v>60</v>
      </c>
      <c r="BQ55" s="159">
        <f t="shared" ref="BQ55" si="78">82-BP55</f>
        <v>22</v>
      </c>
      <c r="BR55" s="169">
        <f t="shared" ref="BR55" si="79">BP55/(BP55+BQ55)</f>
        <v>0.73170731707317072</v>
      </c>
    </row>
    <row r="56" spans="1:70" ht="9.9499999999999993" customHeight="1" x14ac:dyDescent="0.25">
      <c r="A56" s="16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63"/>
      <c r="BQ56" s="159"/>
      <c r="BR56" s="169"/>
    </row>
    <row r="57" spans="1:70" ht="9.9499999999999993"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61</v>
      </c>
      <c r="BQ57" s="159">
        <f t="shared" ref="BQ57" si="81">82-BP57</f>
        <v>21</v>
      </c>
      <c r="BR57" s="169">
        <f t="shared" ref="BR57" si="82">BP57/(BP57+BQ57)</f>
        <v>0.74390243902439024</v>
      </c>
    </row>
    <row r="58" spans="1:70" ht="9.9499999999999993" customHeight="1" x14ac:dyDescent="0.25">
      <c r="A58" s="16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31</v>
      </c>
      <c r="BP58" s="163"/>
      <c r="BQ58" s="159"/>
      <c r="BR58" s="169"/>
    </row>
    <row r="59" spans="1:70" ht="9.9499999999999993"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3">
        <f t="shared" ref="BP59" si="83">BO59+BO60</f>
        <v>60</v>
      </c>
      <c r="BQ59" s="159">
        <f t="shared" ref="BQ59" si="84">82-BP59</f>
        <v>22</v>
      </c>
      <c r="BR59" s="169">
        <f t="shared" ref="BR59" si="85">BP59/(BP59+BQ59)</f>
        <v>0.73170731707317072</v>
      </c>
    </row>
    <row r="60" spans="1:70" ht="9.9499999999999993" customHeight="1" x14ac:dyDescent="0.25">
      <c r="A60" s="16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63"/>
      <c r="BQ60" s="159"/>
      <c r="BR60" s="169"/>
    </row>
    <row r="61" spans="1:70" ht="9.9499999999999993"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63">
        <f t="shared" ref="BP61" si="86">BO61+BO62</f>
        <v>59</v>
      </c>
      <c r="BQ61" s="159">
        <f t="shared" ref="BQ61" si="87">82-BP61</f>
        <v>23</v>
      </c>
      <c r="BR61" s="169">
        <f t="shared" ref="BR61" si="88">BP61/(BP61+BQ61)</f>
        <v>0.71951219512195119</v>
      </c>
    </row>
    <row r="62" spans="1:70" ht="9.9499999999999993" customHeight="1" x14ac:dyDescent="0.25">
      <c r="A62" s="16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3"/>
      <c r="BQ62" s="159"/>
      <c r="BR62" s="169"/>
    </row>
    <row r="63" spans="1:70" ht="9.9499999999999993"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29</v>
      </c>
      <c r="BP63" s="163">
        <f t="shared" ref="BP63" si="89">BO63+BO64</f>
        <v>59</v>
      </c>
      <c r="BQ63" s="159">
        <f t="shared" ref="BQ63" si="90">82-BP63</f>
        <v>23</v>
      </c>
      <c r="BR63" s="169">
        <f t="shared" ref="BR63" si="91">BP63/(BP63+BQ63)</f>
        <v>0.71951219512195119</v>
      </c>
    </row>
    <row r="64" spans="1:70" ht="9.9499999999999993" customHeight="1" x14ac:dyDescent="0.25">
      <c r="A64" s="16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63"/>
      <c r="BQ64" s="159"/>
      <c r="BR64" s="169"/>
    </row>
    <row r="65" spans="1:70" ht="9.9499999999999993"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63">
        <f t="shared" ref="BP65" si="92">BO65+BO66</f>
        <v>59</v>
      </c>
      <c r="BQ65" s="159">
        <f t="shared" ref="BQ65" si="93">82-BP65</f>
        <v>23</v>
      </c>
      <c r="BR65" s="169">
        <f>BP65/(BP65+BQ65)</f>
        <v>0.71951219512195119</v>
      </c>
    </row>
    <row r="66" spans="1:70" ht="9.9499999999999993" customHeight="1" x14ac:dyDescent="0.25">
      <c r="A66" s="16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63"/>
      <c r="BQ66" s="159"/>
      <c r="BR66" s="16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70" x14ac:dyDescent="0.25">
      <c r="BP68" s="50">
        <f>2*BP67/SUM(BP3:BQ66)</f>
        <v>0.72789634146341464</v>
      </c>
      <c r="BQ68" s="50">
        <f>2*BQ67/SUM(BP3:BQ66)</f>
        <v>0.27210365853658536</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63">
        <f>BO3+BO4</f>
        <v>48</v>
      </c>
      <c r="BQ3" s="159">
        <f>82-BP3</f>
        <v>34</v>
      </c>
      <c r="BT3" s="44">
        <f>DataRegularSeason20242025!$A$3:$A$8</f>
        <v>45569</v>
      </c>
    </row>
    <row r="4" spans="1:72" s="34" customFormat="1" ht="9.9499999999999993" customHeight="1" x14ac:dyDescent="0.2">
      <c r="A4" s="160"/>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63"/>
      <c r="BQ4" s="159"/>
      <c r="BT4" s="34" t="e">
        <f>D</f>
        <v>#NAME?</v>
      </c>
    </row>
    <row r="5" spans="1:72" s="34" customFormat="1" ht="9.9499999999999993" customHeight="1" x14ac:dyDescent="0.2">
      <c r="A5" s="16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27</v>
      </c>
      <c r="BP5" s="163">
        <f t="shared" ref="BP5" si="1">BO5+BO6</f>
        <v>57</v>
      </c>
      <c r="BQ5" s="159">
        <f t="shared" ref="BQ5" si="2">82-BP5</f>
        <v>25</v>
      </c>
    </row>
    <row r="6" spans="1:72" s="34" customFormat="1" ht="9.9499999999999993" customHeight="1" x14ac:dyDescent="0.2">
      <c r="A6" s="160"/>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63"/>
      <c r="BQ6" s="159"/>
    </row>
    <row r="7" spans="1:72" s="34" customFormat="1" ht="9.9499999999999993" customHeight="1" x14ac:dyDescent="0.2">
      <c r="A7" s="16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63">
        <f t="shared" ref="BP7" si="3">BO7+BO8</f>
        <v>46</v>
      </c>
      <c r="BQ7" s="159">
        <f t="shared" ref="BQ7" si="4">82-BP7</f>
        <v>36</v>
      </c>
    </row>
    <row r="8" spans="1:72" s="34" customFormat="1" ht="9.9499999999999993" customHeight="1" x14ac:dyDescent="0.2">
      <c r="A8" s="160"/>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25</v>
      </c>
      <c r="BP8" s="163"/>
      <c r="BQ8" s="159"/>
    </row>
    <row r="9" spans="1:72" s="34" customFormat="1" ht="9.9499999999999993" customHeight="1" x14ac:dyDescent="0.2">
      <c r="A9" s="16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63">
        <f t="shared" ref="BP9" si="5">BO9+BO10</f>
        <v>53</v>
      </c>
      <c r="BQ9" s="159">
        <f t="shared" ref="BQ9" si="6">82-BP9</f>
        <v>29</v>
      </c>
    </row>
    <row r="10" spans="1:72" s="34" customFormat="1" ht="9.9499999999999993" customHeight="1" x14ac:dyDescent="0.2">
      <c r="A10" s="160"/>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28</v>
      </c>
      <c r="BP10" s="163"/>
      <c r="BQ10" s="159"/>
    </row>
    <row r="11" spans="1:72" s="34" customFormat="1" ht="9.9499999999999993" customHeight="1" x14ac:dyDescent="0.2">
      <c r="A11" s="16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63">
        <f t="shared" ref="BP11" si="7">BO11+BO12</f>
        <v>51</v>
      </c>
      <c r="BQ11" s="159">
        <f t="shared" ref="BQ11" si="8">82-BP11</f>
        <v>31</v>
      </c>
    </row>
    <row r="12" spans="1:72" s="34" customFormat="1" ht="9.9499999999999993" customHeight="1" x14ac:dyDescent="0.2">
      <c r="A12" s="160"/>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63"/>
      <c r="BQ12" s="159"/>
    </row>
    <row r="13" spans="1:72" s="34" customFormat="1" ht="9.9499999999999993" customHeight="1" x14ac:dyDescent="0.2">
      <c r="A13" s="16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26</v>
      </c>
      <c r="BP13" s="163">
        <f t="shared" ref="BP13" si="9">BO13+BO14</f>
        <v>56</v>
      </c>
      <c r="BQ13" s="159">
        <f t="shared" ref="BQ13" si="10">82-BP13</f>
        <v>26</v>
      </c>
    </row>
    <row r="14" spans="1:72" s="34" customFormat="1" ht="9.9499999999999993" customHeight="1" x14ac:dyDescent="0.2">
      <c r="A14" s="160"/>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63"/>
      <c r="BQ14" s="159"/>
    </row>
    <row r="15" spans="1:72" s="34" customFormat="1" ht="9.9499999999999993" customHeight="1" x14ac:dyDescent="0.2">
      <c r="A15" s="16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63">
        <f t="shared" ref="BP15" si="11">BO15+BO16</f>
        <v>53</v>
      </c>
      <c r="BQ15" s="159">
        <f t="shared" ref="BQ15" si="12">82-BP15</f>
        <v>29</v>
      </c>
    </row>
    <row r="16" spans="1:72" s="34" customFormat="1" ht="9.9499999999999993" customHeight="1" x14ac:dyDescent="0.2">
      <c r="A16" s="160"/>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63"/>
      <c r="BQ16" s="159"/>
    </row>
    <row r="17" spans="1:69" s="34" customFormat="1" ht="9.9499999999999993" customHeight="1" x14ac:dyDescent="0.2">
      <c r="A17" s="16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63">
        <f t="shared" ref="BP17" si="13">BO17+BO18</f>
        <v>55</v>
      </c>
      <c r="BQ17" s="159">
        <f t="shared" ref="BQ17" si="14">82-BP17</f>
        <v>27</v>
      </c>
    </row>
    <row r="18" spans="1:69" s="34" customFormat="1" ht="9.9499999999999993" customHeight="1" x14ac:dyDescent="0.2">
      <c r="A18" s="160"/>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63"/>
      <c r="BQ18" s="159"/>
    </row>
    <row r="19" spans="1:69" s="34" customFormat="1" ht="9.9499999999999993" customHeight="1" x14ac:dyDescent="0.2">
      <c r="A19" s="16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63">
        <f t="shared" ref="BP19" si="15">BO19+BO20</f>
        <v>48</v>
      </c>
      <c r="BQ19" s="159">
        <f t="shared" ref="BQ19" si="16">82-BP19</f>
        <v>34</v>
      </c>
    </row>
    <row r="20" spans="1:69" s="34" customFormat="1" ht="9.9499999999999993" customHeight="1" x14ac:dyDescent="0.2">
      <c r="A20" s="160"/>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63"/>
      <c r="BQ20" s="159"/>
    </row>
    <row r="21" spans="1:69" s="34" customFormat="1" ht="9.9499999999999993" customHeight="1" x14ac:dyDescent="0.2">
      <c r="A21" s="16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63">
        <f t="shared" ref="BP21" si="17">BO21+BO22</f>
        <v>50</v>
      </c>
      <c r="BQ21" s="159">
        <f t="shared" ref="BQ21" si="18">82-BP21</f>
        <v>32</v>
      </c>
    </row>
    <row r="22" spans="1:69" s="34" customFormat="1" ht="9.9499999999999993" customHeight="1" x14ac:dyDescent="0.2">
      <c r="A22" s="160"/>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63"/>
      <c r="BQ22" s="159"/>
    </row>
    <row r="23" spans="1:69" s="34" customFormat="1" ht="9.9499999999999993" customHeight="1" x14ac:dyDescent="0.2">
      <c r="A23" s="16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29</v>
      </c>
      <c r="BP23" s="163">
        <f t="shared" ref="BP23" si="19">BO23+BO24</f>
        <v>57</v>
      </c>
      <c r="BQ23" s="159">
        <f t="shared" ref="BQ23" si="20">82-BP23</f>
        <v>25</v>
      </c>
    </row>
    <row r="24" spans="1:69" s="34" customFormat="1" ht="9.9499999999999993" customHeight="1" x14ac:dyDescent="0.2">
      <c r="A24" s="160"/>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63"/>
      <c r="BQ24" s="159"/>
    </row>
    <row r="25" spans="1:69" s="34" customFormat="1" ht="9.9499999999999993" customHeight="1" x14ac:dyDescent="0.2">
      <c r="A25" s="16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63">
        <f t="shared" ref="BP25" si="21">BO25+BO26</f>
        <v>59</v>
      </c>
      <c r="BQ25" s="159">
        <f t="shared" ref="BQ25" si="22">82-BP25</f>
        <v>23</v>
      </c>
    </row>
    <row r="26" spans="1:69" s="34" customFormat="1" ht="9.9499999999999993" customHeight="1" x14ac:dyDescent="0.2">
      <c r="A26" s="160"/>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30</v>
      </c>
      <c r="BP26" s="163"/>
      <c r="BQ26" s="159"/>
    </row>
    <row r="27" spans="1:69" s="34" customFormat="1" ht="9.9499999999999993" customHeight="1" x14ac:dyDescent="0.2">
      <c r="A27" s="16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63">
        <f t="shared" ref="BP27" si="23">BO27+BO28</f>
        <v>50</v>
      </c>
      <c r="BQ27" s="159">
        <f t="shared" ref="BQ27" si="24">82-BP27</f>
        <v>32</v>
      </c>
    </row>
    <row r="28" spans="1:69" s="34" customFormat="1" ht="9.9499999999999993" customHeight="1" x14ac:dyDescent="0.2">
      <c r="A28" s="160"/>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63"/>
      <c r="BQ28" s="159"/>
    </row>
    <row r="29" spans="1:69" s="34" customFormat="1" ht="9.9499999999999993" customHeight="1" x14ac:dyDescent="0.2">
      <c r="A29" s="16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63">
        <f t="shared" ref="BP29" si="25">BO29+BO30</f>
        <v>53</v>
      </c>
      <c r="BQ29" s="159">
        <f t="shared" ref="BQ29" si="26">82-BP29</f>
        <v>29</v>
      </c>
    </row>
    <row r="30" spans="1:69" s="34" customFormat="1" ht="9.9499999999999993" customHeight="1" x14ac:dyDescent="0.2">
      <c r="A30" s="160"/>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63"/>
      <c r="BQ30" s="159"/>
    </row>
    <row r="31" spans="1:69" s="34" customFormat="1" ht="9.9499999999999993" customHeight="1" x14ac:dyDescent="0.2">
      <c r="A31" s="16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63">
        <f t="shared" ref="BP31" si="27">BO31+BO32</f>
        <v>20</v>
      </c>
      <c r="BQ31" s="159">
        <f t="shared" ref="BQ31" si="28">82-BP31</f>
        <v>62</v>
      </c>
    </row>
    <row r="32" spans="1:69" s="34" customFormat="1" ht="9.9499999999999993" customHeight="1" x14ac:dyDescent="0.2">
      <c r="A32" s="160"/>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63"/>
      <c r="BQ32" s="159"/>
    </row>
    <row r="33" spans="1:69" s="34" customFormat="1" ht="9.9499999999999993" customHeight="1" x14ac:dyDescent="0.2">
      <c r="A33" s="16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63">
        <f t="shared" ref="BP33" si="29">BO33+BO34</f>
        <v>50</v>
      </c>
      <c r="BQ33" s="159">
        <f t="shared" ref="BQ33" si="30">82-BP33</f>
        <v>32</v>
      </c>
    </row>
    <row r="34" spans="1:69" s="34" customFormat="1" ht="9.9499999999999993" customHeight="1" x14ac:dyDescent="0.2">
      <c r="A34" s="160"/>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63"/>
      <c r="BQ34" s="159"/>
    </row>
    <row r="35" spans="1:69" s="34" customFormat="1" ht="9.9499999999999993" customHeight="1" x14ac:dyDescent="0.2">
      <c r="A35" s="16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27</v>
      </c>
      <c r="BP35" s="163">
        <f t="shared" ref="BP35" si="31">BO35+BO36</f>
        <v>54</v>
      </c>
      <c r="BQ35" s="159">
        <f t="shared" ref="BQ35" si="32">82-BP35</f>
        <v>28</v>
      </c>
    </row>
    <row r="36" spans="1:69" s="34" customFormat="1" ht="9.9499999999999993" customHeight="1" x14ac:dyDescent="0.2">
      <c r="A36" s="160"/>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63"/>
      <c r="BQ36" s="159"/>
    </row>
    <row r="37" spans="1:69" s="34" customFormat="1" ht="9.9499999999999993" customHeight="1" x14ac:dyDescent="0.2">
      <c r="A37" s="16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63">
        <f t="shared" ref="BP37" si="33">BO37+BO38</f>
        <v>48</v>
      </c>
      <c r="BQ37" s="159">
        <f t="shared" ref="BQ37" si="34">82-BP37</f>
        <v>34</v>
      </c>
    </row>
    <row r="38" spans="1:69" s="34" customFormat="1" ht="9.9499999999999993" customHeight="1" x14ac:dyDescent="0.2">
      <c r="A38" s="160"/>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63"/>
      <c r="BQ38" s="159"/>
    </row>
    <row r="39" spans="1:69" s="34" customFormat="1" ht="9.9499999999999993" customHeight="1" x14ac:dyDescent="0.2">
      <c r="A39" s="16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63">
        <f t="shared" ref="BP39" si="35">BO39+BO40</f>
        <v>50</v>
      </c>
      <c r="BQ39" s="159">
        <f t="shared" ref="BQ39" si="36">82-BP39</f>
        <v>32</v>
      </c>
    </row>
    <row r="40" spans="1:69" s="34" customFormat="1" ht="9.9499999999999993" customHeight="1" x14ac:dyDescent="0.2">
      <c r="A40" s="160"/>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63"/>
      <c r="BQ40" s="159"/>
    </row>
    <row r="41" spans="1:69" s="34" customFormat="1" ht="9.9499999999999993" customHeight="1" x14ac:dyDescent="0.2">
      <c r="A41" s="16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63">
        <f t="shared" ref="BP41" si="37">BO41+BO42</f>
        <v>19</v>
      </c>
      <c r="BQ41" s="159">
        <f t="shared" ref="BQ41" si="38">82-BP41</f>
        <v>63</v>
      </c>
    </row>
    <row r="42" spans="1:69" s="34" customFormat="1" ht="9.9499999999999993" customHeight="1" x14ac:dyDescent="0.2">
      <c r="A42" s="160"/>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12</v>
      </c>
      <c r="BP42" s="163"/>
      <c r="BQ42" s="159"/>
    </row>
    <row r="43" spans="1:69" s="34" customFormat="1" ht="9.9499999999999993" customHeight="1" x14ac:dyDescent="0.2">
      <c r="A43" s="16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0"/>
        <v>29</v>
      </c>
      <c r="BP43" s="163">
        <f t="shared" ref="BP43" si="39">BO43+BO44</f>
        <v>55</v>
      </c>
      <c r="BQ43" s="159">
        <f t="shared" ref="BQ43" si="40">82-BP43</f>
        <v>27</v>
      </c>
    </row>
    <row r="44" spans="1:69" s="34" customFormat="1" ht="9.9499999999999993" customHeight="1" x14ac:dyDescent="0.2">
      <c r="A44" s="160"/>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63"/>
      <c r="BQ44" s="159"/>
    </row>
    <row r="45" spans="1:69" s="34" customFormat="1" ht="9.9499999999999993" customHeight="1" x14ac:dyDescent="0.2">
      <c r="A45" s="16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63">
        <f t="shared" ref="BP45" si="41">BO45+BO46</f>
        <v>57</v>
      </c>
      <c r="BQ45" s="159">
        <f t="shared" ref="BQ45" si="42">82-BP45</f>
        <v>25</v>
      </c>
    </row>
    <row r="46" spans="1:69" s="34" customFormat="1" ht="9.9499999999999993" customHeight="1" x14ac:dyDescent="0.2">
      <c r="A46" s="160"/>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29</v>
      </c>
      <c r="BP46" s="163"/>
      <c r="BQ46" s="159"/>
    </row>
    <row r="47" spans="1:69" s="34" customFormat="1" ht="9.9499999999999993" customHeight="1" x14ac:dyDescent="0.2">
      <c r="A47" s="16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63">
        <f t="shared" ref="BP47" si="43">BO47+BO48</f>
        <v>51</v>
      </c>
      <c r="BQ47" s="159">
        <f t="shared" ref="BQ47" si="44">82-BP47</f>
        <v>31</v>
      </c>
    </row>
    <row r="48" spans="1:69" s="34" customFormat="1" ht="9.9499999999999993" customHeight="1" x14ac:dyDescent="0.2">
      <c r="A48" s="160"/>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63"/>
      <c r="BQ48" s="159"/>
    </row>
    <row r="49" spans="1:69" s="34" customFormat="1" ht="9.9499999999999993" customHeight="1" x14ac:dyDescent="0.2">
      <c r="A49" s="16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26</v>
      </c>
      <c r="BP49" s="163">
        <f t="shared" ref="BP49" si="45">BO49+BO50</f>
        <v>50</v>
      </c>
      <c r="BQ49" s="159">
        <f t="shared" ref="BQ49" si="46">82-BP49</f>
        <v>32</v>
      </c>
    </row>
    <row r="50" spans="1:69" s="34" customFormat="1" ht="9.9499999999999993" customHeight="1" x14ac:dyDescent="0.2">
      <c r="A50" s="160"/>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63"/>
      <c r="BQ50" s="159"/>
    </row>
    <row r="51" spans="1:69" s="34" customFormat="1" ht="9.9499999999999993" customHeight="1" x14ac:dyDescent="0.2">
      <c r="A51" s="16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63">
        <f t="shared" ref="BP51" si="47">BO51+BO52</f>
        <v>52</v>
      </c>
      <c r="BQ51" s="159">
        <f t="shared" ref="BQ51" si="48">82-BP51</f>
        <v>30</v>
      </c>
    </row>
    <row r="52" spans="1:69" s="34" customFormat="1" ht="9.9499999999999993" customHeight="1" x14ac:dyDescent="0.2">
      <c r="A52" s="160"/>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63"/>
      <c r="BQ52" s="159"/>
    </row>
    <row r="53" spans="1:69" s="34" customFormat="1" ht="9.9499999999999993" customHeight="1" x14ac:dyDescent="0.2">
      <c r="A53" s="16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26</v>
      </c>
      <c r="BP53" s="163">
        <f t="shared" ref="BP53" si="49">BO53+BO54</f>
        <v>49</v>
      </c>
      <c r="BQ53" s="159">
        <f t="shared" ref="BQ53" si="50">82-BP53</f>
        <v>33</v>
      </c>
    </row>
    <row r="54" spans="1:69" s="34" customFormat="1" ht="9.9499999999999993" customHeight="1" x14ac:dyDescent="0.2">
      <c r="A54" s="160"/>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63"/>
      <c r="BQ54" s="159"/>
    </row>
    <row r="55" spans="1:69" s="34" customFormat="1" ht="9.9499999999999993" customHeight="1" x14ac:dyDescent="0.2">
      <c r="A55" s="16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63">
        <f t="shared" ref="BP55" si="51">BO55+BO56</f>
        <v>51</v>
      </c>
      <c r="BQ55" s="159">
        <f t="shared" ref="BQ55" si="52">82-BP55</f>
        <v>31</v>
      </c>
    </row>
    <row r="56" spans="1:69" s="34" customFormat="1" ht="9.9499999999999993" customHeight="1" x14ac:dyDescent="0.2">
      <c r="A56" s="160"/>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63"/>
      <c r="BQ56" s="159"/>
    </row>
    <row r="57" spans="1:69" s="34" customFormat="1" ht="9.9499999999999993" customHeight="1" x14ac:dyDescent="0.2">
      <c r="A57" s="16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63">
        <f t="shared" ref="BP57" si="53">BO57+BO58</f>
        <v>52</v>
      </c>
      <c r="BQ57" s="159">
        <f t="shared" ref="BQ57" si="54">82-BP57</f>
        <v>30</v>
      </c>
    </row>
    <row r="58" spans="1:69" s="34" customFormat="1" ht="9.9499999999999993" customHeight="1" x14ac:dyDescent="0.2">
      <c r="A58" s="160"/>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63"/>
      <c r="BQ58" s="159"/>
    </row>
    <row r="59" spans="1:69" s="34" customFormat="1" ht="9.9499999999999993" customHeight="1" x14ac:dyDescent="0.2">
      <c r="A59" s="16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63">
        <f t="shared" ref="BP59" si="55">BO59+BO60</f>
        <v>55</v>
      </c>
      <c r="BQ59" s="159">
        <f t="shared" ref="BQ59" si="56">82-BP59</f>
        <v>27</v>
      </c>
    </row>
    <row r="60" spans="1:69" s="34" customFormat="1" ht="9.9499999999999993" customHeight="1" x14ac:dyDescent="0.2">
      <c r="A60" s="160"/>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63"/>
      <c r="BQ60" s="159"/>
    </row>
    <row r="61" spans="1:69" s="34" customFormat="1" ht="9.9499999999999993" customHeight="1" x14ac:dyDescent="0.2">
      <c r="A61" s="16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63">
        <f t="shared" ref="BP61" si="57">BO61+BO62</f>
        <v>51</v>
      </c>
      <c r="BQ61" s="159">
        <f t="shared" ref="BQ61" si="58">82-BP61</f>
        <v>31</v>
      </c>
    </row>
    <row r="62" spans="1:69" s="34" customFormat="1" ht="9.9499999999999993" customHeight="1" x14ac:dyDescent="0.2">
      <c r="A62" s="160"/>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63"/>
      <c r="BQ62" s="159"/>
    </row>
    <row r="63" spans="1:69" s="34" customFormat="1" ht="9.9499999999999993" customHeight="1" x14ac:dyDescent="0.2">
      <c r="A63" s="16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63">
        <f t="shared" ref="BP63" si="59">BO63+BO64</f>
        <v>57</v>
      </c>
      <c r="BQ63" s="159">
        <f t="shared" ref="BQ63" si="60">82-BP63</f>
        <v>25</v>
      </c>
    </row>
    <row r="64" spans="1:69" s="34" customFormat="1" ht="9.9499999999999993" customHeight="1" x14ac:dyDescent="0.2">
      <c r="A64" s="160"/>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32</v>
      </c>
      <c r="BP64" s="163"/>
      <c r="BQ64" s="159"/>
    </row>
    <row r="65" spans="1:69" s="34" customFormat="1" ht="9.9499999999999993" customHeight="1" x14ac:dyDescent="0.2">
      <c r="A65" s="16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63">
        <f t="shared" ref="BP65" si="61">BO65+BO66</f>
        <v>51</v>
      </c>
      <c r="BQ65" s="159">
        <f t="shared" ref="BQ65" si="62">82-BP65</f>
        <v>31</v>
      </c>
    </row>
    <row r="66" spans="1:69" s="34" customFormat="1" ht="9.9499999999999993" customHeight="1" x14ac:dyDescent="0.2">
      <c r="A66" s="160"/>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63"/>
      <c r="BQ66" s="159"/>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804</v>
      </c>
      <c r="BQ67" s="33">
        <f>SUM(BQ3:BQ66)/2</f>
        <v>508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AP17" sqref="AP17"/>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57</v>
      </c>
      <c r="E2" s="15">
        <f>Table3[[#This Row],[Watched]]/Table3[[#This Row],[GP]]</f>
        <v>0.93442622950819676</v>
      </c>
      <c r="F2">
        <f>COUNTIFS(DataRegularSeason20242025!$N$3:$N$1315,1,DataRegularSeason20242025!$D$3:$D$1315,$A2)</f>
        <v>29</v>
      </c>
      <c r="G2">
        <f>41-Table3[[#This Row],[GP_A]]</f>
        <v>12</v>
      </c>
      <c r="H2">
        <f>COUNTIFS(DataRegularSeason20242025!$E$3:$E$1315,$A2,DataRegularSeason20242025!$N$3:$N$1315,1)</f>
        <v>32</v>
      </c>
      <c r="I2">
        <f>41-Table3[[#This Row],[GP_H]]</f>
        <v>9</v>
      </c>
      <c r="J2">
        <f>F2+H2</f>
        <v>61</v>
      </c>
      <c r="K2">
        <f>82-Table3[[#This Row],[GP]]</f>
        <v>21</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42</v>
      </c>
      <c r="AC2">
        <f>Table3[[#This Row],[L_A]]+Table3[[#This Row],[L_H]]</f>
        <v>19</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122</v>
      </c>
      <c r="AM2" s="15">
        <f>Table3[[#This Row],[PTS]]/(2*Table3[[#This Row],[GP]])</f>
        <v>0.72131147540983609</v>
      </c>
      <c r="AN2" s="15">
        <f>Table3[[#This Row],[PTS2]]/(3*Table3[[#This Row],[GP]])</f>
        <v>0.66666666666666663</v>
      </c>
      <c r="AO2">
        <f>(2*Table3[[#This Row],[GR]])+Table3[[#This Row],[PTS]]</f>
        <v>130</v>
      </c>
      <c r="AP2">
        <f>(3*Table3[[#This Row],[GR]])+Table3[[#This Row],[PTS2]]</f>
        <v>185</v>
      </c>
      <c r="AQ2">
        <f>Table3[[#This Row],[PTS]]+(2 * Table3[[#This Row],[GR]] * Table3[[#This Row],[PTS%]])</f>
        <v>118.29508196721312</v>
      </c>
      <c r="AR2">
        <f>Table3[[#This Row],[PTS2]]+(3 * Table3[[#This Row],[GR]] * Table3[[#This Row],[PTS%2]])</f>
        <v>164</v>
      </c>
      <c r="AS2" s="20" t="str">
        <f>_xlfn.CONCAT(TEXT(Table3[[#This Row],[W]], "0"), "-", TEXT(Table3[[#This Row],[RL]],"0"), "-", TEXT(Table3[[#This Row],[OTL]]+Table3[[#This Row],[SOL]], "0"))</f>
        <v>42-15-4</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AY2-AZ2</f>
        <v>49</v>
      </c>
      <c r="BB2">
        <f>AU2+AY2</f>
        <v>214</v>
      </c>
      <c r="BC2">
        <f>AV2+AZ2</f>
        <v>143</v>
      </c>
      <c r="BD2">
        <f>BB2-BC2</f>
        <v>71</v>
      </c>
      <c r="BE2" s="17">
        <f>Table3[[#This Row],[GF]]/Table3[[#This Row],[GP]]</f>
        <v>3.5081967213114753</v>
      </c>
      <c r="BF2" s="17">
        <f>Table3[[#This Row],[GA]]/Table3[[#This Row],[GP]]</f>
        <v>2.3442622950819674</v>
      </c>
      <c r="BG2" s="17">
        <f>(Table3[[#This Row],[GF]]-Table3[[#This Row],[GA]])/Table3[[#This Row],[GP]]</f>
        <v>1.1639344262295082</v>
      </c>
      <c r="BH2" s="49" t="str">
        <f>_xlfn.CONCAT(TEXT(Table3[[#This Row],[W_H]], "0"), "-", TEXT(Table3[[#This Row],[RL_H]],"0"), "-", TEXT(Table3[[#This Row],[OTL_H]]+Table3[[#This Row],[SOL_H]], "0"))</f>
        <v>23-5-4</v>
      </c>
      <c r="BI2" s="49" t="str">
        <f>_xlfn.CONCAT(TEXT(Table3[[#This Row],[W_A]], "0"), "-", TEXT(Table3[[#This Row],[RL_A]],"0"), "-", TEXT(Table3[[#This Row],[OTL_A]]+Table3[[#This Row],[SOL_A]], "0"))</f>
        <v>19-10-0</v>
      </c>
      <c r="BJ2" s="49">
        <f>((2*(Table3[[#This Row],[W_H]]))+Table3[[#This Row],[OTL_H]]+Table3[[#This Row],[SOL_H]])/(2*Table3[[#This Row],[GP_H]])</f>
        <v>0.78125</v>
      </c>
      <c r="BK2" s="49">
        <f>((2*(Table3[[#This Row],[W_A]]))+Table3[[#This Row],[OTL_A]]+Table3[[#This Row],[SOL_A]])/(2*Table3[[#This Row],[GP_A]])</f>
        <v>0.65517241379310343</v>
      </c>
      <c r="BL2" s="21">
        <f>(Table3[[#This Row],[W]]*$CG$3)+(Table3[[#This Row],[L]]*$CG$4)+(Table3[[#This Row],[GF]]*$CG$5)+(Table3[[#This Row],[GA]]*$CG$6)</f>
        <v>73.099999999999994</v>
      </c>
      <c r="BM2" s="21">
        <f>(82*(((Table3[[#This Row],[PTS%]]*$CG$3)+((1-Table3[[#This Row],[PTS%]])*$CG$4)+(Table3[[#This Row],[GF]]*$CG$5)+(Table3[[#This Row],[GA]]*$CG$6))/Table3[[#This Row],[GP]])) + (Table3[[#This Row],[W]]*$CG$3)+(Table3[[#This Row],[L]]*$CG$4)+(Table3[[#This Row],[GF]]*$CG$5)+(Table3[[#This Row],[GA]]*$CG$6)</f>
        <v>136.07097554420858</v>
      </c>
      <c r="BN2">
        <f>COUNTIFS(DataRegularSeason20242025!$D$3:$D$1315,$A2,DataRegularSeason20242025!$H$3:$H$1315, $A2)</f>
        <v>26</v>
      </c>
      <c r="BO2">
        <f>COUNTIFS(DataRegularSeason20242025!$E$3:$E$1315,$A2,DataRegularSeason20242025!$H$3:$H$1315, $A2)</f>
        <v>28</v>
      </c>
      <c r="BP2">
        <f>BN2+BO2</f>
        <v>54</v>
      </c>
      <c r="BQ2">
        <f>F2-BN2</f>
        <v>3</v>
      </c>
      <c r="BR2">
        <f>H2-BO2</f>
        <v>4</v>
      </c>
      <c r="BS2">
        <f>BQ2+BR2</f>
        <v>7</v>
      </c>
      <c r="BW2" t="e">
        <f>INDEX(Table2[AwayTeam], Table3[[#This Row],[Column2]])</f>
        <v>#VALUE!</v>
      </c>
      <c r="BX2" t="e">
        <f>LARGE((Table2[[#This Row],[AwayTeam]]=Table3[[#This Row],[Teams]]), 1)</f>
        <v>#VALUE!</v>
      </c>
      <c r="CA2" t="s">
        <v>1460</v>
      </c>
      <c r="CB2">
        <f>SUM($J$2:$J$33)/2</f>
        <v>955</v>
      </c>
      <c r="CF2" t="s">
        <v>62</v>
      </c>
      <c r="CG2" s="19" t="s">
        <v>1471</v>
      </c>
      <c r="CH2">
        <f>INDEX($J$2:$J$33,MATCH("CGY",$A$2:$A$33,0),1)</f>
        <v>59</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0.85</v>
      </c>
      <c r="F3">
        <f>COUNTIFS(DataRegularSeason20242025!$N$3:$N$1315,1,DataRegularSeason20242025!$D$3:$D$1315,$A3)</f>
        <v>29</v>
      </c>
      <c r="G3">
        <f>41-Table3[[#This Row],[GP_A]]</f>
        <v>12</v>
      </c>
      <c r="H3">
        <f>COUNTIFS(DataRegularSeason20242025!$E$3:$E$1315,$A3,DataRegularSeason20242025!$N$3:$N$1315,1)</f>
        <v>31</v>
      </c>
      <c r="I3">
        <f>41-Table3[[#This Row],[GP_H]]</f>
        <v>10</v>
      </c>
      <c r="J3">
        <f>F3+H3</f>
        <v>60</v>
      </c>
      <c r="K3">
        <f>82-Table3[[#This Row],[GP]]</f>
        <v>22</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v>
      </c>
      <c r="AN3" s="15">
        <f>Table3[[#This Row],[PTS2]]/(3*Table3[[#This Row],[GP]])</f>
        <v>0.65</v>
      </c>
      <c r="AO3">
        <f>(2*Table3[[#This Row],[GR]])+Table3[[#This Row],[PTS]]</f>
        <v>128</v>
      </c>
      <c r="AP3">
        <f>(3*Table3[[#This Row],[GR]])+Table3[[#This Row],[PTS2]]</f>
        <v>183</v>
      </c>
      <c r="AQ3">
        <f>Table3[[#This Row],[PTS]]+(2 * Table3[[#This Row],[GR]] * Table3[[#This Row],[PTS%]])</f>
        <v>114.8</v>
      </c>
      <c r="AR3">
        <f>Table3[[#This Row],[PTS2]]+(3 * Table3[[#This Row],[GR]] * Table3[[#This Row],[PTS%2]])</f>
        <v>159.9</v>
      </c>
      <c r="AS3" s="20" t="str">
        <f>_xlfn.CONCAT(TEXT(Table3[[#This Row],[W]], "0"), "-", TEXT(Table3[[#This Row],[RL]],"0"), "-", TEXT(Table3[[#This Row],[OTL]]+Table3[[#This Row],[SOL]], "0"))</f>
        <v>38-14-8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110</v>
      </c>
      <c r="AZ3">
        <f>SUMIF(DataRegularSeason20242025!$E$3:$E$1315,$A3,DataRegularSeason20242025!$J$3:$J$1315)</f>
        <v>86</v>
      </c>
      <c r="BA3">
        <f>AY3-AZ3</f>
        <v>24</v>
      </c>
      <c r="BB3">
        <f>AU3+AY3</f>
        <v>215</v>
      </c>
      <c r="BC3">
        <f>AV3+AZ3</f>
        <v>157</v>
      </c>
      <c r="BD3">
        <f>BB3-BC3</f>
        <v>58</v>
      </c>
      <c r="BE3" s="17">
        <f>Table3[[#This Row],[GF]]/Table3[[#This Row],[GP]]</f>
        <v>3.5833333333333335</v>
      </c>
      <c r="BF3" s="17">
        <f>Table3[[#This Row],[GA]]/Table3[[#This Row],[GP]]</f>
        <v>2.6166666666666667</v>
      </c>
      <c r="BG3" s="17">
        <f>(Table3[[#This Row],[GF]]-Table3[[#This Row],[GA]])/Table3[[#This Row],[GP]]</f>
        <v>0.96666666666666667</v>
      </c>
      <c r="BH3" s="49" t="str">
        <f>_xlfn.CONCAT(TEXT(Table3[[#This Row],[W_H]], "0"), "-", TEXT(Table3[[#This Row],[RL_H]],"0"), "-", TEXT(Table3[[#This Row],[OTL_H]]+Table3[[#This Row],[SOL_H]], "0"))</f>
        <v>18-7-6</v>
      </c>
      <c r="BI3" s="49" t="str">
        <f>_xlfn.CONCAT(TEXT(Table3[[#This Row],[W_A]], "0"), "-", TEXT(Table3[[#This Row],[RL_A]],"0"), "-", TEXT(Table3[[#This Row],[OTL_A]]+Table3[[#This Row],[SOL_A]], "0"))</f>
        <v>20-7-2</v>
      </c>
      <c r="BJ3" s="49">
        <f>((2*(Table3[[#This Row],[W_H]]))+Table3[[#This Row],[OTL_H]]+Table3[[#This Row],[SOL_H]])/(2*Table3[[#This Row],[GP_H]])</f>
        <v>0.67741935483870963</v>
      </c>
      <c r="BK3" s="49">
        <f>((2*(Table3[[#This Row],[W_A]]))+Table3[[#This Row],[OTL_A]]+Table3[[#This Row],[SOL_A]])/(2*Table3[[#This Row],[GP_A]])</f>
        <v>0.72413793103448276</v>
      </c>
      <c r="BL3" s="21">
        <f>(Table3[[#This Row],[W]]*$CG$3)+(Table3[[#This Row],[L]]*$CG$4)+(Table3[[#This Row],[GF]]*$CG$5)+(Table3[[#This Row],[GA]]*$CG$6)</f>
        <v>73.55</v>
      </c>
      <c r="BM3" s="21">
        <f>(82*(((Table3[[#This Row],[PTS%]]*$CG$3)+((1-Table3[[#This Row],[PTS%]])*$CG$4)+(Table3[[#This Row],[GF]]*$CG$5)+(Table3[[#This Row],[GA]]*$CG$6))/Table3[[#This Row],[GP]])) + (Table3[[#This Row],[W]]*$CG$3)+(Table3[[#This Row],[L]]*$CG$4)+(Table3[[#This Row],[GF]]*$CG$5)+(Table3[[#This Row],[GA]]*$CG$6)</f>
        <v>139.68299999999999</v>
      </c>
      <c r="BN3">
        <f>COUNTIFS(DataRegularSeason20242025!$D$3:$D$1315,$A3,DataRegularSeason20242025!$H$3:$H$1315, $A3)</f>
        <v>23</v>
      </c>
      <c r="BO3">
        <f>COUNTIFS(DataRegularSeason20242025!$E$3:$E$1315,$A3,DataRegularSeason20242025!$H$3:$H$1315, $A3)</f>
        <v>24</v>
      </c>
      <c r="BP3">
        <f>BN3+BO3</f>
        <v>47</v>
      </c>
      <c r="BQ3">
        <f>F3-BN3</f>
        <v>6</v>
      </c>
      <c r="BR3">
        <f>H3-BO3</f>
        <v>7</v>
      </c>
      <c r="BS3">
        <f>BQ3+BR3</f>
        <v>13</v>
      </c>
      <c r="BV3">
        <v>2018</v>
      </c>
      <c r="BW3" t="str">
        <f>INDEX(Table2[AwayTeam], Table3[[#This Row],[Column2]])</f>
        <v>NJD</v>
      </c>
      <c r="BX3">
        <f>LARGE((Table2[[#This Row],[AwayTeam]]=Table3[[#This Row],[Teams]]), 1)</f>
        <v>0</v>
      </c>
      <c r="CA3" t="s">
        <v>1458</v>
      </c>
      <c r="CB3">
        <f>SUM($D$2:$D$33)/2</f>
        <v>804</v>
      </c>
      <c r="CF3" t="s">
        <v>96</v>
      </c>
      <c r="CG3" s="21">
        <v>0.5</v>
      </c>
      <c r="CH3">
        <f>INDEX($AB$2:$AB$33,MATCH("CGY",$A$2:$A$33,0),1)</f>
        <v>28</v>
      </c>
      <c r="CJ3" s="21">
        <f>CG3*CH3</f>
        <v>14</v>
      </c>
      <c r="CK3" s="15">
        <f>CJ3/$CJ$7</f>
        <v>0.21943573667711599</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0.81355932203389836</v>
      </c>
      <c r="F4">
        <f>COUNTIFS(DataRegularSeason20242025!$N$3:$N$1315,1,DataRegularSeason20242025!$D$3:$D$1315,$A4)</f>
        <v>30</v>
      </c>
      <c r="G4">
        <f>41-Table3[[#This Row],[GP_A]]</f>
        <v>11</v>
      </c>
      <c r="H4">
        <f>COUNTIFS(DataRegularSeason20242025!$E$3:$E$1315,$A4,DataRegularSeason20242025!$N$3:$N$1315,1)</f>
        <v>29</v>
      </c>
      <c r="I4">
        <f>41-Table3[[#This Row],[GP_H]]</f>
        <v>12</v>
      </c>
      <c r="J4">
        <f>F4+H4</f>
        <v>59</v>
      </c>
      <c r="K4">
        <f>82-Table3[[#This Row],[GP]]</f>
        <v>23</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18</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38</v>
      </c>
      <c r="AC4">
        <f>Table3[[#This Row],[L_A]]+Table3[[#This Row],[L_H]]</f>
        <v>21</v>
      </c>
      <c r="AD4">
        <f>Table3[[#This Row],[RW_A]]+Table3[[#This Row],[RW_H]]</f>
        <v>32</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78</v>
      </c>
      <c r="AL4">
        <f>(3*(Table3[[#This Row],[RW_A]]+Table3[[#This Row],[RW_H]]))+(2*(Table3[[#This Row],[OTW_A]]+Table3[[#This Row],[SOW_A]]+Table3[[#This Row],[OTW_H]]+Table3[[#This Row],[SOW_H]]))+Table3[[#This Row],[OTL_A]]+Table3[[#This Row],[SOL_A]]+Table3[[#This Row],[OTL_H]]+Table3[[#This Row],[SOL_H]]</f>
        <v>110</v>
      </c>
      <c r="AM4" s="15">
        <f>Table3[[#This Row],[PTS]]/(2*Table3[[#This Row],[GP]])</f>
        <v>0.66101694915254239</v>
      </c>
      <c r="AN4" s="15">
        <f>Table3[[#This Row],[PTS2]]/(3*Table3[[#This Row],[GP]])</f>
        <v>0.62146892655367236</v>
      </c>
      <c r="AO4">
        <f>(2*Table3[[#This Row],[GR]])+Table3[[#This Row],[PTS]]</f>
        <v>124</v>
      </c>
      <c r="AP4">
        <f>(3*Table3[[#This Row],[GR]])+Table3[[#This Row],[PTS2]]</f>
        <v>179</v>
      </c>
      <c r="AQ4">
        <f>Table3[[#This Row],[PTS]]+(2 * Table3[[#This Row],[GR]] * Table3[[#This Row],[PTS%]])</f>
        <v>108.40677966101694</v>
      </c>
      <c r="AR4">
        <f>Table3[[#This Row],[PTS2]]+(3 * Table3[[#This Row],[GR]] * Table3[[#This Row],[PTS%2]])</f>
        <v>152.88135593220341</v>
      </c>
      <c r="AS4" s="20" t="str">
        <f>_xlfn.CONCAT(TEXT(Table3[[#This Row],[W]], "0"), "-", TEXT(Table3[[#This Row],[RL]],"0"), "-", TEXT(Table3[[#This Row],[OTL]]+Table3[[#This Row],[SOL]], "0"))</f>
        <v>38-19-2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100</v>
      </c>
      <c r="AZ4">
        <f>SUMIF(DataRegularSeason20242025!$E$3:$E$1315,$A4,DataRegularSeason20242025!$J$3:$J$1315)</f>
        <v>66</v>
      </c>
      <c r="BA4">
        <f>AY4-AZ4</f>
        <v>34</v>
      </c>
      <c r="BB4">
        <f>AU4+AY4</f>
        <v>200</v>
      </c>
      <c r="BC4">
        <f>AV4+AZ4</f>
        <v>152</v>
      </c>
      <c r="BD4">
        <f>BB4-BC4</f>
        <v>48</v>
      </c>
      <c r="BE4" s="17">
        <f>Table3[[#This Row],[GF]]/Table3[[#This Row],[GP]]</f>
        <v>3.3898305084745761</v>
      </c>
      <c r="BF4" s="17">
        <f>Table3[[#This Row],[GA]]/Table3[[#This Row],[GP]]</f>
        <v>2.5762711864406778</v>
      </c>
      <c r="BG4" s="17">
        <f>(Table3[[#This Row],[GF]]-Table3[[#This Row],[GA]])/Table3[[#This Row],[GP]]</f>
        <v>0.81355932203389836</v>
      </c>
      <c r="BH4" s="49" t="str">
        <f>_xlfn.CONCAT(TEXT(Table3[[#This Row],[W_H]], "0"), "-", TEXT(Table3[[#This Row],[RL_H]],"0"), "-", TEXT(Table3[[#This Row],[OTL_H]]+Table3[[#This Row],[SOL_H]], "0"))</f>
        <v>21-7-1</v>
      </c>
      <c r="BI4" s="49" t="str">
        <f>_xlfn.CONCAT(TEXT(Table3[[#This Row],[W_A]], "0"), "-", TEXT(Table3[[#This Row],[RL_A]],"0"), "-", TEXT(Table3[[#This Row],[OTL_A]]+Table3[[#This Row],[SOL_A]], "0"))</f>
        <v>17-12-1</v>
      </c>
      <c r="BJ4" s="49">
        <f>((2*(Table3[[#This Row],[W_H]]))+Table3[[#This Row],[OTL_H]]+Table3[[#This Row],[SOL_H]])/(2*Table3[[#This Row],[GP_H]])</f>
        <v>0.74137931034482762</v>
      </c>
      <c r="BK4" s="49">
        <f>((2*(Table3[[#This Row],[W_A]]))+Table3[[#This Row],[OTL_A]]+Table3[[#This Row],[SOL_A]])/(2*Table3[[#This Row],[GP_A]])</f>
        <v>0.58333333333333337</v>
      </c>
      <c r="BL4" s="21">
        <f>(Table3[[#This Row],[W]]*$CG$3)+(Table3[[#This Row],[L]]*$CG$4)+(Table3[[#This Row],[GF]]*$CG$5)+(Table3[[#This Row],[GA]]*$CG$6)</f>
        <v>70.5</v>
      </c>
      <c r="BM4" s="21">
        <f>(82*(((Table3[[#This Row],[PTS%]]*$CG$3)+((1-Table3[[#This Row],[PTS%]])*$CG$4)+(Table3[[#This Row],[GF]]*$CG$5)+(Table3[[#This Row],[GA]]*$CG$6))/Table3[[#This Row],[GP]])) + (Table3[[#This Row],[W]]*$CG$3)+(Table3[[#This Row],[L]]*$CG$4)+(Table3[[#This Row],[GF]]*$CG$5)+(Table3[[#This Row],[GA]]*$CG$6)</f>
        <v>133.92102844010341</v>
      </c>
      <c r="BN4">
        <f>COUNTIFS(DataRegularSeason20242025!$D$3:$D$1315,$A4,DataRegularSeason20242025!$H$3:$H$1315, $A4)</f>
        <v>17</v>
      </c>
      <c r="BO4">
        <f>COUNTIFS(DataRegularSeason20242025!$E$3:$E$1315,$A4,DataRegularSeason20242025!$H$3:$H$1315, $A4)</f>
        <v>25</v>
      </c>
      <c r="BP4">
        <f>BN4+BO4</f>
        <v>42</v>
      </c>
      <c r="BQ4">
        <f>F4-BN4</f>
        <v>13</v>
      </c>
      <c r="BR4">
        <f>H4-BO4</f>
        <v>4</v>
      </c>
      <c r="BS4">
        <f>BQ4+BR4</f>
        <v>17</v>
      </c>
      <c r="BV4">
        <v>1999</v>
      </c>
      <c r="BW4" t="str">
        <f>INDEX(Table2[AwayTeam], Table3[[#This Row],[Column2]])</f>
        <v>BUF</v>
      </c>
      <c r="BX4">
        <f>LARGE((Table2[[#This Row],[AwayTeam]]=Table3[[#This Row],[Teams]]), 1)</f>
        <v>0</v>
      </c>
      <c r="CA4" t="s">
        <v>1459</v>
      </c>
      <c r="CB4">
        <f>$CB$2-$CB$3</f>
        <v>151</v>
      </c>
      <c r="CF4" t="s">
        <v>1433</v>
      </c>
      <c r="CG4" s="21">
        <v>0.3</v>
      </c>
      <c r="CH4">
        <f>INDEX($AC$2:$AC$33,MATCH("CGY",$A$2:$A$33,0),1)</f>
        <v>31</v>
      </c>
      <c r="CJ4" s="21">
        <f>CG4*CH4</f>
        <v>9.2999999999999989</v>
      </c>
      <c r="CK4" s="15">
        <f>CJ4/$CJ$7</f>
        <v>0.14576802507836989</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51</v>
      </c>
      <c r="E5" s="15">
        <f>Table3[[#This Row],[Watched]]/Table3[[#This Row],[GP]]</f>
        <v>0.86440677966101698</v>
      </c>
      <c r="F5">
        <f>COUNTIFS(DataRegularSeason20242025!$N$3:$N$1315,1,DataRegularSeason20242025!$D$3:$D$1315,$A5)</f>
        <v>28</v>
      </c>
      <c r="G5">
        <f>41-Table3[[#This Row],[GP_A]]</f>
        <v>13</v>
      </c>
      <c r="H5">
        <f>COUNTIFS(DataRegularSeason20242025!$E$3:$E$1315,$A5,DataRegularSeason20242025!$N$3:$N$1315,1)</f>
        <v>31</v>
      </c>
      <c r="I5">
        <f>41-Table3[[#This Row],[GP_H]]</f>
        <v>10</v>
      </c>
      <c r="J5">
        <f>F5+H5</f>
        <v>59</v>
      </c>
      <c r="K5">
        <f>82-Table3[[#This Row],[GP]]</f>
        <v>23</v>
      </c>
      <c r="L5">
        <f>COUNTIFS(DataRegularSeason20242025!$D$3:$D$1315,$A5, DataRegularSeason20242025!$L$3:$L$1315, $A5,DataRegularSeason20242025!$N$3:$N$1315,1)</f>
        <v>18</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0</v>
      </c>
      <c r="AU5">
        <f>SUMIF(DataRegularSeason20242025!$D$3:$D$1315,$A5, DataRegularSeason20242025!$J$3:$J$1315)</f>
        <v>94</v>
      </c>
      <c r="AV5">
        <f>SUMIF(DataRegularSeason20242025!$D$3:$D$1315,$A5, DataRegularSeason20242025!$K$3:$K$1315)</f>
        <v>82</v>
      </c>
      <c r="AW5">
        <f>AU5-AV5</f>
        <v>12</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189</v>
      </c>
      <c r="BC5">
        <f>AV5+AZ5</f>
        <v>166</v>
      </c>
      <c r="BD5">
        <f>BB5-BC5</f>
        <v>23</v>
      </c>
      <c r="BE5" s="17">
        <f>Table3[[#This Row],[GF]]/Table3[[#This Row],[GP]]</f>
        <v>3.2033898305084745</v>
      </c>
      <c r="BF5" s="17">
        <f>Table3[[#This Row],[GA]]/Table3[[#This Row],[GP]]</f>
        <v>2.8135593220338984</v>
      </c>
      <c r="BG5" s="17">
        <f>(Table3[[#This Row],[GF]]-Table3[[#This Row],[GA]])/Table3[[#This Row],[GP]]</f>
        <v>0.38983050847457629</v>
      </c>
      <c r="BH5" s="49" t="str">
        <f>_xlfn.CONCAT(TEXT(Table3[[#This Row],[W_H]], "0"), "-", TEXT(Table3[[#This Row],[RL_H]],"0"), "-", TEXT(Table3[[#This Row],[OTL_H]]+Table3[[#This Row],[SOL_H]], "0"))</f>
        <v>20-11-0</v>
      </c>
      <c r="BI5" s="49" t="str">
        <f>_xlfn.CONCAT(TEXT(Table3[[#This Row],[W_A]], "0"), "-", TEXT(Table3[[#This Row],[RL_A]],"0"), "-", TEXT(Table3[[#This Row],[OTL_A]]+Table3[[#This Row],[SOL_A]], "0"))</f>
        <v>18-8-2</v>
      </c>
      <c r="BJ5" s="49">
        <f>((2*(Table3[[#This Row],[W_H]]))+Table3[[#This Row],[OTL_H]]+Table3[[#This Row],[SOL_H]])/(2*Table3[[#This Row],[GP_H]])</f>
        <v>0.64516129032258063</v>
      </c>
      <c r="BK5" s="49">
        <f>((2*(Table3[[#This Row],[W_A]]))+Table3[[#This Row],[OTL_A]]+Table3[[#This Row],[SOL_A]])/(2*Table3[[#This Row],[GP_A]])</f>
        <v>0.6785714285714286</v>
      </c>
      <c r="BL5" s="21">
        <f>(Table3[[#This Row],[W]]*$CG$3)+(Table3[[#This Row],[L]]*$CG$4)+(Table3[[#This Row],[GF]]*$CG$5)+(Table3[[#This Row],[GA]]*$CG$6)</f>
        <v>70.25</v>
      </c>
      <c r="BM5" s="21">
        <f>(82*(((Table3[[#This Row],[PTS%]]*$CG$3)+((1-Table3[[#This Row],[PTS%]])*$CG$4)+(Table3[[#This Row],[GF]]*$CG$5)+(Table3[[#This Row],[GA]]*$CG$6))/Table3[[#This Row],[GP]])) + (Table3[[#This Row],[W]]*$CG$3)+(Table3[[#This Row],[L]]*$CG$4)+(Table3[[#This Row],[GF]]*$CG$5)+(Table3[[#This Row],[GA]]*$CG$6)</f>
        <v>133.32357081298477</v>
      </c>
      <c r="BN5">
        <f>COUNTIFS(DataRegularSeason20242025!$D$3:$D$1315,$A5,DataRegularSeason20242025!$H$3:$H$1315, $A5)</f>
        <v>21</v>
      </c>
      <c r="BO5">
        <f>COUNTIFS(DataRegularSeason20242025!$E$3:$E$1315,$A5,DataRegularSeason20242025!$H$3:$H$1315, $A5)</f>
        <v>25</v>
      </c>
      <c r="BP5">
        <f>BN5+BO5</f>
        <v>46</v>
      </c>
      <c r="BQ5">
        <f>F5-BN5</f>
        <v>7</v>
      </c>
      <c r="BR5">
        <f>H5-BO5</f>
        <v>6</v>
      </c>
      <c r="BS5">
        <f>BQ5+BR5</f>
        <v>13</v>
      </c>
      <c r="BV5">
        <v>1967</v>
      </c>
      <c r="BW5" t="str">
        <f>INDEX(Table2[AwayTeam], Table3[[#This Row],[Column2]])</f>
        <v>STL</v>
      </c>
      <c r="BX5">
        <f>LARGE((Table2[[#This Row],[AwayTeam]]=Table3[[#This Row],[Teams]]), 1)</f>
        <v>0</v>
      </c>
      <c r="CA5" t="s">
        <v>1461</v>
      </c>
      <c r="CB5">
        <f>SUM($BB$2:$BB$33)</f>
        <v>5772</v>
      </c>
      <c r="CF5" t="s">
        <v>72</v>
      </c>
      <c r="CG5" s="21">
        <v>0.15</v>
      </c>
      <c r="CH5">
        <f>INDEX($BB$2:$BB$33,MATCH("CGY",$A$2:$A$33,0),1)</f>
        <v>154</v>
      </c>
      <c r="CI5">
        <f>CH5/CH2</f>
        <v>2.6101694915254239</v>
      </c>
      <c r="CJ5" s="21">
        <f>CG5*CH5</f>
        <v>23.099999999999998</v>
      </c>
      <c r="CK5" s="15">
        <f>CJ5/$CJ$7</f>
        <v>0.36206896551724138</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51</v>
      </c>
      <c r="E6" s="15">
        <f>Table3[[#This Row],[Watched]]/Table3[[#This Row],[GP]]</f>
        <v>0.86440677966101698</v>
      </c>
      <c r="F6">
        <f>COUNTIFS(DataRegularSeason20242025!$N$3:$N$1315,1,DataRegularSeason20242025!$D$3:$D$1315,$A6)</f>
        <v>29</v>
      </c>
      <c r="G6">
        <f>41-Table3[[#This Row],[GP_A]]</f>
        <v>12</v>
      </c>
      <c r="H6">
        <f>COUNTIFS(DataRegularSeason20242025!$E$3:$E$1315,$A6,DataRegularSeason20242025!$N$3:$N$1315,1)</f>
        <v>30</v>
      </c>
      <c r="I6">
        <f>41-Table3[[#This Row],[GP_H]]</f>
        <v>11</v>
      </c>
      <c r="J6">
        <f>F6+H6</f>
        <v>59</v>
      </c>
      <c r="K6">
        <f>82-Table3[[#This Row],[GP]]</f>
        <v>23</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21</v>
      </c>
      <c r="U6">
        <f>COUNTIFS(DataRegularSeason20242025!$E$3:$E$1315,$A6, DataRegularSeason20242025!$L$3:$L$1315, $A6,DataRegularSeason20242025!$N$3:$N$1315,1,DataRegularSeason20242025!$M$3:$M$1315,"REG")</f>
        <v>20</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35</v>
      </c>
      <c r="AC6">
        <f>Table3[[#This Row],[L_A]]+Table3[[#This Row],[L_H]]</f>
        <v>24</v>
      </c>
      <c r="AD6">
        <f>Table3[[#This Row],[RW_A]]+Table3[[#This Row],[RW_H]]</f>
        <v>32</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76</v>
      </c>
      <c r="AL6">
        <f>(3*(Table3[[#This Row],[RW_A]]+Table3[[#This Row],[RW_H]]))+(2*(Table3[[#This Row],[OTW_A]]+Table3[[#This Row],[SOW_A]]+Table3[[#This Row],[OTW_H]]+Table3[[#This Row],[SOW_H]]))+Table3[[#This Row],[OTL_A]]+Table3[[#This Row],[SOL_A]]+Table3[[#This Row],[OTL_H]]+Table3[[#This Row],[SOL_H]]</f>
        <v>108</v>
      </c>
      <c r="AM6" s="15">
        <f>Table3[[#This Row],[PTS]]/(2*Table3[[#This Row],[GP]])</f>
        <v>0.64406779661016944</v>
      </c>
      <c r="AN6" s="15">
        <f>Table3[[#This Row],[PTS2]]/(3*Table3[[#This Row],[GP]])</f>
        <v>0.61016949152542377</v>
      </c>
      <c r="AO6">
        <f>(2*Table3[[#This Row],[GR]])+Table3[[#This Row],[PTS]]</f>
        <v>122</v>
      </c>
      <c r="AP6">
        <f>(3*Table3[[#This Row],[GR]])+Table3[[#This Row],[PTS2]]</f>
        <v>177</v>
      </c>
      <c r="AQ6">
        <f>Table3[[#This Row],[PTS]]+(2 * Table3[[#This Row],[GR]] * Table3[[#This Row],[PTS%]])</f>
        <v>105.62711864406779</v>
      </c>
      <c r="AR6">
        <f>Table3[[#This Row],[PTS2]]+(3 * Table3[[#This Row],[GR]] * Table3[[#This Row],[PTS%2]])</f>
        <v>150.10169491525426</v>
      </c>
      <c r="AS6" s="20" t="str">
        <f>_xlfn.CONCAT(TEXT(Table3[[#This Row],[W]], "0"), "-", TEXT(Table3[[#This Row],[RL]],"0"), "-", TEXT(Table3[[#This Row],[OTL]]+Table3[[#This Row],[SOL]], "0"))</f>
        <v>35-18-6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107</v>
      </c>
      <c r="AZ6">
        <f>SUMIF(DataRegularSeason20242025!$E$3:$E$1315,$A6,DataRegularSeason20242025!$J$3:$J$1315)</f>
        <v>75</v>
      </c>
      <c r="BA6">
        <f>AY6-AZ6</f>
        <v>32</v>
      </c>
      <c r="BB6">
        <f>AU6+AY6</f>
        <v>197</v>
      </c>
      <c r="BC6">
        <f>AV6+AZ6</f>
        <v>166</v>
      </c>
      <c r="BD6">
        <f>BB6-BC6</f>
        <v>31</v>
      </c>
      <c r="BE6" s="17">
        <f>Table3[[#This Row],[GF]]/Table3[[#This Row],[GP]]</f>
        <v>3.3389830508474576</v>
      </c>
      <c r="BF6" s="17">
        <f>Table3[[#This Row],[GA]]/Table3[[#This Row],[GP]]</f>
        <v>2.8135593220338984</v>
      </c>
      <c r="BG6" s="17">
        <f>(Table3[[#This Row],[GF]]-Table3[[#This Row],[GA]])/Table3[[#This Row],[GP]]</f>
        <v>0.52542372881355937</v>
      </c>
      <c r="BH6" s="49" t="str">
        <f>_xlfn.CONCAT(TEXT(Table3[[#This Row],[W_H]], "0"), "-", TEXT(Table3[[#This Row],[RL_H]],"0"), "-", TEXT(Table3[[#This Row],[OTL_H]]+Table3[[#This Row],[SOL_H]], "0"))</f>
        <v>21-6-3</v>
      </c>
      <c r="BI6" s="49" t="str">
        <f>_xlfn.CONCAT(TEXT(Table3[[#This Row],[W_A]], "0"), "-", TEXT(Table3[[#This Row],[RL_A]],"0"), "-", TEXT(Table3[[#This Row],[OTL_A]]+Table3[[#This Row],[SOL_A]], "0"))</f>
        <v>14-12-3</v>
      </c>
      <c r="BJ6" s="49">
        <f>((2*(Table3[[#This Row],[W_H]]))+Table3[[#This Row],[OTL_H]]+Table3[[#This Row],[SOL_H]])/(2*Table3[[#This Row],[GP_H]])</f>
        <v>0.75</v>
      </c>
      <c r="BK6" s="49">
        <f>((2*(Table3[[#This Row],[W_A]]))+Table3[[#This Row],[OTL_A]]+Table3[[#This Row],[SOL_A]])/(2*Table3[[#This Row],[GP_A]])</f>
        <v>0.53448275862068961</v>
      </c>
      <c r="BL6" s="21">
        <f>(Table3[[#This Row],[W]]*$CG$3)+(Table3[[#This Row],[L]]*$CG$4)+(Table3[[#This Row],[GF]]*$CG$5)+(Table3[[#This Row],[GA]]*$CG$6)</f>
        <v>70.849999999999994</v>
      </c>
      <c r="BM6" s="21">
        <f>(82*(((Table3[[#This Row],[PTS%]]*$CG$3)+((1-Table3[[#This Row],[PTS%]])*$CG$4)+(Table3[[#This Row],[GF]]*$CG$5)+(Table3[[#This Row],[GA]]*$CG$6))/Table3[[#This Row],[GP]])) + (Table3[[#This Row],[W]]*$CG$3)+(Table3[[#This Row],[L]]*$CG$4)+(Table3[[#This Row],[GF]]*$CG$5)+(Table3[[#This Row],[GA]]*$CG$6)</f>
        <v>135.58665613329504</v>
      </c>
      <c r="BN6">
        <f>COUNTIFS(DataRegularSeason20242025!$D$3:$D$1315,$A6,DataRegularSeason20242025!$H$3:$H$1315, $A6)</f>
        <v>18</v>
      </c>
      <c r="BO6">
        <f>COUNTIFS(DataRegularSeason20242025!$E$3:$E$1315,$A6,DataRegularSeason20242025!$H$3:$H$1315, $A6)</f>
        <v>23</v>
      </c>
      <c r="BP6">
        <f>BN6+BO6</f>
        <v>41</v>
      </c>
      <c r="BQ6">
        <f>F6-BN6</f>
        <v>11</v>
      </c>
      <c r="BR6">
        <f>H6-BO6</f>
        <v>7</v>
      </c>
      <c r="BS6">
        <f>BQ6+BR6</f>
        <v>18</v>
      </c>
      <c r="BV6">
        <v>2023</v>
      </c>
      <c r="BW6" t="str">
        <f>INDEX(Table2[AwayTeam], Table3[[#This Row],[Column2]])</f>
        <v>BOS</v>
      </c>
      <c r="BX6">
        <f>LARGE((Table2[[#This Row],[AwayTeam]]=Table3[[#This Row],[Teams]]), 1)</f>
        <v>0</v>
      </c>
      <c r="CA6" t="s">
        <v>1462</v>
      </c>
      <c r="CB6">
        <f>SUM($AT$2:$AT$33)+SUM($AX$2:$AX$33)</f>
        <v>111</v>
      </c>
      <c r="CF6" t="s">
        <v>73</v>
      </c>
      <c r="CG6" s="21">
        <v>0.1</v>
      </c>
      <c r="CH6">
        <f>INDEX($BC$2:$BC$33,MATCH("CGY",$A$2:$A$33,0),1)</f>
        <v>174</v>
      </c>
      <c r="CI6">
        <f>CH6/CH2</f>
        <v>2.9491525423728815</v>
      </c>
      <c r="CJ6" s="21">
        <f>CG6*CH6</f>
        <v>17.400000000000002</v>
      </c>
      <c r="CK6" s="15">
        <f>CJ6/$CJ$7</f>
        <v>0.27272727272727276</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59</v>
      </c>
      <c r="E7" s="15">
        <f>Table3[[#This Row],[Watched]]/Table3[[#This Row],[GP]]</f>
        <v>0.96721311475409832</v>
      </c>
      <c r="F7">
        <f>COUNTIFS(DataRegularSeason20242025!$N$3:$N$1315,1,DataRegularSeason20242025!$D$3:$D$1315,$A7)</f>
        <v>30</v>
      </c>
      <c r="G7">
        <f>41-Table3[[#This Row],[GP_A]]</f>
        <v>11</v>
      </c>
      <c r="H7">
        <f>COUNTIFS(DataRegularSeason20242025!$E$3:$E$1315,$A7,DataRegularSeason20242025!$N$3:$N$1315,1)</f>
        <v>31</v>
      </c>
      <c r="I7">
        <f>41-Table3[[#This Row],[GP_H]]</f>
        <v>10</v>
      </c>
      <c r="J7">
        <f>F7+H7</f>
        <v>61</v>
      </c>
      <c r="K7">
        <f>82-Table3[[#This Row],[GP]]</f>
        <v>21</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37</v>
      </c>
      <c r="AC7">
        <f>Table3[[#This Row],[L_A]]+Table3[[#This Row],[L_H]]</f>
        <v>24</v>
      </c>
      <c r="AD7">
        <f>Table3[[#This Row],[RW_A]]+Table3[[#This Row],[RW_H]]</f>
        <v>31</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77</v>
      </c>
      <c r="AL7">
        <f>(3*(Table3[[#This Row],[RW_A]]+Table3[[#This Row],[RW_H]]))+(2*(Table3[[#This Row],[OTW_A]]+Table3[[#This Row],[SOW_A]]+Table3[[#This Row],[OTW_H]]+Table3[[#This Row],[SOW_H]]))+Table3[[#This Row],[OTL_A]]+Table3[[#This Row],[SOL_A]]+Table3[[#This Row],[OTL_H]]+Table3[[#This Row],[SOL_H]]</f>
        <v>108</v>
      </c>
      <c r="AM7" s="15">
        <f>Table3[[#This Row],[PTS]]/(2*Table3[[#This Row],[GP]])</f>
        <v>0.63114754098360659</v>
      </c>
      <c r="AN7" s="15">
        <f>Table3[[#This Row],[PTS2]]/(3*Table3[[#This Row],[GP]])</f>
        <v>0.5901639344262295</v>
      </c>
      <c r="AO7">
        <f>(2*Table3[[#This Row],[GR]])+Table3[[#This Row],[PTS]]</f>
        <v>119</v>
      </c>
      <c r="AP7">
        <f>(3*Table3[[#This Row],[GR]])+Table3[[#This Row],[PTS2]]</f>
        <v>171</v>
      </c>
      <c r="AQ7">
        <f>Table3[[#This Row],[PTS]]+(2 * Table3[[#This Row],[GR]] * Table3[[#This Row],[PTS%]])</f>
        <v>103.50819672131148</v>
      </c>
      <c r="AR7">
        <f>Table3[[#This Row],[PTS2]]+(3 * Table3[[#This Row],[GR]] * Table3[[#This Row],[PTS%2]])</f>
        <v>145.18032786885246</v>
      </c>
      <c r="AS7" s="20" t="str">
        <f>_xlfn.CONCAT(TEXT(Table3[[#This Row],[W]], "0"), "-", TEXT(Table3[[#This Row],[RL]],"0"), "-", TEXT(Table3[[#This Row],[OTL]]+Table3[[#This Row],[SOL]], "0"))</f>
        <v>37-21-3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5</v>
      </c>
      <c r="AY7">
        <f>SUMIF(DataRegularSeason20242025!$E$3:$E$1315,$A7,DataRegularSeason20242025!$K$3:$K$1315)</f>
        <v>100</v>
      </c>
      <c r="AZ7">
        <f>SUMIF(DataRegularSeason20242025!$E$3:$E$1315,$A7,DataRegularSeason20242025!$J$3:$J$1315)</f>
        <v>81</v>
      </c>
      <c r="BA7">
        <f>AY7-AZ7</f>
        <v>19</v>
      </c>
      <c r="BB7">
        <f>AU7+AY7</f>
        <v>204</v>
      </c>
      <c r="BC7">
        <f>AV7+AZ7</f>
        <v>171</v>
      </c>
      <c r="BD7">
        <f>BB7-BC7</f>
        <v>33</v>
      </c>
      <c r="BE7" s="17">
        <f>Table3[[#This Row],[GF]]/Table3[[#This Row],[GP]]</f>
        <v>3.3442622950819674</v>
      </c>
      <c r="BF7" s="17">
        <f>Table3[[#This Row],[GA]]/Table3[[#This Row],[GP]]</f>
        <v>2.8032786885245899</v>
      </c>
      <c r="BG7" s="17">
        <f>(Table3[[#This Row],[GF]]-Table3[[#This Row],[GA]])/Table3[[#This Row],[GP]]</f>
        <v>0.54098360655737709</v>
      </c>
      <c r="BH7" s="49" t="str">
        <f>_xlfn.CONCAT(TEXT(Table3[[#This Row],[W_H]], "0"), "-", TEXT(Table3[[#This Row],[RL_H]],"0"), "-", TEXT(Table3[[#This Row],[OTL_H]]+Table3[[#This Row],[SOL_H]], "0"))</f>
        <v>19-10-2</v>
      </c>
      <c r="BI7" s="49" t="str">
        <f>_xlfn.CONCAT(TEXT(Table3[[#This Row],[W_A]], "0"), "-", TEXT(Table3[[#This Row],[RL_A]],"0"), "-", TEXT(Table3[[#This Row],[OTL_A]]+Table3[[#This Row],[SOL_A]], "0"))</f>
        <v>18-11-1</v>
      </c>
      <c r="BJ7" s="49">
        <f>((2*(Table3[[#This Row],[W_H]]))+Table3[[#This Row],[OTL_H]]+Table3[[#This Row],[SOL_H]])/(2*Table3[[#This Row],[GP_H]])</f>
        <v>0.64516129032258063</v>
      </c>
      <c r="BK7" s="49">
        <f>((2*(Table3[[#This Row],[W_A]]))+Table3[[#This Row],[OTL_A]]+Table3[[#This Row],[SOL_A]])/(2*Table3[[#This Row],[GP_A]])</f>
        <v>0.6166666666666667</v>
      </c>
      <c r="BL7" s="21">
        <f>(Table3[[#This Row],[W]]*$CG$3)+(Table3[[#This Row],[L]]*$CG$4)+(Table3[[#This Row],[GF]]*$CG$5)+(Table3[[#This Row],[GA]]*$CG$6)</f>
        <v>73.400000000000006</v>
      </c>
      <c r="BM7" s="21">
        <f>(82*(((Table3[[#This Row],[PTS%]]*$CG$3)+((1-Table3[[#This Row],[PTS%]])*$CG$4)+(Table3[[#This Row],[GF]]*$CG$5)+(Table3[[#This Row],[GA]]*$CG$6))/Table3[[#This Row],[GP]])) + (Table3[[#This Row],[W]]*$CG$3)+(Table3[[#This Row],[L]]*$CG$4)+(Table3[[#This Row],[GF]]*$CG$5)+(Table3[[#This Row],[GA]]*$CG$6)</f>
        <v>138.09427573233003</v>
      </c>
      <c r="BN7">
        <f>COUNTIFS(DataRegularSeason20242025!$D$3:$D$1315,$A7,DataRegularSeason20242025!$H$3:$H$1315, $A7)</f>
        <v>19</v>
      </c>
      <c r="BO7">
        <f>COUNTIFS(DataRegularSeason20242025!$E$3:$E$1315,$A7,DataRegularSeason20242025!$H$3:$H$1315, $A7)</f>
        <v>23</v>
      </c>
      <c r="BP7">
        <f>BN7+BO7</f>
        <v>42</v>
      </c>
      <c r="BQ7">
        <f>F7-BN7</f>
        <v>11</v>
      </c>
      <c r="BR7">
        <f>H7-BO7</f>
        <v>8</v>
      </c>
      <c r="BS7">
        <f>BQ7+BR7</f>
        <v>19</v>
      </c>
      <c r="BV7">
        <v>2024</v>
      </c>
      <c r="BW7" t="str">
        <f>INDEX(Table2[AwayTeam], Table3[[#This Row],[Column2]])</f>
        <v>CHI</v>
      </c>
      <c r="BX7">
        <f>LARGE((Table2[[#This Row],[AwayTeam]]=Table3[[#This Row],[Teams]]), 1)</f>
        <v>0</v>
      </c>
      <c r="CA7" t="s">
        <v>1463</v>
      </c>
      <c r="CB7">
        <f>SUM($AF$2:$AF$33)</f>
        <v>140</v>
      </c>
      <c r="CI7" s="22">
        <f>MAX(CG4,CG3*INDEX($AM$2:$AM$33,MATCH("CGY",$A$2:$A$33,0),1))+(CG5*CI5)+(CG6*CI6)</f>
        <v>0.98644067796610169</v>
      </c>
      <c r="CJ7" s="97">
        <f>SUM(CJ3:CJ6)</f>
        <v>63.8</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49</v>
      </c>
      <c r="E8" s="15">
        <f>Table3[[#This Row],[Watched]]/Table3[[#This Row],[GP]]</f>
        <v>0.83050847457627119</v>
      </c>
      <c r="F8">
        <f>COUNTIFS(DataRegularSeason20242025!$N$3:$N$1315,1,DataRegularSeason20242025!$D$3:$D$1315,$A8)</f>
        <v>29</v>
      </c>
      <c r="G8">
        <f>41-Table3[[#This Row],[GP_A]]</f>
        <v>12</v>
      </c>
      <c r="H8">
        <f>COUNTIFS(DataRegularSeason20242025!$E$3:$E$1315,$A8,DataRegularSeason20242025!$N$3:$N$1315,1)</f>
        <v>30</v>
      </c>
      <c r="I8">
        <f>41-Table3[[#This Row],[GP_H]]</f>
        <v>11</v>
      </c>
      <c r="J8">
        <f>F8+H8</f>
        <v>59</v>
      </c>
      <c r="K8">
        <f>82-Table3[[#This Row],[GP]]</f>
        <v>23</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15</v>
      </c>
      <c r="Q8">
        <f>COUNTIFS(DataRegularSeason20242025!$D$3:$D$1315,$A8, DataRegularSeason20242025!$S$3:$S$1315, $A8,DataRegularSeason20242025!$M$3:$M$1315,"REG")</f>
        <v>13</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35</v>
      </c>
      <c r="AC8">
        <f>Table3[[#This Row],[L_A]]+Table3[[#This Row],[L_H]]</f>
        <v>24</v>
      </c>
      <c r="AD8">
        <f>Table3[[#This Row],[RW_A]]+Table3[[#This Row],[RW_H]]</f>
        <v>30</v>
      </c>
      <c r="AE8">
        <f>Table3[[#This Row],[RL_A]]+Table3[[#This Row],[RL_H]]</f>
        <v>20</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74</v>
      </c>
      <c r="AL8">
        <f>(3*(Table3[[#This Row],[RW_A]]+Table3[[#This Row],[RW_H]]))+(2*(Table3[[#This Row],[OTW_A]]+Table3[[#This Row],[SOW_A]]+Table3[[#This Row],[OTW_H]]+Table3[[#This Row],[SOW_H]]))+Table3[[#This Row],[OTL_A]]+Table3[[#This Row],[SOL_A]]+Table3[[#This Row],[OTL_H]]+Table3[[#This Row],[SOL_H]]</f>
        <v>104</v>
      </c>
      <c r="AM8" s="15">
        <f>Table3[[#This Row],[PTS]]/(2*Table3[[#This Row],[GP]])</f>
        <v>0.6271186440677966</v>
      </c>
      <c r="AN8" s="15">
        <f>Table3[[#This Row],[PTS2]]/(3*Table3[[#This Row],[GP]])</f>
        <v>0.58757062146892658</v>
      </c>
      <c r="AO8">
        <f>(2*Table3[[#This Row],[GR]])+Table3[[#This Row],[PTS]]</f>
        <v>120</v>
      </c>
      <c r="AP8">
        <f>(3*Table3[[#This Row],[GR]])+Table3[[#This Row],[PTS2]]</f>
        <v>173</v>
      </c>
      <c r="AQ8">
        <f>Table3[[#This Row],[PTS]]+(2 * Table3[[#This Row],[GR]] * Table3[[#This Row],[PTS%]])</f>
        <v>102.84745762711864</v>
      </c>
      <c r="AR8">
        <f>Table3[[#This Row],[PTS2]]+(3 * Table3[[#This Row],[GR]] * Table3[[#This Row],[PTS%2]])</f>
        <v>144.54237288135593</v>
      </c>
      <c r="AS8" s="20" t="str">
        <f>_xlfn.CONCAT(TEXT(Table3[[#This Row],[W]], "0"), "-", TEXT(Table3[[#This Row],[RL]],"0"), "-", TEXT(Table3[[#This Row],[OTL]]+Table3[[#This Row],[SOL]], "0"))</f>
        <v>35-20-4</v>
      </c>
      <c r="AT8">
        <f>COUNTIFS(DataRegularSeason20242025!$D$3:$D$1315,Table3[[#This Row],[Teams]],DataRegularSeason20242025!$K$3:$K$1315,0)</f>
        <v>1</v>
      </c>
      <c r="AU8">
        <f>SUMIF(DataRegularSeason20242025!$D$3:$D$1315,$A8, DataRegularSeason20242025!$J$3:$J$1315)</f>
        <v>101</v>
      </c>
      <c r="AV8">
        <f>SUMIF(DataRegularSeason20242025!$D$3:$D$1315,$A8, DataRegularSeason20242025!$K$3:$K$1315)</f>
        <v>91</v>
      </c>
      <c r="AW8">
        <f>AU8-AV8</f>
        <v>10</v>
      </c>
      <c r="AX8">
        <f>COUNTIFS(DataRegularSeason20242025!$E$3:$E$1315,Table3[[#This Row],[Teams]],DataRegularSeason20242025!$J$3:$J$1315,0)</f>
        <v>4</v>
      </c>
      <c r="AY8">
        <f>SUMIF(DataRegularSeason20242025!$E$3:$E$1315,$A8,DataRegularSeason20242025!$K$3:$K$1315)</f>
        <v>110</v>
      </c>
      <c r="AZ8">
        <f>SUMIF(DataRegularSeason20242025!$E$3:$E$1315,$A8,DataRegularSeason20242025!$J$3:$J$1315)</f>
        <v>65</v>
      </c>
      <c r="BA8">
        <f>AY8-AZ8</f>
        <v>45</v>
      </c>
      <c r="BB8">
        <f>AU8+AY8</f>
        <v>211</v>
      </c>
      <c r="BC8">
        <f>AV8+AZ8</f>
        <v>156</v>
      </c>
      <c r="BD8">
        <f>BB8-BC8</f>
        <v>55</v>
      </c>
      <c r="BE8" s="17">
        <f>Table3[[#This Row],[GF]]/Table3[[#This Row],[GP]]</f>
        <v>3.5762711864406778</v>
      </c>
      <c r="BF8" s="17">
        <f>Table3[[#This Row],[GA]]/Table3[[#This Row],[GP]]</f>
        <v>2.6440677966101696</v>
      </c>
      <c r="BG8" s="17">
        <f>(Table3[[#This Row],[GF]]-Table3[[#This Row],[GA]])/Table3[[#This Row],[GP]]</f>
        <v>0.93220338983050843</v>
      </c>
      <c r="BH8" s="49" t="str">
        <f>_xlfn.CONCAT(TEXT(Table3[[#This Row],[W_H]], "0"), "-", TEXT(Table3[[#This Row],[RL_H]],"0"), "-", TEXT(Table3[[#This Row],[OTL_H]]+Table3[[#This Row],[SOL_H]], "0"))</f>
        <v>21-7-2</v>
      </c>
      <c r="BI8" s="49" t="str">
        <f>_xlfn.CONCAT(TEXT(Table3[[#This Row],[W_A]], "0"), "-", TEXT(Table3[[#This Row],[RL_A]],"0"), "-", TEXT(Table3[[#This Row],[OTL_A]]+Table3[[#This Row],[SOL_A]], "0"))</f>
        <v>14-13-2</v>
      </c>
      <c r="BJ8" s="49">
        <f>((2*(Table3[[#This Row],[W_H]]))+Table3[[#This Row],[OTL_H]]+Table3[[#This Row],[SOL_H]])/(2*Table3[[#This Row],[GP_H]])</f>
        <v>0.73333333333333328</v>
      </c>
      <c r="BK8" s="49">
        <f>((2*(Table3[[#This Row],[W_A]]))+Table3[[#This Row],[OTL_A]]+Table3[[#This Row],[SOL_A]])/(2*Table3[[#This Row],[GP_A]])</f>
        <v>0.51724137931034486</v>
      </c>
      <c r="BL8" s="21">
        <f>(Table3[[#This Row],[W]]*$CG$3)+(Table3[[#This Row],[L]]*$CG$4)+(Table3[[#This Row],[GF]]*$CG$5)+(Table3[[#This Row],[GA]]*$CG$6)</f>
        <v>71.949999999999989</v>
      </c>
      <c r="BM8" s="21">
        <f>(82*(((Table3[[#This Row],[PTS%]]*$CG$3)+((1-Table3[[#This Row],[PTS%]])*$CG$4)+(Table3[[#This Row],[GF]]*$CG$5)+(Table3[[#This Row],[GA]]*$CG$6))/Table3[[#This Row],[GP]])) + (Table3[[#This Row],[W]]*$CG$3)+(Table3[[#This Row],[L]]*$CG$4)+(Table3[[#This Row],[GF]]*$CG$5)+(Table3[[#This Row],[GA]]*$CG$6)</f>
        <v>138.21075840275782</v>
      </c>
      <c r="BN8">
        <f>COUNTIFS(DataRegularSeason20242025!$D$3:$D$1315,$A8,DataRegularSeason20242025!$H$3:$H$1315, $A8)</f>
        <v>17</v>
      </c>
      <c r="BO8">
        <f>COUNTIFS(DataRegularSeason20242025!$E$3:$E$1315,$A8,DataRegularSeason20242025!$H$3:$H$1315, $A8)</f>
        <v>19</v>
      </c>
      <c r="BP8">
        <f>BN8+BO8</f>
        <v>36</v>
      </c>
      <c r="BQ8">
        <f>F8-BN8</f>
        <v>12</v>
      </c>
      <c r="BR8">
        <f>H8-BO8</f>
        <v>11</v>
      </c>
      <c r="BS8">
        <f>BQ8+BR8</f>
        <v>23</v>
      </c>
      <c r="BV8">
        <v>2021</v>
      </c>
      <c r="BW8" t="str">
        <f>INDEX(Table2[AwayTeam], Table3[[#This Row],[Column2]])</f>
        <v>TOR</v>
      </c>
      <c r="BX8">
        <f>LARGE((Table2[[#This Row],[AwayTeam]]=Table3[[#This Row],[Teams]]), 1)</f>
        <v>0</v>
      </c>
      <c r="CA8" t="s">
        <v>1464</v>
      </c>
      <c r="CB8">
        <f>SUM($AH$2:$AH$33)</f>
        <v>48</v>
      </c>
      <c r="CH8" t="s">
        <v>1474</v>
      </c>
      <c r="CI8" s="22">
        <f>CI7*82</f>
        <v>80.888135593220341</v>
      </c>
      <c r="CJ8" s="21">
        <f>CJ7+((82-CH2)*CI7)</f>
        <v>86.488135593220335</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0.95</v>
      </c>
      <c r="F9">
        <f>COUNTIFS(DataRegularSeason20242025!$N$3:$N$1315,1,DataRegularSeason20242025!$D$3:$D$1315,$A9)</f>
        <v>30</v>
      </c>
      <c r="G9">
        <f>41-Table3[[#This Row],[GP_A]]</f>
        <v>11</v>
      </c>
      <c r="H9">
        <f>COUNTIFS(DataRegularSeason20242025!$E$3:$E$1315,$A9,DataRegularSeason20242025!$N$3:$N$1315,1)</f>
        <v>30</v>
      </c>
      <c r="I9">
        <f>41-Table3[[#This Row],[GP_H]]</f>
        <v>11</v>
      </c>
      <c r="J9">
        <f>F9+H9</f>
        <v>60</v>
      </c>
      <c r="K9">
        <f>82-Table3[[#This Row],[GP]]</f>
        <v>22</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13</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F9-L9</f>
        <v>13</v>
      </c>
      <c r="Q9">
        <f>COUNTIFS(DataRegularSeason20242025!$D$3:$D$1315,$A9, DataRegularSeason20242025!$S$3:$S$1315, $A9,DataRegularSeason20242025!$M$3:$M$1315,"REG")</f>
        <v>11</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35</v>
      </c>
      <c r="AC9">
        <f>Table3[[#This Row],[L_A]]+Table3[[#This Row],[L_H]]</f>
        <v>25</v>
      </c>
      <c r="AD9">
        <f>Table3[[#This Row],[RW_A]]+Table3[[#This Row],[RW_H]]</f>
        <v>26</v>
      </c>
      <c r="AE9">
        <f>Table3[[#This Row],[RL_A]]+Table3[[#This Row],[RL_H]]</f>
        <v>21</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74</v>
      </c>
      <c r="AL9">
        <f>(3*(Table3[[#This Row],[RW_A]]+Table3[[#This Row],[RW_H]]))+(2*(Table3[[#This Row],[OTW_A]]+Table3[[#This Row],[SOW_A]]+Table3[[#This Row],[OTW_H]]+Table3[[#This Row],[SOW_H]]))+Table3[[#This Row],[OTL_A]]+Table3[[#This Row],[SOL_A]]+Table3[[#This Row],[OTL_H]]+Table3[[#This Row],[SOL_H]]</f>
        <v>100</v>
      </c>
      <c r="AM9" s="15">
        <f>Table3[[#This Row],[PTS]]/(2*Table3[[#This Row],[GP]])</f>
        <v>0.6166666666666667</v>
      </c>
      <c r="AN9" s="15">
        <f>Table3[[#This Row],[PTS2]]/(3*Table3[[#This Row],[GP]])</f>
        <v>0.55555555555555558</v>
      </c>
      <c r="AO9">
        <f>(2*Table3[[#This Row],[GR]])+Table3[[#This Row],[PTS]]</f>
        <v>118</v>
      </c>
      <c r="AP9">
        <f>(3*Table3[[#This Row],[GR]])+Table3[[#This Row],[PTS2]]</f>
        <v>166</v>
      </c>
      <c r="AQ9">
        <f>Table3[[#This Row],[PTS]]+(2 * Table3[[#This Row],[GR]] * Table3[[#This Row],[PTS%]])</f>
        <v>101.13333333333333</v>
      </c>
      <c r="AR9">
        <f>Table3[[#This Row],[PTS2]]+(3 * Table3[[#This Row],[GR]] * Table3[[#This Row],[PTS%2]])</f>
        <v>136.66666666666669</v>
      </c>
      <c r="AS9" s="20" t="str">
        <f>_xlfn.CONCAT(TEXT(Table3[[#This Row],[W]], "0"), "-", TEXT(Table3[[#This Row],[RL]],"0"), "-", TEXT(Table3[[#This Row],[OTL]]+Table3[[#This Row],[SOL]], "0"))</f>
        <v>35-21-4</v>
      </c>
      <c r="AT9">
        <f>COUNTIFS(DataRegularSeason20242025!$D$3:$D$1315,Table3[[#This Row],[Teams]],DataRegularSeason20242025!$K$3:$K$1315,0)</f>
        <v>1</v>
      </c>
      <c r="AU9">
        <f>SUMIF(DataRegularSeason20242025!$D$3:$D$1315,$A9, DataRegularSeason20242025!$J$3:$J$1315)</f>
        <v>100</v>
      </c>
      <c r="AV9">
        <f>SUMIF(DataRegularSeason20242025!$D$3:$D$1315,$A9, DataRegularSeason20242025!$K$3:$K$1315)</f>
        <v>90</v>
      </c>
      <c r="AW9">
        <f>AU9-AV9</f>
        <v>10</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AY9-AZ9</f>
        <v>11</v>
      </c>
      <c r="BB9">
        <f>AU9+AY9</f>
        <v>195</v>
      </c>
      <c r="BC9">
        <f>AV9+AZ9</f>
        <v>174</v>
      </c>
      <c r="BD9">
        <f>BB9-BC9</f>
        <v>21</v>
      </c>
      <c r="BE9" s="17">
        <f>Table3[[#This Row],[GF]]/Table3[[#This Row],[GP]]</f>
        <v>3.25</v>
      </c>
      <c r="BF9" s="17">
        <f>Table3[[#This Row],[GA]]/Table3[[#This Row],[GP]]</f>
        <v>2.9</v>
      </c>
      <c r="BG9" s="17">
        <f>(Table3[[#This Row],[GF]]-Table3[[#This Row],[GA]])/Table3[[#This Row],[GP]]</f>
        <v>0.35</v>
      </c>
      <c r="BH9" s="49" t="str">
        <f>_xlfn.CONCAT(TEXT(Table3[[#This Row],[W_H]], "0"), "-", TEXT(Table3[[#This Row],[RL_H]],"0"), "-", TEXT(Table3[[#This Row],[OTL_H]]+Table3[[#This Row],[SOL_H]], "0"))</f>
        <v>18-10-2</v>
      </c>
      <c r="BI9" s="49" t="str">
        <f>_xlfn.CONCAT(TEXT(Table3[[#This Row],[W_A]], "0"), "-", TEXT(Table3[[#This Row],[RL_A]],"0"), "-", TEXT(Table3[[#This Row],[OTL_A]]+Table3[[#This Row],[SOL_A]], "0"))</f>
        <v>17-11-2</v>
      </c>
      <c r="BJ9" s="49">
        <f>((2*(Table3[[#This Row],[W_H]]))+Table3[[#This Row],[OTL_H]]+Table3[[#This Row],[SOL_H]])/(2*Table3[[#This Row],[GP_H]])</f>
        <v>0.6333333333333333</v>
      </c>
      <c r="BK9" s="49">
        <f>((2*(Table3[[#This Row],[W_A]]))+Table3[[#This Row],[OTL_A]]+Table3[[#This Row],[SOL_A]])/(2*Table3[[#This Row],[GP_A]])</f>
        <v>0.6</v>
      </c>
      <c r="BL9" s="21">
        <f>(Table3[[#This Row],[W]]*$CG$3)+(Table3[[#This Row],[L]]*$CG$4)+(Table3[[#This Row],[GF]]*$CG$5)+(Table3[[#This Row],[GA]]*$CG$6)</f>
        <v>71.650000000000006</v>
      </c>
      <c r="BM9" s="21">
        <f>(82*(((Table3[[#This Row],[PTS%]]*$CG$3)+((1-Table3[[#This Row],[PTS%]])*$CG$4)+(Table3[[#This Row],[GF]]*$CG$5)+(Table3[[#This Row],[GA]]*$CG$6))/Table3[[#This Row],[GP]])) + (Table3[[#This Row],[W]]*$CG$3)+(Table3[[#This Row],[L]]*$CG$4)+(Table3[[#This Row],[GF]]*$CG$5)+(Table3[[#This Row],[GA]]*$CG$6)</f>
        <v>135.98355555555557</v>
      </c>
      <c r="BN9">
        <f>COUNTIFS(DataRegularSeason20242025!$D$3:$D$1315,$A9,DataRegularSeason20242025!$H$3:$H$1315, $A9)</f>
        <v>21</v>
      </c>
      <c r="BO9">
        <f>COUNTIFS(DataRegularSeason20242025!$E$3:$E$1315,$A9,DataRegularSeason20242025!$H$3:$H$1315, $A9)</f>
        <v>20</v>
      </c>
      <c r="BP9">
        <f>BN9+BO9</f>
        <v>41</v>
      </c>
      <c r="BQ9">
        <f>F9-BN9</f>
        <v>9</v>
      </c>
      <c r="BR9">
        <f>H9-BO9</f>
        <v>10</v>
      </c>
      <c r="BS9">
        <f>BQ9+BR9</f>
        <v>19</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50</v>
      </c>
      <c r="E10" s="15">
        <f>Table3[[#This Row],[Watched]]/Table3[[#This Row],[GP]]</f>
        <v>0.8771929824561403</v>
      </c>
      <c r="F10">
        <f>COUNTIFS(DataRegularSeason20242025!$N$3:$N$1315,1,DataRegularSeason20242025!$D$3:$D$1315,$A10)</f>
        <v>32</v>
      </c>
      <c r="G10">
        <f>41-Table3[[#This Row],[GP_A]]</f>
        <v>9</v>
      </c>
      <c r="H10">
        <f>COUNTIFS(DataRegularSeason20242025!$E$3:$E$1315,$A10,DataRegularSeason20242025!$N$3:$N$1315,1)</f>
        <v>25</v>
      </c>
      <c r="I10">
        <f>41-Table3[[#This Row],[GP_H]]</f>
        <v>16</v>
      </c>
      <c r="J10">
        <f>F10+H10</f>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11</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20</v>
      </c>
      <c r="Q10">
        <f>COUNTIFS(DataRegularSeason20242025!$D$3:$D$1315,$A10, DataRegularSeason20242025!$S$3:$S$1315, $A10,DataRegularSeason20242025!$M$3:$M$1315,"REG")</f>
        <v>15</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1</v>
      </c>
      <c r="X10">
        <f>H10-T10</f>
        <v>6</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2</v>
      </c>
      <c r="AB10">
        <f>Table3[[#This Row],[W_A]]+Table3[[#This Row],[W_H]]</f>
        <v>31</v>
      </c>
      <c r="AC10">
        <f>Table3[[#This Row],[L_A]]+Table3[[#This Row],[L_H]]</f>
        <v>26</v>
      </c>
      <c r="AD10">
        <f>Table3[[#This Row],[RW_A]]+Table3[[#This Row],[RW_H]]</f>
        <v>28</v>
      </c>
      <c r="AE10">
        <f>Table3[[#This Row],[RL_A]]+Table3[[#This Row],[RL_H]]</f>
        <v>18</v>
      </c>
      <c r="AF10">
        <f>Table3[[#This Row],[OTW_A]]+Table3[[#This Row],[OTW_H]]</f>
        <v>2</v>
      </c>
      <c r="AG10">
        <f>Table3[[#This Row],[OTL_A]]+Table3[[#This Row],[OTL_H]]</f>
        <v>6</v>
      </c>
      <c r="AH10">
        <f>Table3[[#This Row],[SOW_A]]+Table3[[#This Row],[SOW_H]]</f>
        <v>1</v>
      </c>
      <c r="AI10">
        <f>Table3[[#This Row],[SOL_A]]+Table3[[#This Row],[SOL_H]]</f>
        <v>2</v>
      </c>
      <c r="AJ10" s="20" t="str">
        <f>_xlfn.CONCAT(TEXT(Table3[[#This Row],[OTW]]+Table3[[#This Row],[SOW]], "0"), "-", TEXT(Table3[[#This Row],[OTL]]+Table3[[#This Row],[SOL]],"0"))</f>
        <v>3-8</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98</v>
      </c>
      <c r="AM10" s="15">
        <f>Table3[[#This Row],[PTS]]/(2*Table3[[#This Row],[GP]])</f>
        <v>0.61403508771929827</v>
      </c>
      <c r="AN10" s="15">
        <f>Table3[[#This Row],[PTS2]]/(3*Table3[[#This Row],[GP]])</f>
        <v>0.57309941520467833</v>
      </c>
      <c r="AO10">
        <f>(2*Table3[[#This Row],[GR]])+Table3[[#This Row],[PTS]]</f>
        <v>120</v>
      </c>
      <c r="AP10">
        <f>(3*Table3[[#This Row],[GR]])+Table3[[#This Row],[PTS2]]</f>
        <v>173</v>
      </c>
      <c r="AQ10">
        <f>Table3[[#This Row],[PTS]]+(2 * Table3[[#This Row],[GR]] * Table3[[#This Row],[PTS%]])</f>
        <v>100.70175438596492</v>
      </c>
      <c r="AR10">
        <f>Table3[[#This Row],[PTS2]]+(3 * Table3[[#This Row],[GR]] * Table3[[#This Row],[PTS%2]])</f>
        <v>140.98245614035088</v>
      </c>
      <c r="AS10" s="20" t="str">
        <f>_xlfn.CONCAT(TEXT(Table3[[#This Row],[W]], "0"), "-", TEXT(Table3[[#This Row],[RL]],"0"), "-", TEXT(Table3[[#This Row],[OTL]]+Table3[[#This Row],[SOL]], "0"))</f>
        <v>31-18-8</v>
      </c>
      <c r="AT10">
        <f>COUNTIFS(DataRegularSeason20242025!$D$3:$D$1315,Table3[[#This Row],[Teams]],DataRegularSeason20242025!$K$3:$K$1315,0)</f>
        <v>1</v>
      </c>
      <c r="AU10">
        <f>SUMIF(DataRegularSeason20242025!$D$3:$D$1315,$A10, DataRegularSeason20242025!$J$3:$J$1315)</f>
        <v>81</v>
      </c>
      <c r="AV10">
        <f>SUMIF(DataRegularSeason20242025!$D$3:$D$1315,$A10, DataRegularSeason20242025!$K$3:$K$1315)</f>
        <v>95</v>
      </c>
      <c r="AW10">
        <f>AU10-AV10</f>
        <v>-14</v>
      </c>
      <c r="AX10">
        <f>COUNTIFS(DataRegularSeason20242025!$E$3:$E$1315,Table3[[#This Row],[Teams]],DataRegularSeason20242025!$J$3:$J$1315,0)</f>
        <v>1</v>
      </c>
      <c r="AY10">
        <f>SUMIF(DataRegularSeason20242025!$E$3:$E$1315,$A10,DataRegularSeason20242025!$K$3:$K$1315)</f>
        <v>85</v>
      </c>
      <c r="AZ10">
        <f>SUMIF(DataRegularSeason20242025!$E$3:$E$1315,$A10,DataRegularSeason20242025!$J$3:$J$1315)</f>
        <v>57</v>
      </c>
      <c r="BA10">
        <f>AY10-AZ10</f>
        <v>28</v>
      </c>
      <c r="BB10">
        <f>AU10+AY10</f>
        <v>166</v>
      </c>
      <c r="BC10">
        <f>AV10+AZ10</f>
        <v>152</v>
      </c>
      <c r="BD10">
        <f>BB10-BC10</f>
        <v>14</v>
      </c>
      <c r="BE10" s="17">
        <f>Table3[[#This Row],[GF]]/Table3[[#This Row],[GP]]</f>
        <v>2.9122807017543861</v>
      </c>
      <c r="BF10" s="17">
        <f>Table3[[#This Row],[GA]]/Table3[[#This Row],[GP]]</f>
        <v>2.6666666666666665</v>
      </c>
      <c r="BG10" s="17">
        <f>(Table3[[#This Row],[GF]]-Table3[[#This Row],[GA]])/Table3[[#This Row],[GP]]</f>
        <v>0.24561403508771928</v>
      </c>
      <c r="BH10" s="49" t="str">
        <f>_xlfn.CONCAT(TEXT(Table3[[#This Row],[W_H]], "0"), "-", TEXT(Table3[[#This Row],[RL_H]],"0"), "-", TEXT(Table3[[#This Row],[OTL_H]]+Table3[[#This Row],[SOL_H]], "0"))</f>
        <v>19-3-3</v>
      </c>
      <c r="BI10" s="49" t="str">
        <f>_xlfn.CONCAT(TEXT(Table3[[#This Row],[W_A]], "0"), "-", TEXT(Table3[[#This Row],[RL_A]],"0"), "-", TEXT(Table3[[#This Row],[OTL_A]]+Table3[[#This Row],[SOL_A]], "0"))</f>
        <v>12-15-5</v>
      </c>
      <c r="BJ10" s="49">
        <f>((2*(Table3[[#This Row],[W_H]]))+Table3[[#This Row],[OTL_H]]+Table3[[#This Row],[SOL_H]])/(2*Table3[[#This Row],[GP_H]])</f>
        <v>0.82</v>
      </c>
      <c r="BK10" s="49">
        <f>((2*(Table3[[#This Row],[W_A]]))+Table3[[#This Row],[OTL_A]]+Table3[[#This Row],[SOL_A]])/(2*Table3[[#This Row],[GP_A]])</f>
        <v>0.453125</v>
      </c>
      <c r="BL10" s="21">
        <f>(Table3[[#This Row],[W]]*$CG$3)+(Table3[[#This Row],[L]]*$CG$4)+(Table3[[#This Row],[GF]]*$CG$5)+(Table3[[#This Row],[GA]]*$CG$6)</f>
        <v>63.400000000000006</v>
      </c>
      <c r="BM10" s="21">
        <f>(82*(((Table3[[#This Row],[PTS%]]*$CG$3)+((1-Table3[[#This Row],[PTS%]])*$CG$4)+(Table3[[#This Row],[GF]]*$CG$5)+(Table3[[#This Row],[GA]]*$CG$6))/Table3[[#This Row],[GP]])) + (Table3[[#This Row],[W]]*$CG$3)+(Table3[[#This Row],[L]]*$CG$4)+(Table3[[#This Row],[GF]]*$CG$5)+(Table3[[#This Row],[GA]]*$CG$6)</f>
        <v>121.69596799015081</v>
      </c>
      <c r="BN10">
        <f>COUNTIFS(DataRegularSeason20242025!$D$3:$D$1315,$A10,DataRegularSeason20242025!$H$3:$H$1315, $A10)</f>
        <v>15</v>
      </c>
      <c r="BO10">
        <f>COUNTIFS(DataRegularSeason20242025!$E$3:$E$1315,$A10,DataRegularSeason20242025!$H$3:$H$1315, $A10)</f>
        <v>15</v>
      </c>
      <c r="BP10">
        <f>BN10+BO10</f>
        <v>30</v>
      </c>
      <c r="BQ10">
        <f>F10-BN10</f>
        <v>17</v>
      </c>
      <c r="BR10">
        <f>H10-BO10</f>
        <v>10</v>
      </c>
      <c r="BS10">
        <f>BQ10+BR10</f>
        <v>27</v>
      </c>
      <c r="BV10">
        <v>2014</v>
      </c>
      <c r="BW10" t="str">
        <f>INDEX(Table2[AwayTeam], Table3[[#This Row],[Column2]])</f>
        <v>WPG</v>
      </c>
      <c r="BX10">
        <f>LARGE((Table2[[#This Row],[AwayTeam]]=Table3[[#This Row],[Teams]]), 1)</f>
        <v>0</v>
      </c>
      <c r="CA10" t="s">
        <v>1468</v>
      </c>
      <c r="CB10" s="1">
        <f>_xlfn.MAXIFS(DataRegularSeason20242025!$B$3:$B$1315,DataRegularSeason20242025!$N$3:$N$1315,1)</f>
        <v>45717</v>
      </c>
    </row>
    <row r="11" spans="1:95" x14ac:dyDescent="0.25">
      <c r="A11" t="s">
        <v>43</v>
      </c>
      <c r="B11" t="s">
        <v>97</v>
      </c>
      <c r="C11" t="s">
        <v>98</v>
      </c>
      <c r="D11">
        <f>COUNTIFS(DataRegularSeason20242025!$D$3:$D$1315,$A11,DataRegularSeason20242025!$R$3:$R$1315,1,DataRegularSeason20242025!$N$3:$N$1315,1) + COUNTIFS(DataRegularSeason20242025!$E$3:$E$1315,$A11,DataRegularSeason20242025!$R$3:$R$1315,1,DataRegularSeason20242025!$N$3:$N$1315,1)</f>
        <v>53</v>
      </c>
      <c r="E11" s="15">
        <f>Table3[[#This Row],[Watched]]/Table3[[#This Row],[GP]]</f>
        <v>0.8833333333333333</v>
      </c>
      <c r="F11">
        <f>COUNTIFS(DataRegularSeason20242025!$N$3:$N$1315,1,DataRegularSeason20242025!$D$3:$D$1315,$A11)</f>
        <v>30</v>
      </c>
      <c r="G11">
        <f>41-Table3[[#This Row],[GP_A]]</f>
        <v>11</v>
      </c>
      <c r="H11">
        <f>COUNTIFS(DataRegularSeason20242025!$E$3:$E$1315,$A11,DataRegularSeason20242025!$N$3:$N$1315,1)</f>
        <v>30</v>
      </c>
      <c r="I11">
        <f>41-Table3[[#This Row],[GP_H]]</f>
        <v>11</v>
      </c>
      <c r="J11">
        <f>F11+H11</f>
        <v>60</v>
      </c>
      <c r="K11">
        <f>82-Table3[[#This Row],[GP]]</f>
        <v>22</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9</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1</v>
      </c>
      <c r="S11">
        <f>COUNTIFS(DataRegularSeason20242025!$D$3:$D$1315,$A11, DataRegularSeason20242025!$S$3:$S$1315, $A11,DataRegularSeason20242025!$M$3:$M$1315,"SO")</f>
        <v>2</v>
      </c>
      <c r="T11">
        <f>COUNTIFS(DataRegularSeason20242025!$E$3:$E$1315,$A11, DataRegularSeason20242025!$L$3:$L$1315, $A11, DataRegularSeason20242025!$N$3:$N$1315,1)</f>
        <v>22</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8</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34</v>
      </c>
      <c r="AC11">
        <f>Table3[[#This Row],[L_A]]+Table3[[#This Row],[L_H]]</f>
        <v>26</v>
      </c>
      <c r="AD11">
        <f>Table3[[#This Row],[RW_A]]+Table3[[#This Row],[RW_H]]</f>
        <v>30</v>
      </c>
      <c r="AE11">
        <f>Table3[[#This Row],[RL_A]]+Table3[[#This Row],[RL_H]]</f>
        <v>22</v>
      </c>
      <c r="AF11">
        <f>Table3[[#This Row],[OTW_A]]+Table3[[#This Row],[OTW_H]]</f>
        <v>4</v>
      </c>
      <c r="AG11">
        <f>Table3[[#This Row],[OTL_A]]+Table3[[#This Row],[OTL_H]]</f>
        <v>2</v>
      </c>
      <c r="AH11">
        <f>Table3[[#This Row],[SOW_A]]+Table3[[#This Row],[SOW_H]]</f>
        <v>0</v>
      </c>
      <c r="AI11">
        <f>Table3[[#This Row],[SOL_A]]+Table3[[#This Row],[SOL_H]]</f>
        <v>2</v>
      </c>
      <c r="AJ11" s="20" t="str">
        <f>_xlfn.CONCAT(TEXT(Table3[[#This Row],[OTW]]+Table3[[#This Row],[SOW]], "0"), "-", TEXT(Table3[[#This Row],[OTL]]+Table3[[#This Row],[SOL]],"0"))</f>
        <v>4-4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102</v>
      </c>
      <c r="AM11" s="15">
        <f>Table3[[#This Row],[PTS]]/(2*Table3[[#This Row],[GP]])</f>
        <v>0.6</v>
      </c>
      <c r="AN11" s="15">
        <f>Table3[[#This Row],[PTS2]]/(3*Table3[[#This Row],[GP]])</f>
        <v>0.56666666666666665</v>
      </c>
      <c r="AO11">
        <f>(2*Table3[[#This Row],[GR]])+Table3[[#This Row],[PTS]]</f>
        <v>116</v>
      </c>
      <c r="AP11">
        <f>(3*Table3[[#This Row],[GR]])+Table3[[#This Row],[PTS2]]</f>
        <v>168</v>
      </c>
      <c r="AQ11">
        <f>Table3[[#This Row],[PTS]]+(2 * Table3[[#This Row],[GR]] * Table3[[#This Row],[PTS%]])</f>
        <v>98.4</v>
      </c>
      <c r="AR11">
        <f>Table3[[#This Row],[PTS2]]+(3 * Table3[[#This Row],[GR]] * Table3[[#This Row],[PTS%2]])</f>
        <v>139.4</v>
      </c>
      <c r="AS11" s="20" t="str">
        <f>_xlfn.CONCAT(TEXT(Table3[[#This Row],[W]], "0"), "-", TEXT(Table3[[#This Row],[RL]],"0"), "-", TEXT(Table3[[#This Row],[OTL]]+Table3[[#This Row],[SOL]], "0"))</f>
        <v>34-22-4</v>
      </c>
      <c r="AT11">
        <f>COUNTIFS(DataRegularSeason20242025!$D$3:$D$1315,Table3[[#This Row],[Teams]],DataRegularSeason20242025!$K$3:$K$1315,0)</f>
        <v>1</v>
      </c>
      <c r="AU11">
        <f>SUMIF(DataRegularSeason20242025!$D$3:$D$1315,$A11, DataRegularSeason20242025!$J$3:$J$1315)</f>
        <v>79</v>
      </c>
      <c r="AV11">
        <f>SUMIF(DataRegularSeason20242025!$D$3:$D$1315,$A11, DataRegularSeason20242025!$K$3:$K$1315)</f>
        <v>92</v>
      </c>
      <c r="AW11">
        <f>AU11-AV11</f>
        <v>-13</v>
      </c>
      <c r="AX11">
        <f>COUNTIFS(DataRegularSeason20242025!$E$3:$E$1315,Table3[[#This Row],[Teams]],DataRegularSeason20242025!$J$3:$J$1315,0)</f>
        <v>3</v>
      </c>
      <c r="AY11">
        <f>SUMIF(DataRegularSeason20242025!$E$3:$E$1315,$A11,DataRegularSeason20242025!$K$3:$K$1315)</f>
        <v>114</v>
      </c>
      <c r="AZ11">
        <f>SUMIF(DataRegularSeason20242025!$E$3:$E$1315,$A11,DataRegularSeason20242025!$J$3:$J$1315)</f>
        <v>77</v>
      </c>
      <c r="BA11">
        <f>AY11-AZ11</f>
        <v>37</v>
      </c>
      <c r="BB11">
        <f>AU11+AY11</f>
        <v>193</v>
      </c>
      <c r="BC11">
        <f>AV11+AZ11</f>
        <v>169</v>
      </c>
      <c r="BD11">
        <f>BB11-BC11</f>
        <v>24</v>
      </c>
      <c r="BE11" s="17">
        <f>Table3[[#This Row],[GF]]/Table3[[#This Row],[GP]]</f>
        <v>3.2166666666666668</v>
      </c>
      <c r="BF11" s="17">
        <f>Table3[[#This Row],[GA]]/Table3[[#This Row],[GP]]</f>
        <v>2.8166666666666669</v>
      </c>
      <c r="BG11" s="17">
        <f>(Table3[[#This Row],[GF]]-Table3[[#This Row],[GA]])/Table3[[#This Row],[GP]]</f>
        <v>0.4</v>
      </c>
      <c r="BH11" s="49" t="str">
        <f>_xlfn.CONCAT(TEXT(Table3[[#This Row],[W_H]], "0"), "-", TEXT(Table3[[#This Row],[RL_H]],"0"), "-", TEXT(Table3[[#This Row],[OTL_H]]+Table3[[#This Row],[SOL_H]], "0"))</f>
        <v>22-7-1</v>
      </c>
      <c r="BI11" s="49" t="str">
        <f>_xlfn.CONCAT(TEXT(Table3[[#This Row],[W_A]], "0"), "-", TEXT(Table3[[#This Row],[RL_A]],"0"), "-", TEXT(Table3[[#This Row],[OTL_A]]+Table3[[#This Row],[SOL_A]], "0"))</f>
        <v>12-15-3</v>
      </c>
      <c r="BJ11" s="49">
        <f>((2*(Table3[[#This Row],[W_H]]))+Table3[[#This Row],[OTL_H]]+Table3[[#This Row],[SOL_H]])/(2*Table3[[#This Row],[GP_H]])</f>
        <v>0.75</v>
      </c>
      <c r="BK11" s="49">
        <f>((2*(Table3[[#This Row],[W_A]]))+Table3[[#This Row],[OTL_A]]+Table3[[#This Row],[SOL_A]])/(2*Table3[[#This Row],[GP_A]])</f>
        <v>0.45</v>
      </c>
      <c r="BL11" s="21">
        <f>(Table3[[#This Row],[W]]*$CG$3)+(Table3[[#This Row],[L]]*$CG$4)+(Table3[[#This Row],[GF]]*$CG$5)+(Table3[[#This Row],[GA]]*$CG$6)</f>
        <v>70.650000000000006</v>
      </c>
      <c r="BM11" s="21">
        <f>(82*(((Table3[[#This Row],[PTS%]]*$CG$3)+((1-Table3[[#This Row],[PTS%]])*$CG$4)+(Table3[[#This Row],[GF]]*$CG$5)+(Table3[[#This Row],[GA]]*$CG$6))/Table3[[#This Row],[GP]])) + (Table3[[#This Row],[W]]*$CG$3)+(Table3[[#This Row],[L]]*$CG$4)+(Table3[[#This Row],[GF]]*$CG$5)+(Table3[[#This Row],[GA]]*$CG$6)</f>
        <v>133.88566666666668</v>
      </c>
      <c r="BN11">
        <f>COUNTIFS(DataRegularSeason20242025!$D$3:$D$1315,$A11,DataRegularSeason20242025!$H$3:$H$1315, $A11)</f>
        <v>18</v>
      </c>
      <c r="BO11">
        <f>COUNTIFS(DataRegularSeason20242025!$E$3:$E$1315,$A11,DataRegularSeason20242025!$H$3:$H$1315, $A11)</f>
        <v>24</v>
      </c>
      <c r="BP11">
        <f>BN11+BO11</f>
        <v>42</v>
      </c>
      <c r="BQ11">
        <f>F11-BN11</f>
        <v>12</v>
      </c>
      <c r="BR11">
        <f>H11-BO11</f>
        <v>6</v>
      </c>
      <c r="BS11">
        <f>BQ11+BR11</f>
        <v>18</v>
      </c>
      <c r="BV11">
        <v>2006</v>
      </c>
      <c r="BW11" t="str">
        <f>INDEX(Table2[AwayTeam], Table3[[#This Row],[Column2]])</f>
        <v>CGY</v>
      </c>
      <c r="BX11">
        <f>LARGE((Table2[[#This Row],[AwayTeam]]=Table3[[#This Row],[Teams]]), 1)</f>
        <v>0</v>
      </c>
      <c r="CA11" t="s">
        <v>1469</v>
      </c>
      <c r="CB11">
        <f>$CB$2/($CB$10-$CB$9)</f>
        <v>6.4527027027027026</v>
      </c>
    </row>
    <row r="12" spans="1:95" x14ac:dyDescent="0.25">
      <c r="A12" t="s">
        <v>36</v>
      </c>
      <c r="B12" t="s">
        <v>96</v>
      </c>
      <c r="C12" t="s">
        <v>94</v>
      </c>
      <c r="D12">
        <f>COUNTIFS(DataRegularSeason20242025!$D$3:$D$1315,$A12,DataRegularSeason20242025!$R$3:$R$1315,1,DataRegularSeason20242025!$N$3:$N$1315,1) + COUNTIFS(DataRegularSeason20242025!$E$3:$E$1315,$A12,DataRegularSeason20242025!$R$3:$R$1315,1,DataRegularSeason20242025!$N$3:$N$1315,1)</f>
        <v>53</v>
      </c>
      <c r="E12" s="15">
        <f>Table3[[#This Row],[Watched]]/Table3[[#This Row],[GP]]</f>
        <v>0.8833333333333333</v>
      </c>
      <c r="F12">
        <f>COUNTIFS(DataRegularSeason20242025!$N$3:$N$1315,1,DataRegularSeason20242025!$D$3:$D$1315,$A12)</f>
        <v>33</v>
      </c>
      <c r="G12">
        <f>41-Table3[[#This Row],[GP_A]]</f>
        <v>8</v>
      </c>
      <c r="H12">
        <f>COUNTIFS(DataRegularSeason20242025!$E$3:$E$1315,$A12,DataRegularSeason20242025!$N$3:$N$1315,1)</f>
        <v>27</v>
      </c>
      <c r="I12">
        <f>41-Table3[[#This Row],[GP_H]]</f>
        <v>14</v>
      </c>
      <c r="J12">
        <f>F12+H12</f>
        <v>60</v>
      </c>
      <c r="K12">
        <f>82-Table3[[#This Row],[GP]]</f>
        <v>22</v>
      </c>
      <c r="L12">
        <f>COUNTIFS(DataRegularSeason20242025!$D$3:$D$1315,$A12, DataRegularSeason20242025!$L$3:$L$1315, $A12,DataRegularSeason20242025!$N$3:$N$1315,1)</f>
        <v>21</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2</v>
      </c>
      <c r="P12">
        <f>F12-L12</f>
        <v>12</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13</v>
      </c>
      <c r="U12">
        <f>COUNTIFS(DataRegularSeason20242025!$E$3:$E$1315,$A12, DataRegularSeason20242025!$L$3:$L$1315, $A12,DataRegularSeason20242025!$N$3:$N$1315,1,DataRegularSeason20242025!$M$3:$M$1315,"REG")</f>
        <v>10</v>
      </c>
      <c r="V12">
        <f>COUNTIFS(DataRegularSeason20242025!$E$3:$E$1315,$A12, DataRegularSeason20242025!$L$3:$L$1315, $A12,DataRegularSeason20242025!$N$3:$N$1315,1,DataRegularSeason20242025!$M$3:$M$1315,"OT")</f>
        <v>3</v>
      </c>
      <c r="W12">
        <f>COUNTIFS(DataRegularSeason20242025!$E$3:$E$1315,$A12, DataRegularSeason20242025!$L$3:$L$1315, $A12,DataRegularSeason20242025!$N$3:$N$1315,1,DataRegularSeason20242025!$M$3:$M$1315,"SO")</f>
        <v>0</v>
      </c>
      <c r="X12">
        <f>H12-T12</f>
        <v>14</v>
      </c>
      <c r="Y12">
        <f>COUNTIFS(DataRegularSeason20242025!$E$3:$E$1315,$A12, DataRegularSeason20242025!$S$3:$S$1315, $A12,DataRegularSeason20242025!$M$3:$M$1315,"REG")</f>
        <v>13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34</v>
      </c>
      <c r="AC12">
        <f>Table3[[#This Row],[L_A]]+Table3[[#This Row],[L_H]]</f>
        <v>26</v>
      </c>
      <c r="AD12">
        <f>Table3[[#This Row],[RW_A]]+Table3[[#This Row],[RW_H]]</f>
        <v>27</v>
      </c>
      <c r="AE12">
        <f>Table3[[#This Row],[RL_A]]+Table3[[#This Row],[RL_H]]</f>
        <v>22</v>
      </c>
      <c r="AF12">
        <f>Table3[[#This Row],[OTW_A]]+Table3[[#This Row],[OTW_H]]</f>
        <v>5</v>
      </c>
      <c r="AG12">
        <f>Table3[[#This Row],[OTL_A]]+Table3[[#This Row],[OTL_H]]</f>
        <v>2</v>
      </c>
      <c r="AH12">
        <f>Table3[[#This Row],[SOW_A]]+Table3[[#This Row],[SOW_H]]</f>
        <v>2</v>
      </c>
      <c r="AI12">
        <f>Table3[[#This Row],[SOL_A]]+Table3[[#This Row],[SOL_H]]</f>
        <v>2</v>
      </c>
      <c r="AJ12" s="20" t="str">
        <f>_xlfn.CONCAT(TEXT(Table3[[#This Row],[OTW]]+Table3[[#This Row],[SOW]], "0"), "-", TEXT(Table3[[#This Row],[OTL]]+Table3[[#This Row],[SOL]],"0"))</f>
        <v>7-4</v>
      </c>
      <c r="AK12">
        <f>(2*(Table3[[#This Row],[W_A]]+Table3[[#This Row],[W_H]]))+Table3[[#This Row],[OTL_A]]+Table3[[#This Row],[SOL_A]]+Table3[[#This Row],[OTL_H]]+Table3[[#This Row],[SOL_H]]</f>
        <v>72</v>
      </c>
      <c r="AL12">
        <f>(3*(Table3[[#This Row],[RW_A]]+Table3[[#This Row],[RW_H]]))+(2*(Table3[[#This Row],[OTW_A]]+Table3[[#This Row],[SOW_A]]+Table3[[#This Row],[OTW_H]]+Table3[[#This Row],[SOW_H]]))+Table3[[#This Row],[OTL_A]]+Table3[[#This Row],[SOL_A]]+Table3[[#This Row],[OTL_H]]+Table3[[#This Row],[SOL_H]]</f>
        <v>99</v>
      </c>
      <c r="AM12" s="15">
        <f>Table3[[#This Row],[PTS]]/(2*Table3[[#This Row],[GP]])</f>
        <v>0.6</v>
      </c>
      <c r="AN12" s="15">
        <f>Table3[[#This Row],[PTS2]]/(3*Table3[[#This Row],[GP]])</f>
        <v>0.55000000000000004</v>
      </c>
      <c r="AO12">
        <f>(2*Table3[[#This Row],[GR]])+Table3[[#This Row],[PTS]]</f>
        <v>116</v>
      </c>
      <c r="AP12">
        <f>(3*Table3[[#This Row],[GR]])+Table3[[#This Row],[PTS2]]</f>
        <v>165</v>
      </c>
      <c r="AQ12">
        <f>Table3[[#This Row],[PTS]]+(2 * Table3[[#This Row],[GR]] * Table3[[#This Row],[PTS%]])</f>
        <v>98.4</v>
      </c>
      <c r="AR12">
        <f>Table3[[#This Row],[PTS2]]+(3 * Table3[[#This Row],[GR]] * Table3[[#This Row],[PTS%2]])</f>
        <v>135.30000000000001</v>
      </c>
      <c r="AS12" s="20" t="str">
        <f>_xlfn.CONCAT(TEXT(Table3[[#This Row],[W]], "0"), "-", TEXT(Table3[[#This Row],[RL]],"0"), "-", TEXT(Table3[[#This Row],[OTL]]+Table3[[#This Row],[SOL]], "0"))</f>
        <v>34-22-4</v>
      </c>
      <c r="AT12">
        <f>COUNTIFS(DataRegularSeason20242025!$D$3:$D$1315,Table3[[#This Row],[Teams]],DataRegularSeason20242025!$K$3:$K$1315,0)</f>
        <v>3</v>
      </c>
      <c r="AU12">
        <f>SUMIF(DataRegularSeason20242025!$D$3:$D$1315,$A12, DataRegularSeason20242025!$J$3:$J$1315)</f>
        <v>100</v>
      </c>
      <c r="AV12">
        <f>SUMIF(DataRegularSeason20242025!$D$3:$D$1315,$A12, DataRegularSeason20242025!$K$3:$K$1315)</f>
        <v>89</v>
      </c>
      <c r="AW12">
        <f>AU12-AV12</f>
        <v>11</v>
      </c>
      <c r="AX12">
        <f>COUNTIFS(DataRegularSeason20242025!$E$3:$E$1315,Table3[[#This Row],[Teams]],DataRegularSeason20242025!$J$3:$J$1315,0)</f>
        <v>1</v>
      </c>
      <c r="AY12">
        <f>SUMIF(DataRegularSeason20242025!$E$3:$E$1315,$A12,DataRegularSeason20242025!$K$3:$K$1315)</f>
        <v>72</v>
      </c>
      <c r="AZ12">
        <f>SUMIF(DataRegularSeason20242025!$E$3:$E$1315,$A12,DataRegularSeason20242025!$J$3:$J$1315)</f>
        <v>87</v>
      </c>
      <c r="BA12">
        <f>AY12-AZ12</f>
        <v>-15</v>
      </c>
      <c r="BB12">
        <f>AU12+AY12</f>
        <v>172</v>
      </c>
      <c r="BC12">
        <f>AV12+AZ12</f>
        <v>176</v>
      </c>
      <c r="BD12">
        <f>BB12-BC12</f>
        <v>-4</v>
      </c>
      <c r="BE12" s="17">
        <f>Table3[[#This Row],[GF]]/Table3[[#This Row],[GP]]</f>
        <v>2.8666666666666667</v>
      </c>
      <c r="BF12" s="17">
        <f>Table3[[#This Row],[GA]]/Table3[[#This Row],[GP]]</f>
        <v>2.9333333333333331</v>
      </c>
      <c r="BG12" s="17">
        <f>(Table3[[#This Row],[GF]]-Table3[[#This Row],[GA]])/Table3[[#This Row],[GP]]</f>
        <v>-6.6666666666666666E-2</v>
      </c>
      <c r="BH12" s="49" t="str">
        <f>_xlfn.CONCAT(TEXT(Table3[[#This Row],[W_H]], "0"), "-", TEXT(Table3[[#This Row],[RL_H]],"0"), "-", TEXT(Table3[[#This Row],[OTL_H]]+Table3[[#This Row],[SOL_H]], "0"))</f>
        <v>13-13-1</v>
      </c>
      <c r="BI12" s="49" t="str">
        <f>_xlfn.CONCAT(TEXT(Table3[[#This Row],[W_A]], "0"), "-", TEXT(Table3[[#This Row],[RL_A]],"0"), "-", TEXT(Table3[[#This Row],[OTL_A]]+Table3[[#This Row],[SOL_A]], "0"))</f>
        <v>21-9-3</v>
      </c>
      <c r="BJ12" s="49">
        <f>((2*(Table3[[#This Row],[W_H]]))+Table3[[#This Row],[OTL_H]]+Table3[[#This Row],[SOL_H]])/(2*Table3[[#This Row],[GP_H]])</f>
        <v>0.5</v>
      </c>
      <c r="BK12" s="49">
        <f>((2*(Table3[[#This Row],[W_A]]))+Table3[[#This Row],[OTL_A]]+Table3[[#This Row],[SOL_A]])/(2*Table3[[#This Row],[GP_A]])</f>
        <v>0.68181818181818177</v>
      </c>
      <c r="BL12" s="21">
        <f>(Table3[[#This Row],[W]]*$CG$3)+(Table3[[#This Row],[L]]*$CG$4)+(Table3[[#This Row],[GF]]*$CG$5)+(Table3[[#This Row],[GA]]*$CG$6)</f>
        <v>68.2</v>
      </c>
      <c r="BM12" s="21">
        <f>(82*(((Table3[[#This Row],[PTS%]]*$CG$3)+((1-Table3[[#This Row],[PTS%]])*$CG$4)+(Table3[[#This Row],[GF]]*$CG$5)+(Table3[[#This Row],[GA]]*$CG$6))/Table3[[#This Row],[GP]])) + (Table3[[#This Row],[W]]*$CG$3)+(Table3[[#This Row],[L]]*$CG$4)+(Table3[[#This Row],[GF]]*$CG$5)+(Table3[[#This Row],[GA]]*$CG$6)</f>
        <v>128.08733333333333</v>
      </c>
      <c r="BN12">
        <f>COUNTIFS(DataRegularSeason20242025!$D$3:$D$1315,$A12,DataRegularSeason20242025!$H$3:$H$1315, $A12)</f>
        <v>24</v>
      </c>
      <c r="BO12">
        <f>COUNTIFS(DataRegularSeason20242025!$E$3:$E$1315,$A12,DataRegularSeason20242025!$H$3:$H$1315, $A12)</f>
        <v>20</v>
      </c>
      <c r="BP12">
        <f>BN12+BO12</f>
        <v>44</v>
      </c>
      <c r="BQ12">
        <f>F12-BN12</f>
        <v>9</v>
      </c>
      <c r="BR12">
        <f>H12-BO12</f>
        <v>7</v>
      </c>
      <c r="BS12">
        <f>BQ12+BR12</f>
        <v>16</v>
      </c>
      <c r="BW12" t="str">
        <f>INDEX(Table2[AwayTeam], Table3[[#This Row],[Column2]])</f>
        <v>COL</v>
      </c>
      <c r="BX12">
        <f>LARGE((Table2[[#This Row],[AwayTeam]]=Table3[[#This Row],[Teams]]), 1)</f>
        <v>0</v>
      </c>
      <c r="CA12" t="s">
        <v>1470</v>
      </c>
      <c r="CB12">
        <f>$CB$3/($CB$10-$CB$9)</f>
        <v>5.4324324324324325</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F13+H13</f>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AY13-AZ13</f>
        <v>13</v>
      </c>
      <c r="BB13">
        <f>AU13+AY13</f>
        <v>198</v>
      </c>
      <c r="BC13">
        <f>AV13+AZ13</f>
        <v>182</v>
      </c>
      <c r="BD13">
        <f>BB13-BC13</f>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24</v>
      </c>
      <c r="BP13">
        <f>BN13+BO13</f>
        <v>40</v>
      </c>
      <c r="BQ13">
        <f>F13-BN13</f>
        <v>15</v>
      </c>
      <c r="BR13">
        <f>H13-BO13</f>
        <v>6</v>
      </c>
      <c r="BS13">
        <f>BQ13+BR13</f>
        <v>21</v>
      </c>
      <c r="BV13">
        <v>2022</v>
      </c>
      <c r="BW13" t="str">
        <f>INDEX(Table2[AwayTeam], Table3[[#This Row],[Column2]])</f>
        <v>MTL</v>
      </c>
      <c r="BX13">
        <f>LARGE((Table2[[#This Row],[AwayTeam]]=Table3[[#This Row],[Teams]]), 1)</f>
        <v>0</v>
      </c>
      <c r="CA13" t="s">
        <v>1477</v>
      </c>
      <c r="CB13">
        <f>(CB5/CB2)/2</f>
        <v>3.0219895287958116</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50</v>
      </c>
      <c r="E14" s="15">
        <f>Table3[[#This Row],[Watched]]/Table3[[#This Row],[GP]]</f>
        <v>0.83333333333333337</v>
      </c>
      <c r="F14">
        <f>COUNTIFS(DataRegularSeason20242025!$N$3:$N$1315,1,DataRegularSeason20242025!$D$3:$D$1315,$A14)</f>
        <v>31</v>
      </c>
      <c r="G14">
        <f>41-Table3[[#This Row],[GP_A]]</f>
        <v>10</v>
      </c>
      <c r="H14">
        <f>COUNTIFS(DataRegularSeason20242025!$E$3:$E$1315,$A14,DataRegularSeason20242025!$N$3:$N$1315,1)</f>
        <v>29</v>
      </c>
      <c r="I14">
        <f>41-Table3[[#This Row],[GP_H]]</f>
        <v>12</v>
      </c>
      <c r="J14">
        <f>F14+H14</f>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14</v>
      </c>
      <c r="Q14">
        <f>COUNTIFS(DataRegularSeason20242025!$D$3:$D$1315,$A14, DataRegularSeason20242025!$S$3:$S$1315, $A14,DataRegularSeason20242025!$M$3:$M$1315,"REG")</f>
        <v>12</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32</v>
      </c>
      <c r="AC14">
        <f>Table3[[#This Row],[L_A]]+Table3[[#This Row],[L_H]]</f>
        <v>28</v>
      </c>
      <c r="AD14">
        <f>Table3[[#This Row],[RW_A]]+Table3[[#This Row],[RW_H]]</f>
        <v>28</v>
      </c>
      <c r="AE14">
        <f>Table3[[#This Row],[RL_A]]+Table3[[#This Row],[RL_H]]</f>
        <v>22</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98</v>
      </c>
      <c r="AM14" s="15">
        <f>Table3[[#This Row],[PTS]]/(2*Table3[[#This Row],[GP]])</f>
        <v>0.58333333333333337</v>
      </c>
      <c r="AN14" s="15">
        <f>Table3[[#This Row],[PTS2]]/(3*Table3[[#This Row],[GP]])</f>
        <v>0.5444444444444444</v>
      </c>
      <c r="AO14">
        <f>(2*Table3[[#This Row],[GR]])+Table3[[#This Row],[PTS]]</f>
        <v>114</v>
      </c>
      <c r="AP14">
        <f>(3*Table3[[#This Row],[GR]])+Table3[[#This Row],[PTS2]]</f>
        <v>164</v>
      </c>
      <c r="AQ14">
        <f>Table3[[#This Row],[PTS]]+(2 * Table3[[#This Row],[GR]] * Table3[[#This Row],[PTS%]])</f>
        <v>95.666666666666671</v>
      </c>
      <c r="AR14">
        <f>Table3[[#This Row],[PTS2]]+(3 * Table3[[#This Row],[GR]] * Table3[[#This Row],[PTS%2]])</f>
        <v>133.93333333333334</v>
      </c>
      <c r="AS14" s="20" t="str">
        <f>_xlfn.CONCAT(TEXT(Table3[[#This Row],[W]], "0"), "-", TEXT(Table3[[#This Row],[RL]],"0"), "-", TEXT(Table3[[#This Row],[OTL]]+Table3[[#This Row],[SOL]], "0"))</f>
        <v>32-22-6</v>
      </c>
      <c r="AT14">
        <f>COUNTIFS(DataRegularSeason20242025!$D$3:$D$1315,Table3[[#This Row],[Teams]],DataRegularSeason20242025!$K$3:$K$1315,0)</f>
        <v>4</v>
      </c>
      <c r="AU14">
        <f>SUMIF(DataRegularSeason20242025!$D$3:$D$1315,$A14, DataRegularSeason20242025!$J$3:$J$1315)</f>
        <v>95</v>
      </c>
      <c r="AV14">
        <f>SUMIF(DataRegularSeason20242025!$D$3:$D$1315,$A14, DataRegularSeason20242025!$K$3:$K$1315)</f>
        <v>80</v>
      </c>
      <c r="AW14">
        <f>AU14-AV14</f>
        <v>15</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183</v>
      </c>
      <c r="BC14">
        <f>AV14+AZ14</f>
        <v>151</v>
      </c>
      <c r="BD14">
        <f>BB14-BC14</f>
        <v>32</v>
      </c>
      <c r="BE14" s="17">
        <f>Table3[[#This Row],[GF]]/Table3[[#This Row],[GP]]</f>
        <v>3.05</v>
      </c>
      <c r="BF14" s="17">
        <f>Table3[[#This Row],[GA]]/Table3[[#This Row],[GP]]</f>
        <v>2.5166666666666666</v>
      </c>
      <c r="BG14" s="17">
        <f>(Table3[[#This Row],[GF]]-Table3[[#This Row],[GA]])/Table3[[#This Row],[GP]]</f>
        <v>0.53333333333333333</v>
      </c>
      <c r="BH14" s="49" t="str">
        <f>_xlfn.CONCAT(TEXT(Table3[[#This Row],[W_H]], "0"), "-", TEXT(Table3[[#This Row],[RL_H]],"0"), "-", TEXT(Table3[[#This Row],[OTL_H]]+Table3[[#This Row],[SOL_H]], "0"))</f>
        <v>15-10-4</v>
      </c>
      <c r="BI14" s="49" t="str">
        <f>_xlfn.CONCAT(TEXT(Table3[[#This Row],[W_A]], "0"), "-", TEXT(Table3[[#This Row],[RL_A]],"0"), "-", TEXT(Table3[[#This Row],[OTL_A]]+Table3[[#This Row],[SOL_A]], "0"))</f>
        <v>17-12-2</v>
      </c>
      <c r="BJ14" s="49">
        <f>((2*(Table3[[#This Row],[W_H]]))+Table3[[#This Row],[OTL_H]]+Table3[[#This Row],[SOL_H]])/(2*Table3[[#This Row],[GP_H]])</f>
        <v>0.58620689655172409</v>
      </c>
      <c r="BK14" s="49">
        <f>((2*(Table3[[#This Row],[W_A]]))+Table3[[#This Row],[OTL_A]]+Table3[[#This Row],[SOL_A]])/(2*Table3[[#This Row],[GP_A]])</f>
        <v>0.58064516129032262</v>
      </c>
      <c r="BL14" s="21">
        <f>(Table3[[#This Row],[W]]*$CG$3)+(Table3[[#This Row],[L]]*$CG$4)+(Table3[[#This Row],[GF]]*$CG$5)+(Table3[[#This Row],[GA]]*$CG$6)</f>
        <v>66.949999999999989</v>
      </c>
      <c r="BM14" s="21">
        <f>(82*(((Table3[[#This Row],[PTS%]]*$CG$3)+((1-Table3[[#This Row],[PTS%]])*$CG$4)+(Table3[[#This Row],[GF]]*$CG$5)+(Table3[[#This Row],[GA]]*$CG$6))/Table3[[#This Row],[GP]])) + (Table3[[#This Row],[W]]*$CG$3)+(Table3[[#This Row],[L]]*$CG$4)+(Table3[[#This Row],[GF]]*$CG$5)+(Table3[[#This Row],[GA]]*$CG$6)</f>
        <v>125.67111111111112</v>
      </c>
      <c r="BN14">
        <f>COUNTIFS(DataRegularSeason20242025!$D$3:$D$1315,$A14,DataRegularSeason20242025!$H$3:$H$1315, $A14)</f>
        <v>20</v>
      </c>
      <c r="BO14">
        <f>COUNTIFS(DataRegularSeason20242025!$E$3:$E$1315,$A14,DataRegularSeason20242025!$H$3:$H$1315, $A14)</f>
        <v>20</v>
      </c>
      <c r="BP14">
        <f>BN14+BO14</f>
        <v>40</v>
      </c>
      <c r="BQ14">
        <f>F14-BN14</f>
        <v>11</v>
      </c>
      <c r="BR14">
        <f>H14-BO14</f>
        <v>9</v>
      </c>
      <c r="BS14">
        <f>BQ14+BR14</f>
        <v>20</v>
      </c>
      <c r="BV14">
        <v>2003</v>
      </c>
      <c r="BW14" t="str">
        <f>INDEX(Table2[AwayTeam], Table3[[#This Row],[Column2]])</f>
        <v>LAK</v>
      </c>
      <c r="BX14">
        <f>LARGE((Table2[[#This Row],[AwayTeam]]=Table3[[#This Row],[Teams]]), 1)</f>
        <v>0</v>
      </c>
      <c r="CA14" t="s">
        <v>1798</v>
      </c>
      <c r="CB14">
        <f>CB7+CB8</f>
        <v>188</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51</v>
      </c>
      <c r="E15" s="15">
        <f>Table3[[#This Row],[Watched]]/Table3[[#This Row],[GP]]</f>
        <v>0.85</v>
      </c>
      <c r="F15">
        <f>COUNTIFS(DataRegularSeason20242025!$N$3:$N$1315,1,DataRegularSeason20242025!$D$3:$D$1315,$A15)</f>
        <v>30</v>
      </c>
      <c r="G15">
        <f>41-Table3[[#This Row],[GP_A]]</f>
        <v>11</v>
      </c>
      <c r="H15">
        <f>COUNTIFS(DataRegularSeason20242025!$E$3:$E$1315,$A15,DataRegularSeason20242025!$N$3:$N$1315,1)</f>
        <v>30</v>
      </c>
      <c r="I15">
        <f>41-Table3[[#This Row],[GP_H]]</f>
        <v>11</v>
      </c>
      <c r="J15">
        <f>F15+H15</f>
        <v>60</v>
      </c>
      <c r="K15">
        <f>82-Table3[[#This Row],[GP]]</f>
        <v>22</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20</v>
      </c>
      <c r="Q15">
        <f>COUNTIFS(DataRegularSeason20242025!$D$3:$D$1315,$A15, DataRegularSeason20242025!$S$3:$S$1315, $A15,DataRegularSeason20242025!$M$3:$M$1315,"REG")</f>
        <v>16</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H15-T15</f>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30</v>
      </c>
      <c r="AD15">
        <f>Table3[[#This Row],[RW_A]]+Table3[[#This Row],[RW_H]]</f>
        <v>22</v>
      </c>
      <c r="AE15">
        <f>Table3[[#This Row],[RL_A]]+Table3[[#This Row],[RL_H]]</f>
        <v>22</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0.56666666666666665</v>
      </c>
      <c r="AN15" s="15">
        <f>Table3[[#This Row],[PTS2]]/(3*Table3[[#This Row],[GP]])</f>
        <v>0.5</v>
      </c>
      <c r="AO15">
        <f>(2*Table3[[#This Row],[GR]])+Table3[[#This Row],[PTS]]</f>
        <v>112</v>
      </c>
      <c r="AP15">
        <f>(3*Table3[[#This Row],[GR]])+Table3[[#This Row],[PTS2]]</f>
        <v>156</v>
      </c>
      <c r="AQ15">
        <f>Table3[[#This Row],[PTS]]+(2 * Table3[[#This Row],[GR]] * Table3[[#This Row],[PTS%]])</f>
        <v>92.933333333333337</v>
      </c>
      <c r="AR15">
        <f>Table3[[#This Row],[PTS2]]+(3 * Table3[[#This Row],[GR]] * Table3[[#This Row],[PTS%2]])</f>
        <v>123</v>
      </c>
      <c r="AS15" s="20" t="str">
        <f>_xlfn.CONCAT(TEXT(Table3[[#This Row],[W]], "0"), "-", TEXT(Table3[[#This Row],[RL]],"0"), "-", TEXT(Table3[[#This Row],[OTL]]+Table3[[#This Row],[SOL]], "0"))</f>
        <v>30-22-8</v>
      </c>
      <c r="AT15">
        <f>COUNTIFS(DataRegularSeason20242025!$D$3:$D$1315,Table3[[#This Row],[Teams]],DataRegularSeason20242025!$K$3:$K$1315,0)</f>
        <v>0</v>
      </c>
      <c r="AU15">
        <f>SUMIF(DataRegularSeason20242025!$D$3:$D$1315,$A15, DataRegularSeason20242025!$J$3:$J$1315)</f>
        <v>80</v>
      </c>
      <c r="AV15">
        <f>SUMIF(DataRegularSeason20242025!$D$3:$D$1315,$A15, DataRegularSeason20242025!$K$3:$K$1315)</f>
        <v>105</v>
      </c>
      <c r="AW15">
        <f>AU15-AV15</f>
        <v>-25</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AY15-AZ15</f>
        <v>34</v>
      </c>
      <c r="BB15">
        <f>AU15+AY15</f>
        <v>205</v>
      </c>
      <c r="BC15">
        <f>AV15+AZ15</f>
        <v>196</v>
      </c>
      <c r="BD15">
        <f>BB15-BC15</f>
        <v>9</v>
      </c>
      <c r="BE15" s="17">
        <f>Table3[[#This Row],[GF]]/Table3[[#This Row],[GP]]</f>
        <v>3.4166666666666665</v>
      </c>
      <c r="BF15" s="17">
        <f>Table3[[#This Row],[GA]]/Table3[[#This Row],[GP]]</f>
        <v>3.2666666666666666</v>
      </c>
      <c r="BG15" s="17">
        <f>(Table3[[#This Row],[GF]]-Table3[[#This Row],[GA]])/Table3[[#This Row],[GP]]</f>
        <v>0.15</v>
      </c>
      <c r="BH15" s="49" t="str">
        <f>_xlfn.CONCAT(TEXT(Table3[[#This Row],[W_H]], "0"), "-", TEXT(Table3[[#This Row],[RL_H]],"0"), "-", TEXT(Table3[[#This Row],[OTL_H]]+Table3[[#This Row],[SOL_H]], "0"))</f>
        <v>20-6-4</v>
      </c>
      <c r="BI15" s="49" t="str">
        <f>_xlfn.CONCAT(TEXT(Table3[[#This Row],[W_A]], "0"), "-", TEXT(Table3[[#This Row],[RL_A]],"0"), "-", TEXT(Table3[[#This Row],[OTL_A]]+Table3[[#This Row],[SOL_A]], "0"))</f>
        <v>10-16-4</v>
      </c>
      <c r="BJ15" s="49">
        <f>((2*(Table3[[#This Row],[W_H]]))+Table3[[#This Row],[OTL_H]]+Table3[[#This Row],[SOL_H]])/(2*Table3[[#This Row],[GP_H]])</f>
        <v>0.73333333333333328</v>
      </c>
      <c r="BK15" s="49">
        <f>((2*(Table3[[#This Row],[W_A]]))+Table3[[#This Row],[OTL_A]]+Table3[[#This Row],[SOL_A]])/(2*Table3[[#This Row],[GP_A]])</f>
        <v>0.4</v>
      </c>
      <c r="BL15" s="21">
        <f>(Table3[[#This Row],[W]]*$CG$3)+(Table3[[#This Row],[L]]*$CG$4)+(Table3[[#This Row],[GF]]*$CG$5)+(Table3[[#This Row],[GA]]*$CG$6)</f>
        <v>74.349999999999994</v>
      </c>
      <c r="BM15" s="21">
        <f>(82*(((Table3[[#This Row],[PTS%]]*$CG$3)+((1-Table3[[#This Row],[PTS%]])*$CG$4)+(Table3[[#This Row],[GF]]*$CG$5)+(Table3[[#This Row],[GA]]*$CG$6))/Table3[[#This Row],[GP]])) + (Table3[[#This Row],[W]]*$CG$3)+(Table3[[#This Row],[L]]*$CG$4)+(Table3[[#This Row],[GF]]*$CG$5)+(Table3[[#This Row],[GA]]*$CG$6)</f>
        <v>143.72655555555556</v>
      </c>
      <c r="BN15">
        <f>COUNTIFS(DataRegularSeason20242025!$D$3:$D$1315,$A15,DataRegularSeason20242025!$H$3:$H$1315, $A15)</f>
        <v>10</v>
      </c>
      <c r="BO15">
        <f>COUNTIFS(DataRegularSeason20242025!$E$3:$E$1315,$A15,DataRegularSeason20242025!$H$3:$H$1315, $A15)</f>
        <v>19</v>
      </c>
      <c r="BP15">
        <f>BN15+BO15</f>
        <v>29</v>
      </c>
      <c r="BQ15">
        <f>F15-BN15</f>
        <v>20</v>
      </c>
      <c r="BR15">
        <f>H15-BO15</f>
        <v>11</v>
      </c>
      <c r="BS15">
        <f>BQ15+BR15</f>
        <v>31</v>
      </c>
      <c r="BW15" t="str">
        <f>INDEX(Table2[AwayTeam], Table3[[#This Row],[Column2]])</f>
        <v>FLA</v>
      </c>
      <c r="BX15">
        <f>LARGE((Table2[[#This Row],[AwayTeam]]=Table3[[#This Row],[Teams]]), 1)</f>
        <v>0</v>
      </c>
      <c r="CA15" t="s">
        <v>1799</v>
      </c>
      <c r="CB15">
        <f>CB14/CB2</f>
        <v>0.19685863874345549</v>
      </c>
    </row>
    <row r="16" spans="1:95" x14ac:dyDescent="0.25">
      <c r="A16" t="s">
        <v>30</v>
      </c>
      <c r="B16" t="s">
        <v>97</v>
      </c>
      <c r="C16" t="s">
        <v>80</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0.83333333333333337</v>
      </c>
      <c r="F16">
        <f>COUNTIFS(DataRegularSeason20242025!$N$3:$N$1315,1,DataRegularSeason20242025!$D$3:$D$1315,$A16)</f>
        <v>28</v>
      </c>
      <c r="G16">
        <f>41-Table3[[#This Row],[GP_A]]</f>
        <v>13</v>
      </c>
      <c r="H16">
        <f>COUNTIFS(DataRegularSeason20242025!$E$3:$E$1315,$A16,DataRegularSeason20242025!$N$3:$N$1315,1)</f>
        <v>32</v>
      </c>
      <c r="I16">
        <f>41-Table3[[#This Row],[GP_H]]</f>
        <v>9</v>
      </c>
      <c r="J16">
        <f>F16+H16</f>
        <v>60</v>
      </c>
      <c r="K16">
        <f>82-Table3[[#This Row],[GP]]</f>
        <v>22</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3</v>
      </c>
      <c r="P16">
        <f>F16-L16</f>
        <v>14</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0</v>
      </c>
      <c r="X16">
        <f>H16-T16</f>
        <v>16</v>
      </c>
      <c r="Y16">
        <f>COUNTIFS(DataRegularSeason20242025!$E$3:$E$1315,$A16, DataRegularSeason20242025!$S$3:$S$1315, $A16,DataRegularSeason20242025!$M$3:$M$1315,"REG")</f>
        <v>13</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30</v>
      </c>
      <c r="AC16">
        <f>Table3[[#This Row],[L_A]]+Table3[[#This Row],[L_H]]</f>
        <v>30</v>
      </c>
      <c r="AD16">
        <f>Table3[[#This Row],[RW_A]]+Table3[[#This Row],[RW_H]]</f>
        <v>23</v>
      </c>
      <c r="AE16">
        <f>Table3[[#This Row],[RL_A]]+Table3[[#This Row],[RL_H]]</f>
        <v>24</v>
      </c>
      <c r="AF16">
        <f>Table3[[#This Row],[OTW_A]]+Table3[[#This Row],[OTW_H]]</f>
        <v>4</v>
      </c>
      <c r="AG16">
        <f>Table3[[#This Row],[OTL_A]]+Table3[[#This Row],[OTL_H]]</f>
        <v>6</v>
      </c>
      <c r="AH16">
        <f>Table3[[#This Row],[SOW_A]]+Table3[[#This Row],[SOW_H]]</f>
        <v>3</v>
      </c>
      <c r="AI16">
        <f>Table3[[#This Row],[SOL_A]]+Table3[[#This Row],[SOL_H]]</f>
        <v>0</v>
      </c>
      <c r="AJ16" s="20" t="str">
        <f>_xlfn.CONCAT(TEXT(Table3[[#This Row],[OTW]]+Table3[[#This Row],[SOW]], "0"), "-", TEXT(Table3[[#This Row],[OTL]]+Table3[[#This Row],[SOL]],"0"))</f>
        <v>7-6</v>
      </c>
      <c r="AK16">
        <f>(2*(Table3[[#This Row],[W_A]]+Table3[[#This Row],[W_H]]))+Table3[[#This Row],[OTL_A]]+Table3[[#This Row],[SOL_A]]+Table3[[#This Row],[OTL_H]]+Table3[[#This Row],[SOL_H]]</f>
        <v>66</v>
      </c>
      <c r="AL16">
        <f>(3*(Table3[[#This Row],[RW_A]]+Table3[[#This Row],[RW_H]]))+(2*(Table3[[#This Row],[OTW_A]]+Table3[[#This Row],[SOW_A]]+Table3[[#This Row],[OTW_H]]+Table3[[#This Row],[SOW_H]]))+Table3[[#This Row],[OTL_A]]+Table3[[#This Row],[SOL_A]]+Table3[[#This Row],[OTL_H]]+Table3[[#This Row],[SOL_H]]</f>
        <v>89</v>
      </c>
      <c r="AM16" s="15">
        <f>Table3[[#This Row],[PTS]]/(2*Table3[[#This Row],[GP]])</f>
        <v>0.55000000000000004</v>
      </c>
      <c r="AN16" s="15">
        <f>Table3[[#This Row],[PTS2]]/(3*Table3[[#This Row],[GP]])</f>
        <v>0.49444444444444446</v>
      </c>
      <c r="AO16">
        <f>(2*Table3[[#This Row],[GR]])+Table3[[#This Row],[PTS]]</f>
        <v>110</v>
      </c>
      <c r="AP16">
        <f>(3*Table3[[#This Row],[GR]])+Table3[[#This Row],[PTS2]]</f>
        <v>155</v>
      </c>
      <c r="AQ16">
        <f>Table3[[#This Row],[PTS]]+(2 * Table3[[#This Row],[GR]] * Table3[[#This Row],[PTS%]])</f>
        <v>90.2</v>
      </c>
      <c r="AR16">
        <f>Table3[[#This Row],[PTS2]]+(3 * Table3[[#This Row],[GR]] * Table3[[#This Row],[PTS%2]])</f>
        <v>121.63333333333333</v>
      </c>
      <c r="AS16" s="20" t="str">
        <f>_xlfn.CONCAT(TEXT(Table3[[#This Row],[W]], "0"), "-", TEXT(Table3[[#This Row],[RL]],"0"), "-", TEXT(Table3[[#This Row],[OTL]]+Table3[[#This Row],[SOL]], "0"))</f>
        <v>30-24-6</v>
      </c>
      <c r="AT16">
        <f>COUNTIFS(DataRegularSeason20242025!$D$3:$D$1315,Table3[[#This Row],[Teams]],DataRegularSeason20242025!$K$3:$K$1315,0)</f>
        <v>1</v>
      </c>
      <c r="AU16">
        <f>SUMIF(DataRegularSeason20242025!$D$3:$D$1315,$A16, DataRegularSeason20242025!$J$3:$J$1315)</f>
        <v>79</v>
      </c>
      <c r="AV16">
        <f>SUMIF(DataRegularSeason20242025!$D$3:$D$1315,$A16, DataRegularSeason20242025!$K$3:$K$1315)</f>
        <v>88</v>
      </c>
      <c r="AW16">
        <f>AU16-AV16</f>
        <v>-9</v>
      </c>
      <c r="AX16">
        <f>COUNTIFS(DataRegularSeason20242025!$E$3:$E$1315,Table3[[#This Row],[Teams]],DataRegularSeason20242025!$J$3:$J$1315,0)</f>
        <v>2</v>
      </c>
      <c r="AY16">
        <f>SUMIF(DataRegularSeason20242025!$E$3:$E$1315,$A16,DataRegularSeason20242025!$K$3:$K$1315)</f>
        <v>97</v>
      </c>
      <c r="AZ16">
        <f>SUMIF(DataRegularSeason20242025!$E$3:$E$1315,$A16,DataRegularSeason20242025!$J$3:$J$1315)</f>
        <v>103</v>
      </c>
      <c r="BA16">
        <f>AY16-AZ16</f>
        <v>-6</v>
      </c>
      <c r="BB16">
        <f>AU16+AY16</f>
        <v>176</v>
      </c>
      <c r="BC16">
        <f>AV16+AZ16</f>
        <v>191</v>
      </c>
      <c r="BD16">
        <f>BB16-BC16</f>
        <v>-15</v>
      </c>
      <c r="BE16" s="17">
        <f>Table3[[#This Row],[GF]]/Table3[[#This Row],[GP]]</f>
        <v>2.9333333333333331</v>
      </c>
      <c r="BF16" s="17">
        <f>Table3[[#This Row],[GA]]/Table3[[#This Row],[GP]]</f>
        <v>3.1833333333333331</v>
      </c>
      <c r="BG16" s="17">
        <f>(Table3[[#This Row],[GF]]-Table3[[#This Row],[GA]])/Table3[[#This Row],[GP]]</f>
        <v>-0.25</v>
      </c>
      <c r="BH16" s="49" t="str">
        <f>_xlfn.CONCAT(TEXT(Table3[[#This Row],[W_H]], "0"), "-", TEXT(Table3[[#This Row],[RL_H]],"0"), "-", TEXT(Table3[[#This Row],[OTL_H]]+Table3[[#This Row],[SOL_H]], "0"))</f>
        <v>16-13-3</v>
      </c>
      <c r="BI16" s="49" t="str">
        <f>_xlfn.CONCAT(TEXT(Table3[[#This Row],[W_A]], "0"), "-", TEXT(Table3[[#This Row],[RL_A]],"0"), "-", TEXT(Table3[[#This Row],[OTL_A]]+Table3[[#This Row],[SOL_A]], "0"))</f>
        <v>14-11-3</v>
      </c>
      <c r="BJ16" s="49">
        <f>((2*(Table3[[#This Row],[W_H]]))+Table3[[#This Row],[OTL_H]]+Table3[[#This Row],[SOL_H]])/(2*Table3[[#This Row],[GP_H]])</f>
        <v>0.546875</v>
      </c>
      <c r="BK16" s="49">
        <f>((2*(Table3[[#This Row],[W_A]]))+Table3[[#This Row],[OTL_A]]+Table3[[#This Row],[SOL_A]])/(2*Table3[[#This Row],[GP_A]])</f>
        <v>0.5535714285714286</v>
      </c>
      <c r="BL16" s="21">
        <f>(Table3[[#This Row],[W]]*$CG$3)+(Table3[[#This Row],[L]]*$CG$4)+(Table3[[#This Row],[GF]]*$CG$5)+(Table3[[#This Row],[GA]]*$CG$6)</f>
        <v>69.5</v>
      </c>
      <c r="BM16" s="21">
        <f>(82*(((Table3[[#This Row],[PTS%]]*$CG$3)+((1-Table3[[#This Row],[PTS%]])*$CG$4)+(Table3[[#This Row],[GF]]*$CG$5)+(Table3[[#This Row],[GA]]*$CG$6))/Table3[[#This Row],[GP]])) + (Table3[[#This Row],[W]]*$CG$3)+(Table3[[#This Row],[L]]*$CG$4)+(Table3[[#This Row],[GF]]*$CG$5)+(Table3[[#This Row],[GA]]*$CG$6)</f>
        <v>132.24366666666666</v>
      </c>
      <c r="BN16">
        <f>COUNTIFS(DataRegularSeason20242025!$D$3:$D$1315,$A16,DataRegularSeason20242025!$H$3:$H$1315, $A16)</f>
        <v>9</v>
      </c>
      <c r="BO16">
        <f>COUNTIFS(DataRegularSeason20242025!$E$3:$E$1315,$A16,DataRegularSeason20242025!$H$3:$H$1315, $A16)</f>
        <v>13</v>
      </c>
      <c r="BP16">
        <f>BN16+BO16</f>
        <v>22</v>
      </c>
      <c r="BQ16">
        <f>F16-BN16</f>
        <v>19</v>
      </c>
      <c r="BR16">
        <f>H16-BO16</f>
        <v>19</v>
      </c>
      <c r="BS16">
        <f>BQ16+BR16</f>
        <v>38</v>
      </c>
      <c r="BV16">
        <v>2008</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23</v>
      </c>
      <c r="B17" t="s">
        <v>96</v>
      </c>
      <c r="C17" t="s">
        <v>99</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0.94915254237288138</v>
      </c>
      <c r="F17">
        <f>COUNTIFS(DataRegularSeason20242025!$N$3:$N$1315,1,DataRegularSeason20242025!$D$3:$D$1315,$A17)</f>
        <v>28</v>
      </c>
      <c r="G17">
        <f>41-Table3[[#This Row],[GP_A]]</f>
        <v>13</v>
      </c>
      <c r="H17">
        <f>COUNTIFS(DataRegularSeason20242025!$E$3:$E$1315,$A17,DataRegularSeason20242025!$N$3:$N$1315,1)</f>
        <v>31</v>
      </c>
      <c r="I17">
        <f>41-Table3[[#This Row],[GP_H]]</f>
        <v>10</v>
      </c>
      <c r="J17">
        <f>F17+H17</f>
        <v>59</v>
      </c>
      <c r="K17">
        <f>82-Table3[[#This Row],[GP]]</f>
        <v>23</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17</v>
      </c>
      <c r="Q17">
        <f>COUNTIFS(DataRegularSeason20242025!$D$3:$D$1315,$A17, DataRegularSeason20242025!$S$3:$S$1315, $A17,DataRegularSeason20242025!$M$3:$M$1315,"REG")</f>
        <v>13</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14</v>
      </c>
      <c r="Y17">
        <f>COUNTIFS(DataRegularSeason20242025!$E$3:$E$1315,$A17, DataRegularSeason20242025!$S$3:$S$1315, $A17,DataRegularSeason20242025!$M$3:$M$1315,"REG")</f>
        <v>10</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28</v>
      </c>
      <c r="AC17">
        <f>Table3[[#This Row],[L_A]]+Table3[[#This Row],[L_H]]</f>
        <v>31</v>
      </c>
      <c r="AD17">
        <f>Table3[[#This Row],[RW_A]]+Table3[[#This Row],[RW_H]]</f>
        <v>22</v>
      </c>
      <c r="AE17">
        <f>Table3[[#This Row],[RL_A]]+Table3[[#This Row],[RL_H]]</f>
        <v>23</v>
      </c>
      <c r="AF17">
        <f>Table3[[#This Row],[OTW_A]]+Table3[[#This Row],[OTW_H]]</f>
        <v>3</v>
      </c>
      <c r="AG17">
        <f>Table3[[#This Row],[OTL_A]]+Table3[[#This Row],[OTL_H]]</f>
        <v>7</v>
      </c>
      <c r="AH17">
        <f>Table3[[#This Row],[SOW_A]]+Table3[[#This Row],[SOW_H]]</f>
        <v>3</v>
      </c>
      <c r="AI17">
        <f>Table3[[#This Row],[SOL_A]]+Table3[[#This Row],[SOL_H]]</f>
        <v>1</v>
      </c>
      <c r="AJ17" s="20" t="str">
        <f>_xlfn.CONCAT(TEXT(Table3[[#This Row],[OTW]]+Table3[[#This Row],[SOW]], "0"), "-", TEXT(Table3[[#This Row],[OTL]]+Table3[[#This Row],[SOL]],"0"))</f>
        <v>6-8</v>
      </c>
      <c r="AK17">
        <f>(2*(Table3[[#This Row],[W_A]]+Table3[[#This Row],[W_H]]))+Table3[[#This Row],[OTL_A]]+Table3[[#This Row],[SOL_A]]+Table3[[#This Row],[OTL_H]]+Table3[[#This Row],[SOL_H]]</f>
        <v>64</v>
      </c>
      <c r="AL17">
        <f>(3*(Table3[[#This Row],[RW_A]]+Table3[[#This Row],[RW_H]]))+(2*(Table3[[#This Row],[OTW_A]]+Table3[[#This Row],[SOW_A]]+Table3[[#This Row],[OTW_H]]+Table3[[#This Row],[SOW_H]]))+Table3[[#This Row],[OTL_A]]+Table3[[#This Row],[SOL_A]]+Table3[[#This Row],[OTL_H]]+Table3[[#This Row],[SOL_H]]</f>
        <v>86</v>
      </c>
      <c r="AM17" s="15">
        <f>Table3[[#This Row],[PTS]]/(2*Table3[[#This Row],[GP]])</f>
        <v>0.5423728813559322</v>
      </c>
      <c r="AN17" s="15">
        <f>Table3[[#This Row],[PTS2]]/(3*Table3[[#This Row],[GP]])</f>
        <v>0.48587570621468928</v>
      </c>
      <c r="AO17">
        <f>(2*Table3[[#This Row],[GR]])+Table3[[#This Row],[PTS]]</f>
        <v>110</v>
      </c>
      <c r="AP17">
        <f>(3*Table3[[#This Row],[GR]])+Table3[[#This Row],[PTS2]]</f>
        <v>155</v>
      </c>
      <c r="AQ17">
        <f>Table3[[#This Row],[PTS]]+(2 * Table3[[#This Row],[GR]] * Table3[[#This Row],[PTS%]])</f>
        <v>88.949152542372886</v>
      </c>
      <c r="AR17">
        <f>Table3[[#This Row],[PTS2]]+(3 * Table3[[#This Row],[GR]] * Table3[[#This Row],[PTS%2]])</f>
        <v>119.52542372881356</v>
      </c>
      <c r="AS17" s="20" t="str">
        <f>_xlfn.CONCAT(TEXT(Table3[[#This Row],[W]], "0"), "-", TEXT(Table3[[#This Row],[RL]],"0"), "-", TEXT(Table3[[#This Row],[OTL]]+Table3[[#This Row],[SOL]], "0"))</f>
        <v>28-23-8</v>
      </c>
      <c r="AT17">
        <f>COUNTIFS(DataRegularSeason20242025!$D$3:$D$1315,Table3[[#This Row],[Teams]],DataRegularSeason20242025!$K$3:$K$1315,0)</f>
        <v>0</v>
      </c>
      <c r="AU17">
        <f>SUMIF(DataRegularSeason20242025!$D$3:$D$1315,$A17, DataRegularSeason20242025!$J$3:$J$1315)</f>
        <v>64</v>
      </c>
      <c r="AV17">
        <f>SUMIF(DataRegularSeason20242025!$D$3:$D$1315,$A17, DataRegularSeason20242025!$K$3:$K$1315)</f>
        <v>89</v>
      </c>
      <c r="AW17">
        <f>AU17-AV17</f>
        <v>-25</v>
      </c>
      <c r="AX17">
        <f>COUNTIFS(DataRegularSeason20242025!$E$3:$E$1315,Table3[[#This Row],[Teams]],DataRegularSeason20242025!$J$3:$J$1315,0)</f>
        <v>4</v>
      </c>
      <c r="AY17">
        <f>SUMIF(DataRegularSeason20242025!$E$3:$E$1315,$A17,DataRegularSeason20242025!$K$3:$K$1315)</f>
        <v>90</v>
      </c>
      <c r="AZ17">
        <f>SUMIF(DataRegularSeason20242025!$E$3:$E$1315,$A17,DataRegularSeason20242025!$J$3:$J$1315)</f>
        <v>85</v>
      </c>
      <c r="BA17">
        <f>AY17-AZ17</f>
        <v>5</v>
      </c>
      <c r="BB17">
        <f>AU17+AY17</f>
        <v>154</v>
      </c>
      <c r="BC17">
        <f>AV17+AZ17</f>
        <v>174</v>
      </c>
      <c r="BD17">
        <f>BB17-BC17</f>
        <v>-20</v>
      </c>
      <c r="BE17" s="17">
        <f>Table3[[#This Row],[GF]]/Table3[[#This Row],[GP]]</f>
        <v>2.6101694915254239</v>
      </c>
      <c r="BF17" s="17">
        <f>Table3[[#This Row],[GA]]/Table3[[#This Row],[GP]]</f>
        <v>2.9491525423728815</v>
      </c>
      <c r="BG17" s="17">
        <f>(Table3[[#This Row],[GF]]-Table3[[#This Row],[GA]])/Table3[[#This Row],[GP]]</f>
        <v>-0.33898305084745761</v>
      </c>
      <c r="BH17" s="49" t="str">
        <f>_xlfn.CONCAT(TEXT(Table3[[#This Row],[W_H]], "0"), "-", TEXT(Table3[[#This Row],[RL_H]],"0"), "-", TEXT(Table3[[#This Row],[OTL_H]]+Table3[[#This Row],[SOL_H]], "0"))</f>
        <v>17-10-4</v>
      </c>
      <c r="BI17" s="49" t="str">
        <f>_xlfn.CONCAT(TEXT(Table3[[#This Row],[W_A]], "0"), "-", TEXT(Table3[[#This Row],[RL_A]],"0"), "-", TEXT(Table3[[#This Row],[OTL_A]]+Table3[[#This Row],[SOL_A]], "0"))</f>
        <v>11-13-4</v>
      </c>
      <c r="BJ17" s="49">
        <f>((2*(Table3[[#This Row],[W_H]]))+Table3[[#This Row],[OTL_H]]+Table3[[#This Row],[SOL_H]])/(2*Table3[[#This Row],[GP_H]])</f>
        <v>0.61290322580645162</v>
      </c>
      <c r="BK17" s="49">
        <f>((2*(Table3[[#This Row],[W_A]]))+Table3[[#This Row],[OTL_A]]+Table3[[#This Row],[SOL_A]])/(2*Table3[[#This Row],[GP_A]])</f>
        <v>0.4642857142857143</v>
      </c>
      <c r="BL17" s="21">
        <f>(Table3[[#This Row],[W]]*$CG$3)+(Table3[[#This Row],[L]]*$CG$4)+(Table3[[#This Row],[GF]]*$CG$5)+(Table3[[#This Row],[GA]]*$CG$6)</f>
        <v>63.8</v>
      </c>
      <c r="BM17" s="21">
        <f>(82*(((Table3[[#This Row],[PTS%]]*$CG$3)+((1-Table3[[#This Row],[PTS%]])*$CG$4)+(Table3[[#This Row],[GF]]*$CG$5)+(Table3[[#This Row],[GA]]*$CG$6))/Table3[[#This Row],[GP]])) + (Table3[[#This Row],[W]]*$CG$3)+(Table3[[#This Row],[L]]*$CG$4)+(Table3[[#This Row],[GF]]*$CG$5)+(Table3[[#This Row],[GA]]*$CG$6)</f>
        <v>120.65584602125826</v>
      </c>
      <c r="BN17">
        <f>COUNTIFS(DataRegularSeason20242025!$D$3:$D$1315,$A17,DataRegularSeason20242025!$H$3:$H$1315, $A17)</f>
        <v>31</v>
      </c>
      <c r="BO17">
        <f>COUNTIFS(DataRegularSeason20242025!$E$3:$E$1315,$A17,DataRegularSeason20242025!$H$3:$H$1315, $A17)</f>
        <v>31</v>
      </c>
      <c r="BP17">
        <f>BN17+BO17</f>
        <v>62</v>
      </c>
      <c r="BQ17">
        <f>F17-BN17</f>
        <v>-3</v>
      </c>
      <c r="BR17">
        <f>H17-BO17</f>
        <v>0</v>
      </c>
      <c r="BS17">
        <f>BQ17+BR17</f>
        <v>-3</v>
      </c>
      <c r="BV17">
        <v>1989</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19</v>
      </c>
      <c r="E18" s="15">
        <f>Table3[[#This Row],[Watched]]/Table3[[#This Row],[GP]]</f>
        <v>0.32203389830508472</v>
      </c>
      <c r="F18">
        <f>COUNTIFS(DataRegularSeason20242025!$N$3:$N$1315,1,DataRegularSeason20242025!$D$3:$D$1315,$A18)</f>
        <v>31</v>
      </c>
      <c r="G18">
        <f>41-Table3[[#This Row],[GP_A]]</f>
        <v>10</v>
      </c>
      <c r="H18">
        <f>COUNTIFS(DataRegularSeason20242025!$E$3:$E$1315,$A18,DataRegularSeason20242025!$N$3:$N$1315,1)</f>
        <v>28</v>
      </c>
      <c r="I18">
        <f>41-Table3[[#This Row],[GP_H]]</f>
        <v>13</v>
      </c>
      <c r="J18">
        <f>F18+H18</f>
        <v>59</v>
      </c>
      <c r="K18">
        <f>82-Table3[[#This Row],[GP]]</f>
        <v>23</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H18-T18</f>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30</v>
      </c>
      <c r="AC18">
        <f>Table3[[#This Row],[L_A]]+Table3[[#This Row],[L_H]]</f>
        <v>29</v>
      </c>
      <c r="AD18">
        <f>Table3[[#This Row],[RW_A]]+Table3[[#This Row],[RW_H]]</f>
        <v>23</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64</v>
      </c>
      <c r="AL18">
        <f>(3*(Table3[[#This Row],[RW_A]]+Table3[[#This Row],[RW_H]]))+(2*(Table3[[#This Row],[OTW_A]]+Table3[[#This Row],[SOW_A]]+Table3[[#This Row],[OTW_H]]+Table3[[#This Row],[SOW_H]]))+Table3[[#This Row],[OTL_A]]+Table3[[#This Row],[SOL_A]]+Table3[[#This Row],[OTL_H]]+Table3[[#This Row],[SOL_H]]</f>
        <v>87</v>
      </c>
      <c r="AM18" s="15">
        <f>Table3[[#This Row],[PTS]]/(2*Table3[[#This Row],[GP]])</f>
        <v>0.5423728813559322</v>
      </c>
      <c r="AN18" s="15">
        <f>Table3[[#This Row],[PTS2]]/(3*Table3[[#This Row],[GP]])</f>
        <v>0.49152542372881358</v>
      </c>
      <c r="AO18">
        <f>(2*Table3[[#This Row],[GR]])+Table3[[#This Row],[PTS]]</f>
        <v>110</v>
      </c>
      <c r="AP18">
        <f>(3*Table3[[#This Row],[GR]])+Table3[[#This Row],[PTS2]]</f>
        <v>156</v>
      </c>
      <c r="AQ18">
        <f>Table3[[#This Row],[PTS]]+(2 * Table3[[#This Row],[GR]] * Table3[[#This Row],[PTS%]])</f>
        <v>88.949152542372886</v>
      </c>
      <c r="AR18">
        <f>Table3[[#This Row],[PTS2]]+(3 * Table3[[#This Row],[GR]] * Table3[[#This Row],[PTS%2]])</f>
        <v>120.91525423728814</v>
      </c>
      <c r="AS18" s="20" t="str">
        <f>_xlfn.CONCAT(TEXT(Table3[[#This Row],[W]], "0"), "-", TEXT(Table3[[#This Row],[RL]],"0"), "-", TEXT(Table3[[#This Row],[OTL]]+Table3[[#This Row],[SOL]], "0"))</f>
        <v>30-25-4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AU18-AV18</f>
        <v>-16</v>
      </c>
      <c r="AX18">
        <f>COUNTIFS(DataRegularSeason20242025!$E$3:$E$1315,Table3[[#This Row],[Teams]],DataRegularSeason20242025!$J$3:$J$1315,0)</f>
        <v>2</v>
      </c>
      <c r="AY18">
        <f>SUMIF(DataRegularSeason20242025!$E$3:$E$1315,$A18,DataRegularSeason20242025!$K$3:$K$1315)</f>
        <v>93</v>
      </c>
      <c r="AZ18">
        <f>SUMIF(DataRegularSeason20242025!$E$3:$E$1315,$A18,DataRegularSeason20242025!$J$3:$J$1315)</f>
        <v>79</v>
      </c>
      <c r="BA18">
        <f>AY18-AZ18</f>
        <v>14</v>
      </c>
      <c r="BB18">
        <f>AU18+AY18</f>
        <v>166</v>
      </c>
      <c r="BC18">
        <f>AV18+AZ18</f>
        <v>168</v>
      </c>
      <c r="BD18">
        <f>BB18-BC18</f>
        <v>-2</v>
      </c>
      <c r="BE18" s="17">
        <f>Table3[[#This Row],[GF]]/Table3[[#This Row],[GP]]</f>
        <v>2.8135593220338984</v>
      </c>
      <c r="BF18" s="17">
        <f>Table3[[#This Row],[GA]]/Table3[[#This Row],[GP]]</f>
        <v>2.847457627118644</v>
      </c>
      <c r="BG18" s="17">
        <f>(Table3[[#This Row],[GF]]-Table3[[#This Row],[GA]])/Table3[[#This Row],[GP]]</f>
        <v>-3.3898305084745763E-2</v>
      </c>
      <c r="BH18" s="49" t="str">
        <f>_xlfn.CONCAT(TEXT(Table3[[#This Row],[W_H]], "0"), "-", TEXT(Table3[[#This Row],[RL_H]],"0"), "-", TEXT(Table3[[#This Row],[OTL_H]]+Table3[[#This Row],[SOL_H]], "0"))</f>
        <v>17-9-2</v>
      </c>
      <c r="BI18" s="49" t="str">
        <f>_xlfn.CONCAT(TEXT(Table3[[#This Row],[W_A]], "0"), "-", TEXT(Table3[[#This Row],[RL_A]],"0"), "-", TEXT(Table3[[#This Row],[OTL_A]]+Table3[[#This Row],[SOL_A]], "0"))</f>
        <v>13-16-2</v>
      </c>
      <c r="BJ18" s="49">
        <f>((2*(Table3[[#This Row],[W_H]]))+Table3[[#This Row],[OTL_H]]+Table3[[#This Row],[SOL_H]])/(2*Table3[[#This Row],[GP_H]])</f>
        <v>0.6428571428571429</v>
      </c>
      <c r="BK18" s="49">
        <f>((2*(Table3[[#This Row],[W_A]]))+Table3[[#This Row],[OTL_A]]+Table3[[#This Row],[SOL_A]])/(2*Table3[[#This Row],[GP_A]])</f>
        <v>0.45161290322580644</v>
      </c>
      <c r="BL18" s="21">
        <f>(Table3[[#This Row],[W]]*$CG$3)+(Table3[[#This Row],[L]]*$CG$4)+(Table3[[#This Row],[GF]]*$CG$5)+(Table3[[#This Row],[GA]]*$CG$6)</f>
        <v>65.399999999999991</v>
      </c>
      <c r="BM18" s="21">
        <f>(82*(((Table3[[#This Row],[PTS%]]*$CG$3)+((1-Table3[[#This Row],[PTS%]])*$CG$4)+(Table3[[#This Row],[GF]]*$CG$5)+(Table3[[#This Row],[GA]]*$CG$6))/Table3[[#This Row],[GP]])) + (Table3[[#This Row],[W]]*$CG$3)+(Table3[[#This Row],[L]]*$CG$4)+(Table3[[#This Row],[GF]]*$CG$5)+(Table3[[#This Row],[GA]]*$CG$6)</f>
        <v>123.92364263142774</v>
      </c>
      <c r="BN18">
        <f>COUNTIFS(DataRegularSeason20242025!$D$3:$D$1315,$A18,DataRegularSeason20242025!$H$3:$H$1315, $A18)</f>
        <v>12</v>
      </c>
      <c r="BO18">
        <f>COUNTIFS(DataRegularSeason20242025!$E$3:$E$1315,$A18,DataRegularSeason20242025!$H$3:$H$1315, $A18)</f>
        <v>14</v>
      </c>
      <c r="BP18">
        <f>BN18+BO18</f>
        <v>26</v>
      </c>
      <c r="BQ18">
        <f>F18-BN18</f>
        <v>19</v>
      </c>
      <c r="BR18">
        <f>H18-BO18</f>
        <v>14</v>
      </c>
      <c r="BS18">
        <f>BQ18+BR18</f>
        <v>33</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50</v>
      </c>
      <c r="E19" s="15">
        <f>Table3[[#This Row],[Watched]]/Table3[[#This Row],[GP]]</f>
        <v>0.84745762711864403</v>
      </c>
      <c r="F19">
        <f>COUNTIFS(DataRegularSeason20242025!$N$3:$N$1315,1,DataRegularSeason20242025!$D$3:$D$1315,$A19)</f>
        <v>30</v>
      </c>
      <c r="G19">
        <f>41-Table3[[#This Row],[GP_A]]</f>
        <v>11</v>
      </c>
      <c r="H19">
        <f>COUNTIFS(DataRegularSeason20242025!$E$3:$E$1315,$A19,DataRegularSeason20242025!$N$3:$N$1315,1)</f>
        <v>29</v>
      </c>
      <c r="I19">
        <f>41-Table3[[#This Row],[GP_H]]</f>
        <v>12</v>
      </c>
      <c r="J19">
        <f>F19+H19</f>
        <v>59</v>
      </c>
      <c r="K19">
        <f>82-Table3[[#This Row],[GP]]</f>
        <v>23</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30</v>
      </c>
      <c r="AD19">
        <f>Table3[[#This Row],[RW_A]]+Table3[[#This Row],[RW_H]]</f>
        <v>27</v>
      </c>
      <c r="AE19">
        <f>Table3[[#This Row],[RL_A]]+Table3[[#This Row],[RL_H]]</f>
        <v>26</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0.52542372881355937</v>
      </c>
      <c r="AN19" s="15">
        <f>Table3[[#This Row],[PTS2]]/(3*Table3[[#This Row],[GP]])</f>
        <v>0.50282485875706218</v>
      </c>
      <c r="AO19">
        <f>(2*Table3[[#This Row],[GR]])+Table3[[#This Row],[PTS]]</f>
        <v>108</v>
      </c>
      <c r="AP19">
        <f>(3*Table3[[#This Row],[GR]])+Table3[[#This Row],[PTS2]]</f>
        <v>158</v>
      </c>
      <c r="AQ19">
        <f>Table3[[#This Row],[PTS]]+(2 * Table3[[#This Row],[GR]] * Table3[[#This Row],[PTS%]])</f>
        <v>86.169491525423723</v>
      </c>
      <c r="AR19">
        <f>Table3[[#This Row],[PTS2]]+(3 * Table3[[#This Row],[GR]] * Table3[[#This Row],[PTS%2]])</f>
        <v>123.69491525423729</v>
      </c>
      <c r="AS19" s="20" t="str">
        <f>_xlfn.CONCAT(TEXT(Table3[[#This Row],[W]], "0"), "-", TEXT(Table3[[#This Row],[RL]],"0"), "-", TEXT(Table3[[#This Row],[OTL]]+Table3[[#This Row],[SOL]], "0"))</f>
        <v>29-26-4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AU19-AV19</f>
        <v>3</v>
      </c>
      <c r="AX19">
        <f>COUNTIFS(DataRegularSeason20242025!$E$3:$E$1315,Table3[[#This Row],[Teams]],DataRegularSeason20242025!$J$3:$J$1315,0)</f>
        <v>2</v>
      </c>
      <c r="AY19">
        <f>SUMIF(DataRegularSeason20242025!$E$3:$E$1315,$A19,DataRegularSeason20242025!$K$3:$K$1315)</f>
        <v>81</v>
      </c>
      <c r="AZ19">
        <f>SUMIF(DataRegularSeason20242025!$E$3:$E$1315,$A19,DataRegularSeason20242025!$J$3:$J$1315)</f>
        <v>88</v>
      </c>
      <c r="BA19">
        <f>AY19-AZ19</f>
        <v>-7</v>
      </c>
      <c r="BB19">
        <f>AU19+AY19</f>
        <v>179</v>
      </c>
      <c r="BC19">
        <f>AV19+AZ19</f>
        <v>183</v>
      </c>
      <c r="BD19">
        <f>BB19-BC19</f>
        <v>-4</v>
      </c>
      <c r="BE19" s="17">
        <f>Table3[[#This Row],[GF]]/Table3[[#This Row],[GP]]</f>
        <v>3.0338983050847457</v>
      </c>
      <c r="BF19" s="17">
        <f>Table3[[#This Row],[GA]]/Table3[[#This Row],[GP]]</f>
        <v>3.1016949152542375</v>
      </c>
      <c r="BG19" s="17">
        <f>(Table3[[#This Row],[GF]]-Table3[[#This Row],[GA]])/Table3[[#This Row],[GP]]</f>
        <v>-6.7796610169491525E-2</v>
      </c>
      <c r="BH19" s="49" t="str">
        <f>_xlfn.CONCAT(TEXT(Table3[[#This Row],[W_H]], "0"), "-", TEXT(Table3[[#This Row],[RL_H]],"0"), "-", TEXT(Table3[[#This Row],[OTL_H]]+Table3[[#This Row],[SOL_H]], "0"))</f>
        <v>14-13-2</v>
      </c>
      <c r="BI19" s="49" t="str">
        <f>_xlfn.CONCAT(TEXT(Table3[[#This Row],[W_A]], "0"), "-", TEXT(Table3[[#This Row],[RL_A]],"0"), "-", TEXT(Table3[[#This Row],[OTL_A]]+Table3[[#This Row],[SOL_A]], "0"))</f>
        <v>15-13-2</v>
      </c>
      <c r="BJ19" s="49">
        <f>((2*(Table3[[#This Row],[W_H]]))+Table3[[#This Row],[OTL_H]]+Table3[[#This Row],[SOL_H]])/(2*Table3[[#This Row],[GP_H]])</f>
        <v>0.51724137931034486</v>
      </c>
      <c r="BK19" s="49">
        <f>((2*(Table3[[#This Row],[W_A]]))+Table3[[#This Row],[OTL_A]]+Table3[[#This Row],[SOL_A]])/(2*Table3[[#This Row],[GP_A]])</f>
        <v>0.53333333333333333</v>
      </c>
      <c r="BL19" s="21">
        <f>(Table3[[#This Row],[W]]*$CG$3)+(Table3[[#This Row],[L]]*$CG$4)+(Table3[[#This Row],[GF]]*$CG$5)+(Table3[[#This Row],[GA]]*$CG$6)</f>
        <v>68.649999999999991</v>
      </c>
      <c r="BM19" s="21">
        <f>(82*(((Table3[[#This Row],[PTS%]]*$CG$3)+((1-Table3[[#This Row],[PTS%]])*$CG$4)+(Table3[[#This Row],[GF]]*$CG$5)+(Table3[[#This Row],[GA]]*$CG$6))/Table3[[#This Row],[GP]])) + (Table3[[#This Row],[W]]*$CG$3)+(Table3[[#This Row],[L]]*$CG$4)+(Table3[[#This Row],[GF]]*$CG$5)+(Table3[[#This Row],[GA]]*$CG$6)</f>
        <v>131.96384659580582</v>
      </c>
      <c r="BN19">
        <f>COUNTIFS(DataRegularSeason20242025!$D$3:$D$1315,$A19,DataRegularSeason20242025!$H$3:$H$1315, $A19)</f>
        <v>13</v>
      </c>
      <c r="BO19">
        <f>COUNTIFS(DataRegularSeason20242025!$E$3:$E$1315,$A19,DataRegularSeason20242025!$H$3:$H$1315, $A19)</f>
        <v>19</v>
      </c>
      <c r="BP19">
        <f>BN19+BO19</f>
        <v>32</v>
      </c>
      <c r="BQ19">
        <f>F19-BN19</f>
        <v>17</v>
      </c>
      <c r="BR19">
        <f>H19-BO19</f>
        <v>10</v>
      </c>
      <c r="BS19">
        <f>BQ19+BR19</f>
        <v>27</v>
      </c>
      <c r="BV19">
        <v>1994</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55</v>
      </c>
      <c r="E20" s="15">
        <f>Table3[[#This Row],[Watched]]/Table3[[#This Row],[GP]]</f>
        <v>0.93220338983050843</v>
      </c>
      <c r="F20">
        <f>COUNTIFS(DataRegularSeason20242025!$N$3:$N$1315,1,DataRegularSeason20242025!$D$3:$D$1315,$A20)</f>
        <v>31</v>
      </c>
      <c r="G20">
        <f>41-Table3[[#This Row],[GP_A]]</f>
        <v>10</v>
      </c>
      <c r="H20">
        <f>COUNTIFS(DataRegularSeason20242025!$E$3:$E$1315,$A20,DataRegularSeason20242025!$N$3:$N$1315,1)</f>
        <v>28</v>
      </c>
      <c r="I20">
        <f>41-Table3[[#This Row],[GP_H]]</f>
        <v>13</v>
      </c>
      <c r="J20">
        <f>F20+H20</f>
        <v>59</v>
      </c>
      <c r="K20">
        <f>82-Table3[[#This Row],[GP]]</f>
        <v>23</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F20-L20</f>
        <v>15</v>
      </c>
      <c r="Q20">
        <f>COUNTIFS(DataRegularSeason20242025!$D$3:$D$1315,$A20, DataRegularSeason20242025!$S$3:$S$1315, $A20,DataRegularSeason20242025!$M$3:$M$1315,"REG")</f>
        <v>11</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33</v>
      </c>
      <c r="AD20">
        <f>Table3[[#This Row],[RW_A]]+Table3[[#This Row],[RW_H]]</f>
        <v>20</v>
      </c>
      <c r="AE20">
        <f>Table3[[#This Row],[RL_A]]+Table3[[#This Row],[RL_H]]</f>
        <v>23</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0.52542372881355937</v>
      </c>
      <c r="AN20" s="15">
        <f>Table3[[#This Row],[PTS2]]/(3*Table3[[#This Row],[GP]])</f>
        <v>0.4632768361581921</v>
      </c>
      <c r="AO20">
        <f>(2*Table3[[#This Row],[GR]])+Table3[[#This Row],[PTS]]</f>
        <v>108</v>
      </c>
      <c r="AP20">
        <f>(3*Table3[[#This Row],[GR]])+Table3[[#This Row],[PTS2]]</f>
        <v>151</v>
      </c>
      <c r="AQ20">
        <f>Table3[[#This Row],[PTS]]+(2 * Table3[[#This Row],[GR]] * Table3[[#This Row],[PTS%]])</f>
        <v>86.169491525423723</v>
      </c>
      <c r="AR20">
        <f>Table3[[#This Row],[PTS2]]+(3 * Table3[[#This Row],[GR]] * Table3[[#This Row],[PTS%2]])</f>
        <v>113.96610169491525</v>
      </c>
      <c r="AS20" s="20" t="str">
        <f>_xlfn.CONCAT(TEXT(Table3[[#This Row],[W]], "0"), "-", TEXT(Table3[[#This Row],[RL]],"0"), "-", TEXT(Table3[[#This Row],[OTL]]+Table3[[#This Row],[SOL]], "0"))</f>
        <v>26-23-10</v>
      </c>
      <c r="AT20">
        <f>COUNTIFS(DataRegularSeason20242025!$D$3:$D$1315,Table3[[#This Row],[Teams]],DataRegularSeason20242025!$K$3:$K$1315,0)</f>
        <v>3</v>
      </c>
      <c r="AU20">
        <f>SUMIF(DataRegularSeason20242025!$D$3:$D$1315,$A20, DataRegularSeason20242025!$J$3:$J$1315)</f>
        <v>85</v>
      </c>
      <c r="AV20">
        <f>SUMIF(DataRegularSeason20242025!$D$3:$D$1315,$A20, DataRegularSeason20242025!$K$3:$K$1315)</f>
        <v>86</v>
      </c>
      <c r="AW20">
        <f>AU20-AV20</f>
        <v>-1</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AY20-AZ20</f>
        <v>-17</v>
      </c>
      <c r="BB20">
        <f>AU20+AY20</f>
        <v>161</v>
      </c>
      <c r="BC20">
        <f>AV20+AZ20</f>
        <v>179</v>
      </c>
      <c r="BD20">
        <f>BB20-BC20</f>
        <v>-18</v>
      </c>
      <c r="BE20" s="17">
        <f>Table3[[#This Row],[GF]]/Table3[[#This Row],[GP]]</f>
        <v>2.7288135593220337</v>
      </c>
      <c r="BF20" s="17">
        <f>Table3[[#This Row],[GA]]/Table3[[#This Row],[GP]]</f>
        <v>3.0338983050847457</v>
      </c>
      <c r="BG20" s="17">
        <f>(Table3[[#This Row],[GF]]-Table3[[#This Row],[GA]])/Table3[[#This Row],[GP]]</f>
        <v>-0.30508474576271188</v>
      </c>
      <c r="BH20" s="49" t="str">
        <f>_xlfn.CONCAT(TEXT(Table3[[#This Row],[W_H]], "0"), "-", TEXT(Table3[[#This Row],[RL_H]],"0"), "-", TEXT(Table3[[#This Row],[OTL_H]]+Table3[[#This Row],[SOL_H]], "0"))</f>
        <v>10-12-6</v>
      </c>
      <c r="BI20" s="49" t="str">
        <f>_xlfn.CONCAT(TEXT(Table3[[#This Row],[W_A]], "0"), "-", TEXT(Table3[[#This Row],[RL_A]],"0"), "-", TEXT(Table3[[#This Row],[OTL_A]]+Table3[[#This Row],[SOL_A]], "0"))</f>
        <v>16-11-4</v>
      </c>
      <c r="BJ20" s="49">
        <f>((2*(Table3[[#This Row],[W_H]]))+Table3[[#This Row],[OTL_H]]+Table3[[#This Row],[SOL_H]])/(2*Table3[[#This Row],[GP_H]])</f>
        <v>0.4642857142857143</v>
      </c>
      <c r="BK20" s="49">
        <f>((2*(Table3[[#This Row],[W_A]]))+Table3[[#This Row],[OTL_A]]+Table3[[#This Row],[SOL_A]])/(2*Table3[[#This Row],[GP_A]])</f>
        <v>0.58064516129032262</v>
      </c>
      <c r="BL20" s="21">
        <f>(Table3[[#This Row],[W]]*$CG$3)+(Table3[[#This Row],[L]]*$CG$4)+(Table3[[#This Row],[GF]]*$CG$5)+(Table3[[#This Row],[GA]]*$CG$6)</f>
        <v>64.95</v>
      </c>
      <c r="BM20" s="21">
        <f>(82*(((Table3[[#This Row],[PTS%]]*$CG$3)+((1-Table3[[#This Row],[PTS%]])*$CG$4)+(Table3[[#This Row],[GF]]*$CG$5)+(Table3[[#This Row],[GA]]*$CG$6))/Table3[[#This Row],[GP]])) + (Table3[[#This Row],[W]]*$CG$3)+(Table3[[#This Row],[L]]*$CG$4)+(Table3[[#This Row],[GF]]*$CG$5)+(Table3[[#This Row],[GA]]*$CG$6)</f>
        <v>123.95537201953462</v>
      </c>
      <c r="BN20">
        <f>COUNTIFS(DataRegularSeason20242025!$D$3:$D$1315,$A20,DataRegularSeason20242025!$H$3:$H$1315, $A20)</f>
        <v>9</v>
      </c>
      <c r="BO20">
        <f>COUNTIFS(DataRegularSeason20242025!$E$3:$E$1315,$A20,DataRegularSeason20242025!$H$3:$H$1315, $A20)</f>
        <v>13</v>
      </c>
      <c r="BP20">
        <f>BN20+BO20</f>
        <v>22</v>
      </c>
      <c r="BQ20">
        <f>F20-BN20</f>
        <v>22</v>
      </c>
      <c r="BR20">
        <f>H20-BO20</f>
        <v>15</v>
      </c>
      <c r="BS20">
        <f>BQ20+BR20</f>
        <v>37</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0.8666666666666667</v>
      </c>
      <c r="F21">
        <f>COUNTIFS(DataRegularSeason20242025!$N$3:$N$1315,1,DataRegularSeason20242025!$D$3:$D$1315,$A21)</f>
        <v>30</v>
      </c>
      <c r="G21">
        <f>41-Table3[[#This Row],[GP_A]]</f>
        <v>11</v>
      </c>
      <c r="H21">
        <f>COUNTIFS(DataRegularSeason20242025!$E$3:$E$1315,$A21,DataRegularSeason20242025!$N$3:$N$1315,1)</f>
        <v>30</v>
      </c>
      <c r="I21">
        <f>41-Table3[[#This Row],[GP_H]]</f>
        <v>11</v>
      </c>
      <c r="J21">
        <f>F21+H21</f>
        <v>60</v>
      </c>
      <c r="K21">
        <f>82-Table3[[#This Row],[GP]]</f>
        <v>22</v>
      </c>
      <c r="L21">
        <f>COUNTIFS(DataRegularSeason20242025!$D$3:$D$1315,$A21, DataRegularSeason20242025!$L$3:$L$1315, $A21,DataRegularSeason20242025!$N$3:$N$1315,1)</f>
        <v>15</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F21-L21</f>
        <v>15</v>
      </c>
      <c r="Q21">
        <f>COUNTIFS(DataRegularSeason20242025!$D$3:$D$1315,$A21, DataRegularSeason20242025!$S$3:$S$1315, $A21,DataRegularSeason20242025!$M$3:$M$1315,"REG")</f>
        <v>12</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4</v>
      </c>
      <c r="AA21">
        <f>COUNTIFS(DataRegularSeason20242025!$E$3:$E$1315,$A21, DataRegularSeason20242025!$S$3:$S$1315, $A21,DataRegularSeason20242025!$M$3:$M$1315,"SO")</f>
        <v>2</v>
      </c>
      <c r="AB21">
        <f>Table3[[#This Row],[W_A]]+Table3[[#This Row],[W_H]]</f>
        <v>27</v>
      </c>
      <c r="AC21">
        <f>Table3[[#This Row],[L_A]]+Table3[[#This Row],[L_H]]</f>
        <v>33</v>
      </c>
      <c r="AD21">
        <f>Table3[[#This Row],[RW_A]]+Table3[[#This Row],[RW_H]]</f>
        <v>19</v>
      </c>
      <c r="AE21">
        <f>Table3[[#This Row],[RL_A]]+Table3[[#This Row],[RL_H]]</f>
        <v>24</v>
      </c>
      <c r="AF21">
        <f>Table3[[#This Row],[OTW_A]]+Table3[[#This Row],[OTW_H]]</f>
        <v>7</v>
      </c>
      <c r="AG21">
        <f>Table3[[#This Row],[OTL_A]]+Table3[[#This Row],[OTL_H]]</f>
        <v>7</v>
      </c>
      <c r="AH21">
        <f>Table3[[#This Row],[SOW_A]]+Table3[[#This Row],[SOW_H]]</f>
        <v>1</v>
      </c>
      <c r="AI21">
        <f>Table3[[#This Row],[SOL_A]]+Table3[[#This Row],[SOL_H]]</f>
        <v>2</v>
      </c>
      <c r="AJ21" s="20" t="str">
        <f>_xlfn.CONCAT(TEXT(Table3[[#This Row],[OTW]]+Table3[[#This Row],[SOW]], "0"), "-", TEXT(Table3[[#This Row],[OTL]]+Table3[[#This Row],[SOL]],"0"))</f>
        <v>8-9</v>
      </c>
      <c r="AK21">
        <f>(2*(Table3[[#This Row],[W_A]]+Table3[[#This Row],[W_H]]))+Table3[[#This Row],[OTL_A]]+Table3[[#This Row],[SOL_A]]+Table3[[#This Row],[OTL_H]]+Table3[[#This Row],[SOL_H]]</f>
        <v>63</v>
      </c>
      <c r="AL21">
        <f>(3*(Table3[[#This Row],[RW_A]]+Table3[[#This Row],[RW_H]]))+(2*(Table3[[#This Row],[OTW_A]]+Table3[[#This Row],[SOW_A]]+Table3[[#This Row],[OTW_H]]+Table3[[#This Row],[SOW_H]]))+Table3[[#This Row],[OTL_A]]+Table3[[#This Row],[SOL_A]]+Table3[[#This Row],[OTL_H]]+Table3[[#This Row],[SOL_H]]</f>
        <v>82</v>
      </c>
      <c r="AM21" s="15">
        <f>Table3[[#This Row],[PTS]]/(2*Table3[[#This Row],[GP]])</f>
        <v>0.52500000000000002</v>
      </c>
      <c r="AN21" s="15">
        <f>Table3[[#This Row],[PTS2]]/(3*Table3[[#This Row],[GP]])</f>
        <v>0.45555555555555555</v>
      </c>
      <c r="AO21">
        <f>(2*Table3[[#This Row],[GR]])+Table3[[#This Row],[PTS]]</f>
        <v>107</v>
      </c>
      <c r="AP21">
        <f>(3*Table3[[#This Row],[GR]])+Table3[[#This Row],[PTS2]]</f>
        <v>148</v>
      </c>
      <c r="AQ21">
        <f>Table3[[#This Row],[PTS]]+(2 * Table3[[#This Row],[GR]] * Table3[[#This Row],[PTS%]])</f>
        <v>86.1</v>
      </c>
      <c r="AR21">
        <f>Table3[[#This Row],[PTS2]]+(3 * Table3[[#This Row],[GR]] * Table3[[#This Row],[PTS%2]])</f>
        <v>112.06666666666666</v>
      </c>
      <c r="AS21" s="20" t="str">
        <f>_xlfn.CONCAT(TEXT(Table3[[#This Row],[W]], "0"), "-", TEXT(Table3[[#This Row],[RL]],"0"), "-", TEXT(Table3[[#This Row],[OTL]]+Table3[[#This Row],[SOL]], "0"))</f>
        <v>27-24-9</v>
      </c>
      <c r="AT21">
        <f>COUNTIFS(DataRegularSeason20242025!$D$3:$D$1315,Table3[[#This Row],[Teams]],DataRegularSeason20242025!$K$3:$K$1315,0)</f>
        <v>2</v>
      </c>
      <c r="AU21">
        <f>SUMIF(DataRegularSeason20242025!$D$3:$D$1315,$A21, DataRegularSeason20242025!$J$3:$J$1315)</f>
        <v>91</v>
      </c>
      <c r="AV21">
        <f>SUMIF(DataRegularSeason20242025!$D$3:$D$1315,$A21, DataRegularSeason20242025!$K$3:$K$1315)</f>
        <v>90</v>
      </c>
      <c r="AW21">
        <f>AU21-AV21</f>
        <v>1</v>
      </c>
      <c r="AX21">
        <f>COUNTIFS(DataRegularSeason20242025!$E$3:$E$1315,Table3[[#This Row],[Teams]],DataRegularSeason20242025!$J$3:$J$1315,0)</f>
        <v>0</v>
      </c>
      <c r="AY21">
        <f>SUMIF(DataRegularSeason20242025!$E$3:$E$1315,$A21,DataRegularSeason20242025!$K$3:$K$1315)</f>
        <v>80</v>
      </c>
      <c r="AZ21">
        <f>SUMIF(DataRegularSeason20242025!$E$3:$E$1315,$A21,DataRegularSeason20242025!$J$3:$J$1315)</f>
        <v>88</v>
      </c>
      <c r="BA21">
        <f>AY21-AZ21</f>
        <v>-8</v>
      </c>
      <c r="BB21">
        <f>AU21+AY21</f>
        <v>171</v>
      </c>
      <c r="BC21">
        <f>AV21+AZ21</f>
        <v>178</v>
      </c>
      <c r="BD21">
        <f>BB21-BC21</f>
        <v>-7</v>
      </c>
      <c r="BE21" s="17">
        <f>Table3[[#This Row],[GF]]/Table3[[#This Row],[GP]]</f>
        <v>2.85</v>
      </c>
      <c r="BF21" s="17">
        <f>Table3[[#This Row],[GA]]/Table3[[#This Row],[GP]]</f>
        <v>2.9666666666666668</v>
      </c>
      <c r="BG21" s="17">
        <f>(Table3[[#This Row],[GF]]-Table3[[#This Row],[GA]])/Table3[[#This Row],[GP]]</f>
        <v>-0.11666666666666667</v>
      </c>
      <c r="BH21" s="49" t="str">
        <f>_xlfn.CONCAT(TEXT(Table3[[#This Row],[W_H]], "0"), "-", TEXT(Table3[[#This Row],[RL_H]],"0"), "-", TEXT(Table3[[#This Row],[OTL_H]]+Table3[[#This Row],[SOL_H]], "0"))</f>
        <v>12-12-6</v>
      </c>
      <c r="BI21" s="49" t="str">
        <f>_xlfn.CONCAT(TEXT(Table3[[#This Row],[W_A]], "0"), "-", TEXT(Table3[[#This Row],[RL_A]],"0"), "-", TEXT(Table3[[#This Row],[OTL_A]]+Table3[[#This Row],[SOL_A]], "0"))</f>
        <v>15-12-3</v>
      </c>
      <c r="BJ21" s="49">
        <f>((2*(Table3[[#This Row],[W_H]]))+Table3[[#This Row],[OTL_H]]+Table3[[#This Row],[SOL_H]])/(2*Table3[[#This Row],[GP_H]])</f>
        <v>0.5</v>
      </c>
      <c r="BK21" s="49">
        <f>((2*(Table3[[#This Row],[W_A]]))+Table3[[#This Row],[OTL_A]]+Table3[[#This Row],[SOL_A]])/(2*Table3[[#This Row],[GP_A]])</f>
        <v>0.55000000000000004</v>
      </c>
      <c r="BL21" s="21">
        <f>(Table3[[#This Row],[W]]*$CG$3)+(Table3[[#This Row],[L]]*$CG$4)+(Table3[[#This Row],[GF]]*$CG$5)+(Table3[[#This Row],[GA]]*$CG$6)</f>
        <v>66.849999999999994</v>
      </c>
      <c r="BM21" s="21">
        <f>(82*(((Table3[[#This Row],[PTS%]]*$CG$3)+((1-Table3[[#This Row],[PTS%]])*$CG$4)+(Table3[[#This Row],[GF]]*$CG$5)+(Table3[[#This Row],[GA]]*$CG$6))/Table3[[#This Row],[GP]])) + (Table3[[#This Row],[W]]*$CG$3)+(Table3[[#This Row],[L]]*$CG$4)+(Table3[[#This Row],[GF]]*$CG$5)+(Table3[[#This Row],[GA]]*$CG$6)</f>
        <v>126.78516666666668</v>
      </c>
      <c r="BN21">
        <f>COUNTIFS(DataRegularSeason20242025!$D$3:$D$1315,$A21,DataRegularSeason20242025!$H$3:$H$1315, $A21)</f>
        <v>8</v>
      </c>
      <c r="BO21">
        <f>COUNTIFS(DataRegularSeason20242025!$E$3:$E$1315,$A21,DataRegularSeason20242025!$H$3:$H$1315, $A21)</f>
        <v>10</v>
      </c>
      <c r="BP21">
        <f>BN21+BO21</f>
        <v>18</v>
      </c>
      <c r="BQ21">
        <f>F21-BN21</f>
        <v>22</v>
      </c>
      <c r="BR21">
        <f>H21-BO21</f>
        <v>20</v>
      </c>
      <c r="BS21">
        <f>BQ21+BR21</f>
        <v>42</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18</v>
      </c>
      <c r="B22" t="s">
        <v>97</v>
      </c>
      <c r="C22" t="s">
        <v>80</v>
      </c>
      <c r="D22">
        <f>COUNTIFS(DataRegularSeason20242025!$D$3:$D$1315,$A22,DataRegularSeason20242025!$R$3:$R$1315,1,DataRegularSeason20242025!$N$3:$N$1315,1) + COUNTIFS(DataRegularSeason20242025!$E$3:$E$1315,$A22,DataRegularSeason20242025!$R$3:$R$1315,1,DataRegularSeason20242025!$N$3:$N$1315,1)</f>
        <v>20</v>
      </c>
      <c r="E22" s="15">
        <f>Table3[[#This Row],[Watched]]/Table3[[#This Row],[GP]]</f>
        <v>0.33333333333333331</v>
      </c>
      <c r="F22">
        <f>COUNTIFS(DataRegularSeason20242025!$N$3:$N$1315,1,DataRegularSeason20242025!$D$3:$D$1315,$A22)</f>
        <v>29</v>
      </c>
      <c r="G22">
        <f>41-Table3[[#This Row],[GP_A]]</f>
        <v>12</v>
      </c>
      <c r="H22">
        <f>COUNTIFS(DataRegularSeason20242025!$E$3:$E$1315,$A22,DataRegularSeason20242025!$N$3:$N$1315,1)</f>
        <v>31</v>
      </c>
      <c r="I22">
        <f>41-Table3[[#This Row],[GP_H]]</f>
        <v>10</v>
      </c>
      <c r="J22">
        <f>F22+H22</f>
        <v>60</v>
      </c>
      <c r="K22">
        <f>82-Table3[[#This Row],[GP]]</f>
        <v>22</v>
      </c>
      <c r="L22">
        <f>COUNTIFS(DataRegularSeason20242025!$D$3:$D$1315,$A22, DataRegularSeason20242025!$L$3:$L$1315, $A22,DataRegularSeason20242025!$N$3:$N$1315,1)</f>
        <v>14</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14</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4</v>
      </c>
      <c r="W22">
        <f>COUNTIFS(DataRegularSeason20242025!$E$3:$E$1315,$A22, DataRegularSeason20242025!$L$3:$L$1315, $A22,DataRegularSeason20242025!$N$3:$N$1315,1,DataRegularSeason20242025!$M$3:$M$1315,"SO")</f>
        <v>1</v>
      </c>
      <c r="X22">
        <f>H22-T22</f>
        <v>16</v>
      </c>
      <c r="Y22">
        <f>COUNTIFS(DataRegularSeason20242025!$E$3:$E$1315,$A22, DataRegularSeason20242025!$S$3:$S$1315, $A22,DataRegularSeason20242025!$M$3:$M$1315,"REG")</f>
        <v>12</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29</v>
      </c>
      <c r="AC22">
        <f>Table3[[#This Row],[L_A]]+Table3[[#This Row],[L_H]]</f>
        <v>31</v>
      </c>
      <c r="AD22">
        <f>Table3[[#This Row],[RW_A]]+Table3[[#This Row],[RW_H]]</f>
        <v>21</v>
      </c>
      <c r="AE22">
        <f>Table3[[#This Row],[RL_A]]+Table3[[#This Row],[RL_H]]</f>
        <v>26</v>
      </c>
      <c r="AF22">
        <f>Table3[[#This Row],[OTW_A]]+Table3[[#This Row],[OTW_H]]</f>
        <v>6</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8-5</v>
      </c>
      <c r="AK22">
        <f>(2*(Table3[[#This Row],[W_A]]+Table3[[#This Row],[W_H]]))+Table3[[#This Row],[OTL_A]]+Table3[[#This Row],[SOL_A]]+Table3[[#This Row],[OTL_H]]+Table3[[#This Row],[SOL_H]]</f>
        <v>63</v>
      </c>
      <c r="AL22">
        <f>(3*(Table3[[#This Row],[RW_A]]+Table3[[#This Row],[RW_H]]))+(2*(Table3[[#This Row],[OTW_A]]+Table3[[#This Row],[SOW_A]]+Table3[[#This Row],[OTW_H]]+Table3[[#This Row],[SOW_H]]))+Table3[[#This Row],[OTL_A]]+Table3[[#This Row],[SOL_A]]+Table3[[#This Row],[OTL_H]]+Table3[[#This Row],[SOL_H]]</f>
        <v>84</v>
      </c>
      <c r="AM22" s="15">
        <f>Table3[[#This Row],[PTS]]/(2*Table3[[#This Row],[GP]])</f>
        <v>0.52500000000000002</v>
      </c>
      <c r="AN22" s="15">
        <f>Table3[[#This Row],[PTS2]]/(3*Table3[[#This Row],[GP]])</f>
        <v>0.46666666666666667</v>
      </c>
      <c r="AO22">
        <f>(2*Table3[[#This Row],[GR]])+Table3[[#This Row],[PTS]]</f>
        <v>107</v>
      </c>
      <c r="AP22">
        <f>(3*Table3[[#This Row],[GR]])+Table3[[#This Row],[PTS2]]</f>
        <v>150</v>
      </c>
      <c r="AQ22">
        <f>Table3[[#This Row],[PTS]]+(2 * Table3[[#This Row],[GR]] * Table3[[#This Row],[PTS%]])</f>
        <v>86.1</v>
      </c>
      <c r="AR22">
        <f>Table3[[#This Row],[PTS2]]+(3 * Table3[[#This Row],[GR]] * Table3[[#This Row],[PTS%2]])</f>
        <v>114.8</v>
      </c>
      <c r="AS22" s="20" t="str">
        <f>_xlfn.CONCAT(TEXT(Table3[[#This Row],[W]], "0"), "-", TEXT(Table3[[#This Row],[RL]],"0"), "-", TEXT(Table3[[#This Row],[OTL]]+Table3[[#This Row],[SOL]], "0"))</f>
        <v>29-26-5</v>
      </c>
      <c r="AT22">
        <f>COUNTIFS(DataRegularSeason20242025!$D$3:$D$1315,Table3[[#This Row],[Teams]],DataRegularSeason20242025!$K$3:$K$1315,0)</f>
        <v>1</v>
      </c>
      <c r="AU22">
        <f>SUMIF(DataRegularSeason20242025!$D$3:$D$1315,$A22, DataRegularSeason20242025!$J$3:$J$1315)</f>
        <v>93</v>
      </c>
      <c r="AV22">
        <f>SUMIF(DataRegularSeason20242025!$D$3:$D$1315,$A22, DataRegularSeason20242025!$K$3:$K$1315)</f>
        <v>99</v>
      </c>
      <c r="AW22">
        <f>AU22-AV22</f>
        <v>-6</v>
      </c>
      <c r="AX22">
        <f>COUNTIFS(DataRegularSeason20242025!$E$3:$E$1315,Table3[[#This Row],[Teams]],DataRegularSeason20242025!$J$3:$J$1315,0)</f>
        <v>4</v>
      </c>
      <c r="AY22">
        <f>SUMIF(DataRegularSeason20242025!$E$3:$E$1315,$A22,DataRegularSeason20242025!$K$3:$K$1315)</f>
        <v>87</v>
      </c>
      <c r="AZ22">
        <f>SUMIF(DataRegularSeason20242025!$E$3:$E$1315,$A22,DataRegularSeason20242025!$J$3:$J$1315)</f>
        <v>102</v>
      </c>
      <c r="BA22">
        <f>AY22-AZ22</f>
        <v>-15</v>
      </c>
      <c r="BB22">
        <f>AU22+AY22</f>
        <v>180</v>
      </c>
      <c r="BC22">
        <f>AV22+AZ22</f>
        <v>201</v>
      </c>
      <c r="BD22">
        <f>BB22-BC22</f>
        <v>-21</v>
      </c>
      <c r="BE22" s="17">
        <f>Table3[[#This Row],[GF]]/Table3[[#This Row],[GP]]</f>
        <v>3</v>
      </c>
      <c r="BF22" s="17">
        <f>Table3[[#This Row],[GA]]/Table3[[#This Row],[GP]]</f>
        <v>3.35</v>
      </c>
      <c r="BG22" s="17">
        <f>(Table3[[#This Row],[GF]]-Table3[[#This Row],[GA]])/Table3[[#This Row],[GP]]</f>
        <v>-0.35</v>
      </c>
      <c r="BH22" s="49" t="str">
        <f>_xlfn.CONCAT(TEXT(Table3[[#This Row],[W_H]], "0"), "-", TEXT(Table3[[#This Row],[RL_H]],"0"), "-", TEXT(Table3[[#This Row],[OTL_H]]+Table3[[#This Row],[SOL_H]], "0"))</f>
        <v>15-12-4</v>
      </c>
      <c r="BI22" s="49" t="str">
        <f>_xlfn.CONCAT(TEXT(Table3[[#This Row],[W_A]], "0"), "-", TEXT(Table3[[#This Row],[RL_A]],"0"), "-", TEXT(Table3[[#This Row],[OTL_A]]+Table3[[#This Row],[SOL_A]], "0"))</f>
        <v>14-14-1</v>
      </c>
      <c r="BJ22" s="49">
        <f>((2*(Table3[[#This Row],[W_H]]))+Table3[[#This Row],[OTL_H]]+Table3[[#This Row],[SOL_H]])/(2*Table3[[#This Row],[GP_H]])</f>
        <v>0.54838709677419351</v>
      </c>
      <c r="BK22" s="49">
        <f>((2*(Table3[[#This Row],[W_A]]))+Table3[[#This Row],[OTL_A]]+Table3[[#This Row],[SOL_A]])/(2*Table3[[#This Row],[GP_A]])</f>
        <v>0.5</v>
      </c>
      <c r="BL22" s="21">
        <f>(Table3[[#This Row],[W]]*$CG$3)+(Table3[[#This Row],[L]]*$CG$4)+(Table3[[#This Row],[GF]]*$CG$5)+(Table3[[#This Row],[GA]]*$CG$6)</f>
        <v>70.900000000000006</v>
      </c>
      <c r="BM22" s="21">
        <f>(82*(((Table3[[#This Row],[PTS%]]*$CG$3)+((1-Table3[[#This Row],[PTS%]])*$CG$4)+(Table3[[#This Row],[GF]]*$CG$5)+(Table3[[#This Row],[GA]]*$CG$6))/Table3[[#This Row],[GP]])) + (Table3[[#This Row],[W]]*$CG$3)+(Table3[[#This Row],[L]]*$CG$4)+(Table3[[#This Row],[GF]]*$CG$5)+(Table3[[#This Row],[GA]]*$CG$6)</f>
        <v>135.8235</v>
      </c>
      <c r="BN22">
        <f>COUNTIFS(DataRegularSeason20242025!$D$3:$D$1315,$A22,DataRegularSeason20242025!$H$3:$H$1315, $A22)</f>
        <v>6</v>
      </c>
      <c r="BO22">
        <f>COUNTIFS(DataRegularSeason20242025!$E$3:$E$1315,$A22,DataRegularSeason20242025!$H$3:$H$1315, $A22)</f>
        <v>12</v>
      </c>
      <c r="BP22">
        <f>BN22+BO22</f>
        <v>18</v>
      </c>
      <c r="BQ22">
        <f>F22-BN22</f>
        <v>23</v>
      </c>
      <c r="BR22">
        <f>H22-BO22</f>
        <v>19</v>
      </c>
      <c r="BS22">
        <f>BQ22+BR22</f>
        <v>42</v>
      </c>
      <c r="BV22">
        <v>1993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15</v>
      </c>
      <c r="B23" t="s">
        <v>97</v>
      </c>
      <c r="C23" t="s">
        <v>80</v>
      </c>
      <c r="D23">
        <f>COUNTIFS(DataRegularSeason20242025!$D$3:$D$1315,$A23,DataRegularSeason20242025!$R$3:$R$1315,1,DataRegularSeason20242025!$N$3:$N$1315,1) + COUNTIFS(DataRegularSeason20242025!$E$3:$E$1315,$A23,DataRegularSeason20242025!$R$3:$R$1315,1,DataRegularSeason20242025!$N$3:$N$1315,1)</f>
        <v>57</v>
      </c>
      <c r="E23" s="15">
        <f>Table3[[#This Row],[Watched]]/Table3[[#This Row],[GP]]</f>
        <v>0.93442622950819676</v>
      </c>
      <c r="F23">
        <f>COUNTIFS(DataRegularSeason20242025!$N$3:$N$1315,1,DataRegularSeason20242025!$D$3:$D$1315,$A23)</f>
        <v>28</v>
      </c>
      <c r="G23">
        <f>41-Table3[[#This Row],[GP_A]]</f>
        <v>13</v>
      </c>
      <c r="H23">
        <f>COUNTIFS(DataRegularSeason20242025!$E$3:$E$1315,$A23,DataRegularSeason20242025!$N$3:$N$1315,1)</f>
        <v>33</v>
      </c>
      <c r="I23">
        <f>41-Table3[[#This Row],[GP_H]]</f>
        <v>8</v>
      </c>
      <c r="J23">
        <f>F23+H23</f>
        <v>61</v>
      </c>
      <c r="K23">
        <f>82-Table3[[#This Row],[GP]]</f>
        <v>21</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F23-L23</f>
        <v>18</v>
      </c>
      <c r="Q23">
        <f>COUNTIFS(DataRegularSeason20242025!$D$3:$D$1315,$A23, DataRegularSeason20242025!$S$3:$S$1315, $A23,DataRegularSeason20242025!$M$3:$M$1315,"REG")</f>
        <v>15</v>
      </c>
      <c r="R23">
        <f>COUNTIFS(DataRegularSeason20242025!$D$3:$D$1315,$A23, DataRegularSeason20242025!$S$3:$S$1315, $A23,DataRegularSeason20242025!$M$3:$M$1315,"OT")</f>
        <v>2</v>
      </c>
      <c r="S23">
        <f>COUNTIFS(DataRegularSeason20242025!$D$3:$D$1315,$A23, DataRegularSeason20242025!$S$3:$S$1315, $A23,DataRegularSeason20242025!$M$3:$M$1315,"SO")</f>
        <v>1</v>
      </c>
      <c r="T23">
        <f>COUNTIFS(DataRegularSeason20242025!$E$3:$E$1315,$A23, DataRegularSeason20242025!$L$3:$L$1315, $A23, DataRegularSeason20242025!$N$3:$N$1315,1)</f>
        <v>18</v>
      </c>
      <c r="U23">
        <f>COUNTIFS(DataRegularSeason20242025!$E$3:$E$1315,$A23, DataRegularSeason20242025!$L$3:$L$1315, $A23,DataRegularSeason20242025!$N$3:$N$1315,1,DataRegularSeason20242025!$M$3:$M$1315,"REG")</f>
        <v>13</v>
      </c>
      <c r="V23">
        <f>COUNTIFS(DataRegularSeason20242025!$E$3:$E$1315,$A23, DataRegularSeason20242025!$L$3:$L$1315, $A23,DataRegularSeason20242025!$N$3:$N$1315,1,DataRegularSeason20242025!$M$3:$M$1315,"OT")</f>
        <v>5</v>
      </c>
      <c r="W23">
        <f>COUNTIFS(DataRegularSeason20242025!$E$3:$E$1315,$A23, DataRegularSeason20242025!$L$3:$L$1315, $A23,DataRegularSeason20242025!$N$3:$N$1315,1,DataRegularSeason20242025!$M$3:$M$1315,"SO")</f>
        <v>0</v>
      </c>
      <c r="X23">
        <f>H23-T23</f>
        <v>15</v>
      </c>
      <c r="Y23">
        <f>COUNTIFS(DataRegularSeason20242025!$E$3:$E$1315,$A23, DataRegularSeason20242025!$S$3:$S$1315, $A23,DataRegularSeason20242025!$M$3:$M$1315,"REG")</f>
        <v>10</v>
      </c>
      <c r="Z23">
        <f>COUNTIFS(DataRegularSeason20242025!$E$3:$E$1315,$A23, DataRegularSeason20242025!$S$3:$S$1315, $A23,DataRegularSeason20242025!$M$3:$M$1315,"OT")</f>
        <v>5</v>
      </c>
      <c r="AA23">
        <f>COUNTIFS(DataRegularSeason20242025!$E$3:$E$1315,$A23, DataRegularSeason20242025!$S$3:$S$1315, $A23,DataRegularSeason20242025!$M$3:$M$1315,"SO")</f>
        <v>0</v>
      </c>
      <c r="AB23">
        <f>Table3[[#This Row],[W_A]]+Table3[[#This Row],[W_H]]</f>
        <v>28</v>
      </c>
      <c r="AC23">
        <f>Table3[[#This Row],[L_A]]+Table3[[#This Row],[L_H]]</f>
        <v>33</v>
      </c>
      <c r="AD23">
        <f>Table3[[#This Row],[RW_A]]+Table3[[#This Row],[RW_H]]</f>
        <v>21</v>
      </c>
      <c r="AE23">
        <f>Table3[[#This Row],[RL_A]]+Table3[[#This Row],[RL_H]]</f>
        <v>25</v>
      </c>
      <c r="AF23">
        <f>Table3[[#This Row],[OTW_A]]+Table3[[#This Row],[OTW_H]]</f>
        <v>7</v>
      </c>
      <c r="AG23">
        <f>Table3[[#This Row],[OTL_A]]+Table3[[#This Row],[OTL_H]]</f>
        <v>7</v>
      </c>
      <c r="AH23">
        <f>Table3[[#This Row],[SOW_A]]+Table3[[#This Row],[SOW_H]]</f>
        <v>0</v>
      </c>
      <c r="AI23">
        <f>Table3[[#This Row],[SOL_A]]+Table3[[#This Row],[SOL_H]]</f>
        <v>1</v>
      </c>
      <c r="AJ23" s="20" t="str">
        <f>_xlfn.CONCAT(TEXT(Table3[[#This Row],[OTW]]+Table3[[#This Row],[SOW]], "0"), "-", TEXT(Table3[[#This Row],[OTL]]+Table3[[#This Row],[SOL]],"0"))</f>
        <v>7-8</v>
      </c>
      <c r="AK23">
        <f>(2*(Table3[[#This Row],[W_A]]+Table3[[#This Row],[W_H]]))+Table3[[#This Row],[OTL_A]]+Table3[[#This Row],[SOL_A]]+Table3[[#This Row],[OTL_H]]+Table3[[#This Row],[SOL_H]]</f>
        <v>64</v>
      </c>
      <c r="AL23">
        <f>(3*(Table3[[#This Row],[RW_A]]+Table3[[#This Row],[RW_H]]))+(2*(Table3[[#This Row],[OTW_A]]+Table3[[#This Row],[SOW_A]]+Table3[[#This Row],[OTW_H]]+Table3[[#This Row],[SOW_H]]))+Table3[[#This Row],[OTL_A]]+Table3[[#This Row],[SOL_A]]+Table3[[#This Row],[OTL_H]]+Table3[[#This Row],[SOL_H]]</f>
        <v>85</v>
      </c>
      <c r="AM23" s="15">
        <f>Table3[[#This Row],[PTS]]/(2*Table3[[#This Row],[GP]])</f>
        <v>0.52459016393442626</v>
      </c>
      <c r="AN23" s="15">
        <f>Table3[[#This Row],[PTS2]]/(3*Table3[[#This Row],[GP]])</f>
        <v>0.46448087431693991</v>
      </c>
      <c r="AO23">
        <f>(2*Table3[[#This Row],[GR]])+Table3[[#This Row],[PTS]]</f>
        <v>106</v>
      </c>
      <c r="AP23">
        <f>(3*Table3[[#This Row],[GR]])+Table3[[#This Row],[PTS2]]</f>
        <v>148</v>
      </c>
      <c r="AQ23">
        <f>Table3[[#This Row],[PTS]]+(2 * Table3[[#This Row],[GR]] * Table3[[#This Row],[PTS%]])</f>
        <v>86.032786885245898</v>
      </c>
      <c r="AR23">
        <f>Table3[[#This Row],[PTS2]]+(3 * Table3[[#This Row],[GR]] * Table3[[#This Row],[PTS%2]])</f>
        <v>114.26229508196721</v>
      </c>
      <c r="AS23" s="20" t="str">
        <f>_xlfn.CONCAT(TEXT(Table3[[#This Row],[W]], "0"), "-", TEXT(Table3[[#This Row],[RL]],"0"), "-", TEXT(Table3[[#This Row],[OTL]]+Table3[[#This Row],[SOL]], "0"))</f>
        <v>28-25-8</v>
      </c>
      <c r="AT23">
        <f>COUNTIFS(DataRegularSeason20242025!$D$3:$D$1315,Table3[[#This Row],[Teams]],DataRegularSeason20242025!$K$3:$K$1315,0)</f>
        <v>1</v>
      </c>
      <c r="AU23">
        <f>SUMIF(DataRegularSeason20242025!$D$3:$D$1315,$A23, DataRegularSeason20242025!$J$3:$J$1315)</f>
        <v>71</v>
      </c>
      <c r="AV23">
        <f>SUMIF(DataRegularSeason20242025!$D$3:$D$1315,$A23, DataRegularSeason20242025!$K$3:$K$1315)</f>
        <v>109</v>
      </c>
      <c r="AW23">
        <f>AU23-AV23</f>
        <v>-38</v>
      </c>
      <c r="AX23">
        <f>COUNTIFS(DataRegularSeason20242025!$E$3:$E$1315,Table3[[#This Row],[Teams]],DataRegularSeason20242025!$J$3:$J$1315,0)</f>
        <v>5</v>
      </c>
      <c r="AY23">
        <f>SUMIF(DataRegularSeason20242025!$E$3:$E$1315,$A23,DataRegularSeason20242025!$K$3:$K$1315)</f>
        <v>96</v>
      </c>
      <c r="AZ23">
        <f>SUMIF(DataRegularSeason20242025!$E$3:$E$1315,$A23,DataRegularSeason20242025!$J$3:$J$1315)</f>
        <v>85</v>
      </c>
      <c r="BA23">
        <f>AY23-AZ23</f>
        <v>11</v>
      </c>
      <c r="BB23">
        <f>AU23+AY23</f>
        <v>167</v>
      </c>
      <c r="BC23">
        <f>AV23+AZ23</f>
        <v>194</v>
      </c>
      <c r="BD23">
        <f>BB23-BC23</f>
        <v>-27</v>
      </c>
      <c r="BE23" s="17">
        <f>Table3[[#This Row],[GF]]/Table3[[#This Row],[GP]]</f>
        <v>2.737704918032787</v>
      </c>
      <c r="BF23" s="17">
        <f>Table3[[#This Row],[GA]]/Table3[[#This Row],[GP]]</f>
        <v>3.180327868852459</v>
      </c>
      <c r="BG23" s="17">
        <f>(Table3[[#This Row],[GF]]-Table3[[#This Row],[GA]])/Table3[[#This Row],[GP]]</f>
        <v>-0.44262295081967212</v>
      </c>
      <c r="BH23" s="49" t="str">
        <f>_xlfn.CONCAT(TEXT(Table3[[#This Row],[W_H]], "0"), "-", TEXT(Table3[[#This Row],[RL_H]],"0"), "-", TEXT(Table3[[#This Row],[OTL_H]]+Table3[[#This Row],[SOL_H]], "0"))</f>
        <v>18-10-5</v>
      </c>
      <c r="BI23" s="49" t="str">
        <f>_xlfn.CONCAT(TEXT(Table3[[#This Row],[W_A]], "0"), "-", TEXT(Table3[[#This Row],[RL_A]],"0"), "-", TEXT(Table3[[#This Row],[OTL_A]]+Table3[[#This Row],[SOL_A]], "0"))</f>
        <v>10-15-3</v>
      </c>
      <c r="BJ23" s="49">
        <f>((2*(Table3[[#This Row],[W_H]]))+Table3[[#This Row],[OTL_H]]+Table3[[#This Row],[SOL_H]])/(2*Table3[[#This Row],[GP_H]])</f>
        <v>0.62121212121212122</v>
      </c>
      <c r="BK23" s="49">
        <f>((2*(Table3[[#This Row],[W_A]]))+Table3[[#This Row],[OTL_A]]+Table3[[#This Row],[SOL_A]])/(2*Table3[[#This Row],[GP_A]])</f>
        <v>0.4107142857142857</v>
      </c>
      <c r="BL23" s="21">
        <f>(Table3[[#This Row],[W]]*$CG$3)+(Table3[[#This Row],[L]]*$CG$4)+(Table3[[#This Row],[GF]]*$CG$5)+(Table3[[#This Row],[GA]]*$CG$6)</f>
        <v>68.350000000000009</v>
      </c>
      <c r="BM23" s="21">
        <f>(82*(((Table3[[#This Row],[PTS%]]*$CG$3)+((1-Table3[[#This Row],[PTS%]])*$CG$4)+(Table3[[#This Row],[GF]]*$CG$5)+(Table3[[#This Row],[GA]]*$CG$6))/Table3[[#This Row],[GP]])) + (Table3[[#This Row],[W]]*$CG$3)+(Table3[[#This Row],[L]]*$CG$4)+(Table3[[#This Row],[GF]]*$CG$5)+(Table3[[#This Row],[GA]]*$CG$6)</f>
        <v>128.6467750604676</v>
      </c>
      <c r="BN23">
        <f>COUNTIFS(DataRegularSeason20242025!$D$3:$D$1315,$A23,DataRegularSeason20242025!$H$3:$H$1315, $A23)</f>
        <v>12</v>
      </c>
      <c r="BO23">
        <f>COUNTIFS(DataRegularSeason20242025!$E$3:$E$1315,$A23,DataRegularSeason20242025!$H$3:$H$1315, $A23)</f>
        <v>15</v>
      </c>
      <c r="BP23">
        <f>BN23+BO23</f>
        <v>27</v>
      </c>
      <c r="BQ23">
        <f>F23-BN23</f>
        <v>16</v>
      </c>
      <c r="BR23">
        <f>H23-BO23</f>
        <v>18</v>
      </c>
      <c r="BS23">
        <f>BQ23+BR23</f>
        <v>34</v>
      </c>
      <c r="BV23">
        <v>2011</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48</v>
      </c>
      <c r="E24" s="15">
        <f>Table3[[#This Row],[Watched]]/Table3[[#This Row],[GP]]</f>
        <v>0.81355932203389836</v>
      </c>
      <c r="F24">
        <f>COUNTIFS(DataRegularSeason20242025!$N$3:$N$1315,1,DataRegularSeason20242025!$D$3:$D$1315,$A24)</f>
        <v>30</v>
      </c>
      <c r="G24">
        <f>41-Table3[[#This Row],[GP_A]]</f>
        <v>11</v>
      </c>
      <c r="H24">
        <f>COUNTIFS(DataRegularSeason20242025!$E$3:$E$1315,$A24,DataRegularSeason20242025!$N$3:$N$1315,1)</f>
        <v>29</v>
      </c>
      <c r="I24">
        <f>41-Table3[[#This Row],[GP_H]]</f>
        <v>12</v>
      </c>
      <c r="J24">
        <f>F24+H24</f>
        <v>59</v>
      </c>
      <c r="K24">
        <f>82-Table3[[#This Row],[GP]]</f>
        <v>23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17</v>
      </c>
      <c r="Q24">
        <f>COUNTIFS(DataRegularSeason20242025!$D$3:$D$1315,$A24, DataRegularSeason20242025!$S$3:$S$1315, $A24,DataRegularSeason20242025!$M$3:$M$1315,"REG")</f>
        <v>12</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27</v>
      </c>
      <c r="AC24">
        <f>Table3[[#This Row],[L_A]]+Table3[[#This Row],[L_H]]</f>
        <v>32</v>
      </c>
      <c r="AD24">
        <f>Table3[[#This Row],[RW_A]]+Table3[[#This Row],[RW_H]]</f>
        <v>21</v>
      </c>
      <c r="AE24">
        <f>Table3[[#This Row],[RL_A]]+Table3[[#This Row],[RL_H]]</f>
        <v>25</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61</v>
      </c>
      <c r="AL24">
        <f>(3*(Table3[[#This Row],[RW_A]]+Table3[[#This Row],[RW_H]]))+(2*(Table3[[#This Row],[OTW_A]]+Table3[[#This Row],[SOW_A]]+Table3[[#This Row],[OTW_H]]+Table3[[#This Row],[SOW_H]]))+Table3[[#This Row],[OTL_A]]+Table3[[#This Row],[SOL_A]]+Table3[[#This Row],[OTL_H]]+Table3[[#This Row],[SOL_H]]</f>
        <v>82</v>
      </c>
      <c r="AM24" s="15">
        <f>Table3[[#This Row],[PTS]]/(2*Table3[[#This Row],[GP]])</f>
        <v>0.51694915254237284</v>
      </c>
      <c r="AN24" s="15">
        <f>Table3[[#This Row],[PTS2]]/(3*Table3[[#This Row],[GP]])</f>
        <v>0.4632768361581921</v>
      </c>
      <c r="AO24">
        <f>(2*Table3[[#This Row],[GR]])+Table3[[#This Row],[PTS]]</f>
        <v>107</v>
      </c>
      <c r="AP24">
        <f>(3*Table3[[#This Row],[GR]])+Table3[[#This Row],[PTS2]]</f>
        <v>151</v>
      </c>
      <c r="AQ24">
        <f>Table3[[#This Row],[PTS]]+(2 * Table3[[#This Row],[GR]] * Table3[[#This Row],[PTS%]])</f>
        <v>84.779661016949149</v>
      </c>
      <c r="AR24">
        <f>Table3[[#This Row],[PTS2]]+(3 * Table3[[#This Row],[GR]] * Table3[[#This Row],[PTS%2]])</f>
        <v>113.96610169491525</v>
      </c>
      <c r="AS24" s="20" t="str">
        <f>_xlfn.CONCAT(TEXT(Table3[[#This Row],[W]], "0"), "-", TEXT(Table3[[#This Row],[RL]],"0"), "-", TEXT(Table3[[#This Row],[OTL]]+Table3[[#This Row],[SOL]], "0"))</f>
        <v>27-25-7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85</v>
      </c>
      <c r="AW24">
        <f>AU24-AV24</f>
        <v>-4</v>
      </c>
      <c r="AX24">
        <f>COUNTIFS(DataRegularSeason20242025!$E$3:$E$1315,Table3[[#This Row],[Teams]],DataRegularSeason20242025!$J$3:$J$1315,0)</f>
        <v>1</v>
      </c>
      <c r="AY24">
        <f>SUMIF(DataRegularSeason20242025!$E$3:$E$1315,$A24,DataRegularSeason20242025!$K$3:$K$1315)</f>
        <v>84</v>
      </c>
      <c r="AZ24">
        <f>SUMIF(DataRegularSeason20242025!$E$3:$E$1315,$A24,DataRegularSeason20242025!$J$3:$J$1315)</f>
        <v>91</v>
      </c>
      <c r="BA24">
        <f>AY24-AZ24</f>
        <v>-7</v>
      </c>
      <c r="BB24">
        <f>AU24+AY24</f>
        <v>165</v>
      </c>
      <c r="BC24">
        <f>AV24+AZ24</f>
        <v>176</v>
      </c>
      <c r="BD24">
        <f>BB24-BC24</f>
        <v>-11</v>
      </c>
      <c r="BE24" s="17">
        <f>Table3[[#This Row],[GF]]/Table3[[#This Row],[GP]]</f>
        <v>2.7966101694915255</v>
      </c>
      <c r="BF24" s="17">
        <f>Table3[[#This Row],[GA]]/Table3[[#This Row],[GP]]</f>
        <v>2.9830508474576272</v>
      </c>
      <c r="BG24" s="17">
        <f>(Table3[[#This Row],[GF]]-Table3[[#This Row],[GA]])/Table3[[#This Row],[GP]]</f>
        <v>-0.1864406779661017</v>
      </c>
      <c r="BH24" s="49" t="str">
        <f>_xlfn.CONCAT(TEXT(Table3[[#This Row],[W_H]], "0"), "-", TEXT(Table3[[#This Row],[RL_H]],"0"), "-", TEXT(Table3[[#This Row],[OTL_H]]+Table3[[#This Row],[SOL_H]], "0"))</f>
        <v>14-13-2</v>
      </c>
      <c r="BI24" s="49" t="str">
        <f>_xlfn.CONCAT(TEXT(Table3[[#This Row],[W_A]], "0"), "-", TEXT(Table3[[#This Row],[RL_A]],"0"), "-", TEXT(Table3[[#This Row],[OTL_A]]+Table3[[#This Row],[SOL_A]], "0"))</f>
        <v>13-12-5</v>
      </c>
      <c r="BJ24" s="49">
        <f>((2*(Table3[[#This Row],[W_H]]))+Table3[[#This Row],[OTL_H]]+Table3[[#This Row],[SOL_H]])/(2*Table3[[#This Row],[GP_H]])</f>
        <v>0.51724137931034486</v>
      </c>
      <c r="BK24" s="49">
        <f>((2*(Table3[[#This Row],[W_A]]))+Table3[[#This Row],[OTL_A]]+Table3[[#This Row],[SOL_A]])/(2*Table3[[#This Row],[GP_A]])</f>
        <v>0.51666666666666672</v>
      </c>
      <c r="BL24" s="21">
        <f>(Table3[[#This Row],[W]]*$CG$3)+(Table3[[#This Row],[L]]*$CG$4)+(Table3[[#This Row],[GF]]*$CG$5)+(Table3[[#This Row],[GA]]*$CG$6)</f>
        <v>65.45</v>
      </c>
      <c r="BM24" s="21">
        <f>(82*(((Table3[[#This Row],[PTS%]]*$CG$3)+((1-Table3[[#This Row],[PTS%]])*$CG$4)+(Table3[[#This Row],[GF]]*$CG$5)+(Table3[[#This Row],[GA]]*$CG$6))/Table3[[#This Row],[GP]])) + (Table3[[#This Row],[W]]*$CG$3)+(Table3[[#This Row],[L]]*$CG$4)+(Table3[[#This Row],[GF]]*$CG$5)+(Table3[[#This Row],[GA]]*$CG$6)</f>
        <v>124.86996552714737</v>
      </c>
      <c r="BN24">
        <f>COUNTIFS(DataRegularSeason20242025!$D$3:$D$1315,$A24,DataRegularSeason20242025!$H$3:$H$1315, $A24)</f>
        <v>6</v>
      </c>
      <c r="BO24">
        <f>COUNTIFS(DataRegularSeason20242025!$E$3:$E$1315,$A24,DataRegularSeason20242025!$H$3:$H$1315, $A24)</f>
        <v>11</v>
      </c>
      <c r="BP24">
        <f>BN24+BO24</f>
        <v>17</v>
      </c>
      <c r="BQ24">
        <f>F24-BN24</f>
        <v>24</v>
      </c>
      <c r="BR24">
        <f>H24-BO24</f>
        <v>18</v>
      </c>
      <c r="BS24">
        <f>BQ24+BR24</f>
        <v>42</v>
      </c>
      <c r="BV24">
        <v>1983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12</v>
      </c>
      <c r="B25" t="s">
        <v>96</v>
      </c>
      <c r="C25" t="s">
        <v>94</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0.8666666666666667</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14</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2</v>
      </c>
      <c r="X25">
        <f>H25-T25</f>
        <v>17</v>
      </c>
      <c r="Y25">
        <f>COUNTIFS(DataRegularSeason20242025!$E$3:$E$1315,$A25, DataRegularSeason20242025!$S$3:$S$1315, $A25,DataRegularSeason20242025!$M$3:$M$1315,"REG")</f>
        <v>14</v>
      </c>
      <c r="Z25">
        <f>COUNTIFS(DataRegularSeason20242025!$E$3:$E$1315,$A25, DataRegularSeason20242025!$S$3:$S$1315, $A25,DataRegularSeason20242025!$M$3:$M$1315,"OT")</f>
        <v>2</v>
      </c>
      <c r="AA25">
        <f>COUNTIFS(DataRegularSeason20242025!$E$3:$E$1315,$A25, DataRegularSeason20242025!$S$3:$S$1315, $A25,DataRegularSeason20242025!$M$3:$M$1315,"SO")</f>
        <v>1</v>
      </c>
      <c r="AB25">
        <f>Table3[[#This Row],[W_A]]+Table3[[#This Row],[W_H]]</f>
        <v>28</v>
      </c>
      <c r="AC25">
        <f>Table3[[#This Row],[L_A]]+Table3[[#This Row],[L_H]]</f>
        <v>32</v>
      </c>
      <c r="AD25">
        <f>Table3[[#This Row],[RW_A]]+Table3[[#This Row],[RW_H]]</f>
        <v>20</v>
      </c>
      <c r="AE25">
        <f>Table3[[#This Row],[RL_A]]+Table3[[#This Row],[RL_H]]</f>
        <v>26</v>
      </c>
      <c r="AF25">
        <f>Table3[[#This Row],[OTW_A]]+Table3[[#This Row],[OTW_H]]</f>
        <v>5</v>
      </c>
      <c r="AG25">
        <f>Table3[[#This Row],[OTL_A]]+Table3[[#This Row],[OTL_H]]</f>
        <v>5</v>
      </c>
      <c r="AH25">
        <f>Table3[[#This Row],[SOW_A]]+Table3[[#This Row],[SOW_H]]</f>
        <v>3</v>
      </c>
      <c r="AI25">
        <f>Table3[[#This Row],[SOL_A]]+Table3[[#This Row],[SOL_H]]</f>
        <v>1</v>
      </c>
      <c r="AJ25" s="20" t="str">
        <f>_xlfn.CONCAT(TEXT(Table3[[#This Row],[OTW]]+Table3[[#This Row],[SOW]], "0"), "-", TEXT(Table3[[#This Row],[OTL]]+Table3[[#This Row],[SOL]],"0"))</f>
        <v>8-6</v>
      </c>
      <c r="AK25">
        <f>(2*(Table3[[#This Row],[W_A]]+Table3[[#This Row],[W_H]]))+Table3[[#This Row],[OTL_A]]+Table3[[#This Row],[SOL_A]]+Table3[[#This Row],[OTL_H]]+Table3[[#This Row],[SOL_H]]</f>
        <v>62</v>
      </c>
      <c r="AL25">
        <f>(3*(Table3[[#This Row],[RW_A]]+Table3[[#This Row],[RW_H]]))+(2*(Table3[[#This Row],[OTW_A]]+Table3[[#This Row],[SOW_A]]+Table3[[#This Row],[OTW_H]]+Table3[[#This Row],[SOW_H]]))+Table3[[#This Row],[OTL_A]]+Table3[[#This Row],[SOL_A]]+Table3[[#This Row],[OTL_H]]+Table3[[#This Row],[SOL_H]]</f>
        <v>82</v>
      </c>
      <c r="AM25" s="15">
        <f>Table3[[#This Row],[PTS]]/(2*Table3[[#This Row],[GP]])</f>
        <v>0.51666666666666672</v>
      </c>
      <c r="AN25" s="15">
        <f>Table3[[#This Row],[PTS2]]/(3*Table3[[#This Row],[GP]])</f>
        <v>0.45555555555555555</v>
      </c>
      <c r="AO25">
        <f>(2*Table3[[#This Row],[GR]])+Table3[[#This Row],[PTS]]</f>
        <v>106</v>
      </c>
      <c r="AP25">
        <f>(3*Table3[[#This Row],[GR]])+Table3[[#This Row],[PTS2]]</f>
        <v>148</v>
      </c>
      <c r="AQ25">
        <f>Table3[[#This Row],[PTS]]+(2 * Table3[[#This Row],[GR]] * Table3[[#This Row],[PTS%]])</f>
        <v>84.733333333333334</v>
      </c>
      <c r="AR25">
        <f>Table3[[#This Row],[PTS2]]+(3 * Table3[[#This Row],[GR]] * Table3[[#This Row],[PTS%2]])</f>
        <v>112.06666666666666</v>
      </c>
      <c r="AS25" s="20" t="str">
        <f>_xlfn.CONCAT(TEXT(Table3[[#This Row],[W]], "0"), "-", TEXT(Table3[[#This Row],[RL]],"0"), "-", TEXT(Table3[[#This Row],[OTL]]+Table3[[#This Row],[SOL]], "0"))</f>
        <v>28-26-6</v>
      </c>
      <c r="AT25">
        <f>COUNTIFS(DataRegularSeason20242025!$D$3:$D$1315,Table3[[#This Row],[Teams]],DataRegularSeason20242025!$K$3:$K$1315,0)</f>
        <v>2</v>
      </c>
      <c r="AU25">
        <f>SUMIF(DataRegularSeason20242025!$D$3:$D$1315,$A25, DataRegularSeason20242025!$J$3:$J$1315)</f>
        <v>85</v>
      </c>
      <c r="AV25">
        <f>SUMIF(DataRegularSeason20242025!$D$3:$D$1315,$A25, DataRegularSeason20242025!$K$3:$K$1315)</f>
        <v>89</v>
      </c>
      <c r="AW25">
        <f>AU25-AV25</f>
        <v>-4</v>
      </c>
      <c r="AX25">
        <f>COUNTIFS(DataRegularSeason20242025!$E$3:$E$1315,Table3[[#This Row],[Teams]],DataRegularSeason20242025!$J$3:$J$1315,0)</f>
        <v>2</v>
      </c>
      <c r="AY25">
        <f>SUMIF(DataRegularSeason20242025!$E$3:$E$1315,$A25,DataRegularSeason20242025!$K$3:$K$1315)</f>
        <v>89</v>
      </c>
      <c r="AZ25">
        <f>SUMIF(DataRegularSeason20242025!$E$3:$E$1315,$A25,DataRegularSeason20242025!$J$3:$J$1315)</f>
        <v>92</v>
      </c>
      <c r="BA25">
        <f>AY25-AZ25</f>
        <v>-3</v>
      </c>
      <c r="BB25">
        <f>AU25+AY25</f>
        <v>174</v>
      </c>
      <c r="BC25">
        <f>AV25+AZ25</f>
        <v>181</v>
      </c>
      <c r="BD25">
        <f>BB25-BC25</f>
        <v>-7</v>
      </c>
      <c r="BE25" s="17">
        <f>Table3[[#This Row],[GF]]/Table3[[#This Row],[GP]]</f>
        <v>2.9</v>
      </c>
      <c r="BF25" s="17">
        <f>Table3[[#This Row],[GA]]/Table3[[#This Row],[GP]]</f>
        <v>3.0166666666666666</v>
      </c>
      <c r="BG25" s="17">
        <f>(Table3[[#This Row],[GF]]-Table3[[#This Row],[GA]])/Table3[[#This Row],[GP]]</f>
        <v>-0.11666666666666667</v>
      </c>
      <c r="BH25" s="49" t="str">
        <f>_xlfn.CONCAT(TEXT(Table3[[#This Row],[W_H]], "0"), "-", TEXT(Table3[[#This Row],[RL_H]],"0"), "-", TEXT(Table3[[#This Row],[OTL_H]]+Table3[[#This Row],[SOL_H]], "0"))</f>
        <v>14-14-3</v>
      </c>
      <c r="BI25" s="49" t="str">
        <f>_xlfn.CONCAT(TEXT(Table3[[#This Row],[W_A]], "0"), "-", TEXT(Table3[[#This Row],[RL_A]],"0"), "-", TEXT(Table3[[#This Row],[OTL_A]]+Table3[[#This Row],[SOL_A]], "0"))</f>
        <v>14-12-3</v>
      </c>
      <c r="BJ25" s="49">
        <f>((2*(Table3[[#This Row],[W_H]]))+Table3[[#This Row],[OTL_H]]+Table3[[#This Row],[SOL_H]])/(2*Table3[[#This Row],[GP_H]])</f>
        <v>0.5</v>
      </c>
      <c r="BK25" s="49">
        <f>((2*(Table3[[#This Row],[W_A]]))+Table3[[#This Row],[OTL_A]]+Table3[[#This Row],[SOL_A]])/(2*Table3[[#This Row],[GP_A]])</f>
        <v>0.53448275862068961</v>
      </c>
      <c r="BL25" s="21">
        <f>(Table3[[#This Row],[W]]*$CG$3)+(Table3[[#This Row],[L]]*$CG$4)+(Table3[[#This Row],[GF]]*$CG$5)+(Table3[[#This Row],[GA]]*$CG$6)</f>
        <v>67.800000000000011</v>
      </c>
      <c r="BM25" s="21">
        <f>(82*(((Table3[[#This Row],[PTS%]]*$CG$3)+((1-Table3[[#This Row],[PTS%]])*$CG$4)+(Table3[[#This Row],[GF]]*$CG$5)+(Table3[[#This Row],[GA]]*$CG$6))/Table3[[#This Row],[GP]])) + (Table3[[#This Row],[W]]*$CG$3)+(Table3[[#This Row],[L]]*$CG$4)+(Table3[[#This Row],[GF]]*$CG$5)+(Table3[[#This Row],[GA]]*$CG$6)</f>
        <v>128.75788888888889</v>
      </c>
      <c r="BN25">
        <f>COUNTIFS(DataRegularSeason20242025!$D$3:$D$1315,$A25,DataRegularSeason20242025!$H$3:$H$1315, $A25)</f>
        <v>12</v>
      </c>
      <c r="BO25">
        <f>COUNTIFS(DataRegularSeason20242025!$E$3:$E$1315,$A25,DataRegularSeason20242025!$H$3:$H$1315, $A25)</f>
        <v>15</v>
      </c>
      <c r="BP25">
        <f>BN25+BO25</f>
        <v>27</v>
      </c>
      <c r="BQ25">
        <f>F25-BN25</f>
        <v>17</v>
      </c>
      <c r="BR25">
        <f>H25-BO25</f>
        <v>16</v>
      </c>
      <c r="BS25">
        <f>BQ25+BR25</f>
        <v>33</v>
      </c>
      <c r="BV25">
        <v>2019</v>
      </c>
      <c r="BW25" t="str">
        <f>INDEX(Table2[AwayTeam], Table3[[#This Row],[Column2]])</f>
        <v>NJD</v>
      </c>
      <c r="BX25">
        <f>LARGE((Table2[[#This Row],[AwayTeam]]=Table3[[#This Row],[Teams]]), 1)</f>
        <v>1</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0.82758620689655171</v>
      </c>
      <c r="F26">
        <f>COUNTIFS(DataRegularSeason20242025!$N$3:$N$1315,1,DataRegularSeason20242025!$D$3:$D$1315,$A26)</f>
        <v>30</v>
      </c>
      <c r="G26">
        <f>41-Table3[[#This Row],[GP_A]]</f>
        <v>11</v>
      </c>
      <c r="H26">
        <f>COUNTIFS(DataRegularSeason20242025!$E$3:$E$1315,$A26,DataRegularSeason20242025!$N$3:$N$1315,1)</f>
        <v>28</v>
      </c>
      <c r="I26">
        <f>41-Table3[[#This Row],[GP_H]]</f>
        <v>13</v>
      </c>
      <c r="J26">
        <f>F26+H26</f>
        <v>58</v>
      </c>
      <c r="K26">
        <f>82-Table3[[#This Row],[GP]]</f>
        <v>24</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18</v>
      </c>
      <c r="Q26">
        <f>COUNTIFS(DataRegularSeason20242025!$D$3:$D$1315,$A26, DataRegularSeason20242025!$S$3:$S$1315, $A26,DataRegularSeason20242025!$M$3:$M$1315,"REG")</f>
        <v>13</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18</v>
      </c>
      <c r="AE26">
        <f>Table3[[#This Row],[RL_A]]+Table3[[#This Row],[RL_H]]</f>
        <v>25</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77</v>
      </c>
      <c r="AM26" s="15">
        <f>Table3[[#This Row],[PTS]]/(2*Table3[[#This Row],[GP]])</f>
        <v>0.50862068965517238</v>
      </c>
      <c r="AN26" s="15">
        <f>Table3[[#This Row],[PTS2]]/(3*Table3[[#This Row],[GP]])</f>
        <v>0.44252873563218392</v>
      </c>
      <c r="AO26">
        <f>(2*Table3[[#This Row],[GR]])+Table3[[#This Row],[PTS]]</f>
        <v>107</v>
      </c>
      <c r="AP26">
        <f>(3*Table3[[#This Row],[GR]])+Table3[[#This Row],[PTS2]]</f>
        <v>149</v>
      </c>
      <c r="AQ26">
        <f>Table3[[#This Row],[PTS]]+(2 * Table3[[#This Row],[GR]] * Table3[[#This Row],[PTS%]])</f>
        <v>83.41379310344827</v>
      </c>
      <c r="AR26">
        <f>Table3[[#This Row],[PTS2]]+(3 * Table3[[#This Row],[GR]] * Table3[[#This Row],[PTS%2]])</f>
        <v>108.86206896551724</v>
      </c>
      <c r="AS26" s="20" t="str">
        <f>_xlfn.CONCAT(TEXT(Table3[[#This Row],[W]], "0"), "-", TEXT(Table3[[#This Row],[RL]],"0"), "-", TEXT(Table3[[#This Row],[OTL]]+Table3[[#This Row],[SOL]], "0"))</f>
        <v>26-25-7</v>
      </c>
      <c r="AT26">
        <f>COUNTIFS(DataRegularSeason20242025!$D$3:$D$1315,Table3[[#This Row],[Teams]],DataRegularSeason20242025!$K$3:$K$1315,0)</f>
        <v>1</v>
      </c>
      <c r="AU26">
        <f>SUMIF(DataRegularSeason20242025!$D$3:$D$1315,$A26, DataRegularSeason20242025!$J$3:$J$1315)</f>
        <v>72</v>
      </c>
      <c r="AV26">
        <f>SUMIF(DataRegularSeason20242025!$D$3:$D$1315,$A26, DataRegularSeason20242025!$K$3:$K$1315)</f>
        <v>94</v>
      </c>
      <c r="AW26">
        <f>AU26-AV26</f>
        <v>-22</v>
      </c>
      <c r="AX26">
        <f>COUNTIFS(DataRegularSeason20242025!$E$3:$E$1315,Table3[[#This Row],[Teams]],DataRegularSeason20242025!$J$3:$J$1315,0)</f>
        <v>0</v>
      </c>
      <c r="AY26">
        <f>SUMIF(DataRegularSeason20242025!$E$3:$E$1315,$A26,DataRegularSeason20242025!$K$3:$K$1315)</f>
        <v>79</v>
      </c>
      <c r="AZ26">
        <f>SUMIF(DataRegularSeason20242025!$E$3:$E$1315,$A26,DataRegularSeason20242025!$J$3:$J$1315)</f>
        <v>83</v>
      </c>
      <c r="BA26">
        <f>AY26-AZ26</f>
        <v>-4</v>
      </c>
      <c r="BB26">
        <f>AU26+AY26</f>
        <v>151</v>
      </c>
      <c r="BC26">
        <f>AV26+AZ26</f>
        <v>177</v>
      </c>
      <c r="BD26">
        <f>BB26-BC26</f>
        <v>-26</v>
      </c>
      <c r="BE26" s="17">
        <f>Table3[[#This Row],[GF]]/Table3[[#This Row],[GP]]</f>
        <v>2.603448275862069</v>
      </c>
      <c r="BF26" s="17">
        <f>Table3[[#This Row],[GA]]/Table3[[#This Row],[GP]]</f>
        <v>3.0517241379310347</v>
      </c>
      <c r="BG26" s="17">
        <f>(Table3[[#This Row],[GF]]-Table3[[#This Row],[GA]])/Table3[[#This Row],[GP]]</f>
        <v>-0.44827586206896552</v>
      </c>
      <c r="BH26" s="49" t="str">
        <f>_xlfn.CONCAT(TEXT(Table3[[#This Row],[W_H]], "0"), "-", TEXT(Table3[[#This Row],[RL_H]],"0"), "-", TEXT(Table3[[#This Row],[OTL_H]]+Table3[[#This Row],[SOL_H]], "0"))</f>
        <v>14-12-2</v>
      </c>
      <c r="BI26" s="49" t="str">
        <f>_xlfn.CONCAT(TEXT(Table3[[#This Row],[W_A]], "0"), "-", TEXT(Table3[[#This Row],[RL_A]],"0"), "-", TEXT(Table3[[#This Row],[OTL_A]]+Table3[[#This Row],[SOL_A]], "0"))</f>
        <v>12-13-5</v>
      </c>
      <c r="BJ26" s="49">
        <f>((2*(Table3[[#This Row],[W_H]]))+Table3[[#This Row],[OTL_H]]+Table3[[#This Row],[SOL_H]])/(2*Table3[[#This Row],[GP_H]])</f>
        <v>0.5357142857142857</v>
      </c>
      <c r="BK26" s="49">
        <f>((2*(Table3[[#This Row],[W_A]]))+Table3[[#This Row],[OTL_A]]+Table3[[#This Row],[SOL_A]])/(2*Table3[[#This Row],[GP_A]])</f>
        <v>0.48333333333333334</v>
      </c>
      <c r="BL26" s="21">
        <f>(Table3[[#This Row],[W]]*$CG$3)+(Table3[[#This Row],[L]]*$CG$4)+(Table3[[#This Row],[GF]]*$CG$5)+(Table3[[#This Row],[GA]]*$CG$6)</f>
        <v>62.95</v>
      </c>
      <c r="BM26" s="21">
        <f>(82*(((Table3[[#This Row],[PTS%]]*$CG$3)+((1-Table3[[#This Row],[PTS%]])*$CG$4)+(Table3[[#This Row],[GF]]*$CG$5)+(Table3[[#This Row],[GA]]*$CG$6))/Table3[[#This Row],[GP]])) + (Table3[[#This Row],[W]]*$CG$3)+(Table3[[#This Row],[L]]*$CG$4)+(Table3[[#This Row],[GF]]*$CG$5)+(Table3[[#This Row],[GA]]*$CG$6)</f>
        <v>120.56450653983354</v>
      </c>
      <c r="BN26">
        <f>COUNTIFS(DataRegularSeason20242025!$D$3:$D$1315,$A26,DataRegularSeason20242025!$H$3:$H$1315, $A26)</f>
        <v>9</v>
      </c>
      <c r="BO26">
        <f>COUNTIFS(DataRegularSeason20242025!$E$3:$E$1315,$A26,DataRegularSeason20242025!$H$3:$H$1315, $A26)</f>
        <v>10</v>
      </c>
      <c r="BP26">
        <f>BN26+BO26</f>
        <v>19</v>
      </c>
      <c r="BQ26">
        <f>F26-BN26</f>
        <v>21</v>
      </c>
      <c r="BR26">
        <f>H26-BO26</f>
        <v>18</v>
      </c>
      <c r="BS26">
        <f>BQ26+BR26</f>
        <v>39</v>
      </c>
      <c r="BT26" s="6">
        <f>(BQ26+BN26)</f>
        <v>30</v>
      </c>
      <c r="BU26" s="6"/>
      <c r="BV26">
        <v>2007</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55</v>
      </c>
      <c r="E27" s="15">
        <f>Table3[[#This Row],[Watched]]/Table3[[#This Row],[GP]]</f>
        <v>0.90163934426229508</v>
      </c>
      <c r="F27">
        <f>COUNTIFS(DataRegularSeason20242025!$N$3:$N$1315,1,DataRegularSeason20242025!$D$3:$D$1315,$A27)</f>
        <v>32</v>
      </c>
      <c r="G27">
        <f>41-Table3[[#This Row],[GP_A]]</f>
        <v>9</v>
      </c>
      <c r="H27">
        <f>COUNTIFS(DataRegularSeason20242025!$E$3:$E$1315,$A27,DataRegularSeason20242025!$N$3:$N$1315,1)</f>
        <v>29</v>
      </c>
      <c r="I27">
        <f>41-Table3[[#This Row],[GP_H]]</f>
        <v>12</v>
      </c>
      <c r="J27">
        <f>F27+H27</f>
        <v>61</v>
      </c>
      <c r="K27">
        <f>82-Table3[[#This Row],[GP]]</f>
        <v>21</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13</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34</v>
      </c>
      <c r="AD27">
        <f>Table3[[#This Row],[RW_A]]+Table3[[#This Row],[RW_H]]</f>
        <v>17</v>
      </c>
      <c r="AE27">
        <f>Table3[[#This Row],[RL_A]]+Table3[[#This Row],[RL_H]]</f>
        <v>26</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0.50819672131147542</v>
      </c>
      <c r="AN27" s="15">
        <f>Table3[[#This Row],[PTS2]]/(3*Table3[[#This Row],[GP]])</f>
        <v>0.43169398907103823</v>
      </c>
      <c r="AO27">
        <f>(2*Table3[[#This Row],[GR]])+Table3[[#This Row],[PTS]]</f>
        <v>104</v>
      </c>
      <c r="AP27">
        <f>(3*Table3[[#This Row],[GR]])+Table3[[#This Row],[PTS2]]</f>
        <v>142</v>
      </c>
      <c r="AQ27">
        <f>Table3[[#This Row],[PTS]]+(2 * Table3[[#This Row],[GR]] * Table3[[#This Row],[PTS%]])</f>
        <v>83.344262295081961</v>
      </c>
      <c r="AR27">
        <f>Table3[[#This Row],[PTS2]]+(3 * Table3[[#This Row],[GR]] * Table3[[#This Row],[PTS%2]])</f>
        <v>106.19672131147541</v>
      </c>
      <c r="AS27" s="20" t="str">
        <f>_xlfn.CONCAT(TEXT(Table3[[#This Row],[W]], "0"), "-", TEXT(Table3[[#This Row],[RL]],"0"), "-", TEXT(Table3[[#This Row],[OTL]]+Table3[[#This Row],[SOL]], "0"))</f>
        <v>27-26-8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91</v>
      </c>
      <c r="AZ27">
        <f>SUMIF(DataRegularSeason20242025!$E$3:$E$1315,$A27,DataRegularSeason20242025!$J$3:$J$1315)</f>
        <v>89</v>
      </c>
      <c r="BA27">
        <f>AY27-AZ27</f>
        <v>2</v>
      </c>
      <c r="BB27">
        <f>AU27+AY27</f>
        <v>180</v>
      </c>
      <c r="BC27">
        <f>AV27+AZ27</f>
        <v>202</v>
      </c>
      <c r="BD27">
        <f>BB27-BC27</f>
        <v>-22</v>
      </c>
      <c r="BE27" s="17">
        <f>Table3[[#This Row],[GF]]/Table3[[#This Row],[GP]]</f>
        <v>2.9508196721311477</v>
      </c>
      <c r="BF27" s="17">
        <f>Table3[[#This Row],[GA]]/Table3[[#This Row],[GP]]</f>
        <v>3.3114754098360657</v>
      </c>
      <c r="BG27" s="17">
        <f>(Table3[[#This Row],[GF]]-Table3[[#This Row],[GA]])/Table3[[#This Row],[GP]]</f>
        <v>-0.36065573770491804</v>
      </c>
      <c r="BH27" s="49" t="str">
        <f>_xlfn.CONCAT(TEXT(Table3[[#This Row],[W_H]], "0"), "-", TEXT(Table3[[#This Row],[RL_H]],"0"), "-", TEXT(Table3[[#This Row],[OTL_H]]+Table3[[#This Row],[SOL_H]], "0"))</f>
        <v>15-13-1</v>
      </c>
      <c r="BI27" s="49" t="str">
        <f>_xlfn.CONCAT(TEXT(Table3[[#This Row],[W_A]], "0"), "-", TEXT(Table3[[#This Row],[RL_A]],"0"), "-", TEXT(Table3[[#This Row],[OTL_A]]+Table3[[#This Row],[SOL_A]], "0"))</f>
        <v>12-13-7</v>
      </c>
      <c r="BJ27" s="49">
        <f>((2*(Table3[[#This Row],[W_H]]))+Table3[[#This Row],[OTL_H]]+Table3[[#This Row],[SOL_H]])/(2*Table3[[#This Row],[GP_H]])</f>
        <v>0.53448275862068961</v>
      </c>
      <c r="BK27" s="49">
        <f>((2*(Table3[[#This Row],[W_A]]))+Table3[[#This Row],[OTL_A]]+Table3[[#This Row],[SOL_A]])/(2*Table3[[#This Row],[GP_A]])</f>
        <v>0.484375</v>
      </c>
      <c r="BL27" s="21">
        <f>(Table3[[#This Row],[W]]*$CG$3)+(Table3[[#This Row],[L]]*$CG$4)+(Table3[[#This Row],[GF]]*$CG$5)+(Table3[[#This Row],[GA]]*$CG$6)</f>
        <v>70.900000000000006</v>
      </c>
      <c r="BM27" s="21">
        <f>(82*(((Table3[[#This Row],[PTS%]]*$CG$3)+((1-Table3[[#This Row],[PTS%]])*$CG$4)+(Table3[[#This Row],[GF]]*$CG$5)+(Table3[[#This Row],[GA]]*$CG$6))/Table3[[#This Row],[GP]])) + (Table3[[#This Row],[W]]*$CG$3)+(Table3[[#This Row],[L]]*$CG$4)+(Table3[[#This Row],[GF]]*$CG$5)+(Table3[[#This Row],[GA]]*$CG$6)</f>
        <v>134.88908895458212</v>
      </c>
      <c r="BN27">
        <f>COUNTIFS(DataRegularSeason20242025!$D$3:$D$1315,$A27,DataRegularSeason20242025!$H$3:$H$1315, $A27)</f>
        <v>7</v>
      </c>
      <c r="BO27">
        <f>COUNTIFS(DataRegularSeason20242025!$E$3:$E$1315,$A27,DataRegularSeason20242025!$H$3:$H$1315, $A27)</f>
        <v>7</v>
      </c>
      <c r="BP27">
        <f>BN27+BO27</f>
        <v>14</v>
      </c>
      <c r="BQ27">
        <f>F27-BN27</f>
        <v>25</v>
      </c>
      <c r="BR27">
        <f>H27-BO27</f>
        <v>22</v>
      </c>
      <c r="BS27">
        <f>BQ27+BR27</f>
        <v>47</v>
      </c>
      <c r="BV27">
        <v>1975</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57</v>
      </c>
      <c r="E28" s="15">
        <f>Table3[[#This Row],[Watched]]/Table3[[#This Row],[GP]]</f>
        <v>0.91935483870967738</v>
      </c>
      <c r="F28">
        <f>COUNTIFS(DataRegularSeason20242025!$N$3:$N$1315,1,DataRegularSeason20242025!$D$3:$D$1315,$A28)</f>
        <v>31</v>
      </c>
      <c r="G28">
        <f>41-Table3[[#This Row],[GP_A]]</f>
        <v>10</v>
      </c>
      <c r="H28">
        <f>COUNTIFS(DataRegularSeason20242025!$E$3:$E$1315,$A28,DataRegularSeason20242025!$N$3:$N$1315,1)</f>
        <v>31</v>
      </c>
      <c r="I28">
        <f>41-Table3[[#This Row],[GP_H]]</f>
        <v>10</v>
      </c>
      <c r="J28">
        <f>F28+H28</f>
        <v>62</v>
      </c>
      <c r="K28">
        <f>82-Table3[[#This Row],[GP]]</f>
        <v>20</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21</v>
      </c>
      <c r="Q28">
        <f>COUNTIFS(DataRegularSeason20242025!$D$3:$D$1315,$A28, DataRegularSeason20242025!$S$3:$S$1315, $A28,DataRegularSeason20242025!$M$3:$M$1315,"REG")</f>
        <v>16</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17</v>
      </c>
      <c r="Y28">
        <f>COUNTIFS(DataRegularSeason20242025!$E$3:$E$1315,$A28, DataRegularSeason20242025!$S$3:$S$1315, $A28,DataRegularSeason20242025!$M$3:$M$1315,"REG")</f>
        <v>13</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24</v>
      </c>
      <c r="AC28">
        <f>Table3[[#This Row],[L_A]]+Table3[[#This Row],[L_H]]</f>
        <v>38</v>
      </c>
      <c r="AD28">
        <f>Table3[[#This Row],[RW_A]]+Table3[[#This Row],[RW_H]]</f>
        <v>16</v>
      </c>
      <c r="AE28">
        <f>Table3[[#This Row],[RL_A]]+Table3[[#This Row],[RL_H]]</f>
        <v>29</v>
      </c>
      <c r="AF28">
        <f>Table3[[#This Row],[OTW_A]]+Table3[[#This Row],[OTW_H]]</f>
        <v>7</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8-9</v>
      </c>
      <c r="AK28">
        <f>(2*(Table3[[#This Row],[W_A]]+Table3[[#This Row],[W_H]]))+Table3[[#This Row],[OTL_A]]+Table3[[#This Row],[SOL_A]]+Table3[[#This Row],[OTL_H]]+Table3[[#This Row],[SOL_H]]</f>
        <v>57</v>
      </c>
      <c r="AL28">
        <f>(3*(Table3[[#This Row],[RW_A]]+Table3[[#This Row],[RW_H]]))+(2*(Table3[[#This Row],[OTW_A]]+Table3[[#This Row],[SOW_A]]+Table3[[#This Row],[OTW_H]]+Table3[[#This Row],[SOW_H]]))+Table3[[#This Row],[OTL_A]]+Table3[[#This Row],[SOL_A]]+Table3[[#This Row],[OTL_H]]+Table3[[#This Row],[SOL_H]]</f>
        <v>73</v>
      </c>
      <c r="AM28" s="15">
        <f>Table3[[#This Row],[PTS]]/(2*Table3[[#This Row],[GP]])</f>
        <v>0.45967741935483869</v>
      </c>
      <c r="AN28" s="15">
        <f>Table3[[#This Row],[PTS2]]/(3*Table3[[#This Row],[GP]])</f>
        <v>0.39247311827956988</v>
      </c>
      <c r="AO28">
        <f>(2*Table3[[#This Row],[GR]])+Table3[[#This Row],[PTS]]</f>
        <v>97</v>
      </c>
      <c r="AP28">
        <f>(3*Table3[[#This Row],[GR]])+Table3[[#This Row],[PTS2]]</f>
        <v>133</v>
      </c>
      <c r="AQ28">
        <f>Table3[[#This Row],[PTS]]+(2 * Table3[[#This Row],[GR]] * Table3[[#This Row],[PTS%]])</f>
        <v>75.387096774193552</v>
      </c>
      <c r="AR28">
        <f>Table3[[#This Row],[PTS2]]+(3 * Table3[[#This Row],[GR]] * Table3[[#This Row],[PTS%2]])</f>
        <v>96.548387096774192</v>
      </c>
      <c r="AS28" s="20" t="str">
        <f>_xlfn.CONCAT(TEXT(Table3[[#This Row],[W]], "0"), "-", TEXT(Table3[[#This Row],[RL]],"0"), "-", TEXT(Table3[[#This Row],[OTL]]+Table3[[#This Row],[SOL]], "0"))</f>
        <v>24-29-9</v>
      </c>
      <c r="AT28">
        <f>COUNTIFS(DataRegularSeason20242025!$D$3:$D$1315,Table3[[#This Row],[Teams]],DataRegularSeason20242025!$K$3:$K$1315,0)</f>
        <v>0</v>
      </c>
      <c r="AU28">
        <f>SUMIF(DataRegularSeason20242025!$D$3:$D$1315,$A28, DataRegularSeason20242025!$J$3:$J$1315)</f>
        <v>86</v>
      </c>
      <c r="AV28">
        <f>SUMIF(DataRegularSeason20242025!$D$3:$D$1315,$A28, DataRegularSeason20242025!$K$3:$K$1315)</f>
        <v>110</v>
      </c>
      <c r="AW28">
        <f>AU28-AV28</f>
        <v>-24</v>
      </c>
      <c r="AX28">
        <f>COUNTIFS(DataRegularSeason20242025!$E$3:$E$1315,Table3[[#This Row],[Teams]],DataRegularSeason20242025!$J$3:$J$1315,0)</f>
        <v>1</v>
      </c>
      <c r="AY28">
        <f>SUMIF(DataRegularSeason20242025!$E$3:$E$1315,$A28,DataRegularSeason20242025!$K$3:$K$1315)</f>
        <v>92</v>
      </c>
      <c r="AZ28">
        <f>SUMIF(DataRegularSeason20242025!$E$3:$E$1315,$A28,DataRegularSeason20242025!$J$3:$J$1315)</f>
        <v>117</v>
      </c>
      <c r="BA28">
        <f>AY28-AZ28</f>
        <v>-25</v>
      </c>
      <c r="BB28">
        <f>AU28+AY28</f>
        <v>178</v>
      </c>
      <c r="BC28">
        <f>AV28+AZ28</f>
        <v>227</v>
      </c>
      <c r="BD28">
        <f>BB28-BC28</f>
        <v>-49</v>
      </c>
      <c r="BE28" s="17">
        <f>Table3[[#This Row],[GF]]/Table3[[#This Row],[GP]]</f>
        <v>2.870967741935484</v>
      </c>
      <c r="BF28" s="17">
        <f>Table3[[#This Row],[GA]]/Table3[[#This Row],[GP]]</f>
        <v>3.661290322580645</v>
      </c>
      <c r="BG28" s="17">
        <f>(Table3[[#This Row],[GF]]-Table3[[#This Row],[GA]])/Table3[[#This Row],[GP]]</f>
        <v>-0.79032258064516125</v>
      </c>
      <c r="BH28" s="49" t="str">
        <f>_xlfn.CONCAT(TEXT(Table3[[#This Row],[W_H]], "0"), "-", TEXT(Table3[[#This Row],[RL_H]],"0"), "-", TEXT(Table3[[#This Row],[OTL_H]]+Table3[[#This Row],[SOL_H]], "0"))</f>
        <v>14-13-4</v>
      </c>
      <c r="BI28" s="49" t="str">
        <f>_xlfn.CONCAT(TEXT(Table3[[#This Row],[W_A]], "0"), "-", TEXT(Table3[[#This Row],[RL_A]],"0"), "-", TEXT(Table3[[#This Row],[OTL_A]]+Table3[[#This Row],[SOL_A]], "0"))</f>
        <v>10-16-5</v>
      </c>
      <c r="BJ28" s="49">
        <f>((2*(Table3[[#This Row],[W_H]]))+Table3[[#This Row],[OTL_H]]+Table3[[#This Row],[SOL_H]])/(2*Table3[[#This Row],[GP_H]])</f>
        <v>0.5161290322580645</v>
      </c>
      <c r="BK28" s="49">
        <f>((2*(Table3[[#This Row],[W_A]]))+Table3[[#This Row],[OTL_A]]+Table3[[#This Row],[SOL_A]])/(2*Table3[[#This Row],[GP_A]])</f>
        <v>0.40322580645161288</v>
      </c>
      <c r="BL28" s="21">
        <f>(Table3[[#This Row],[W]]*$CG$3)+(Table3[[#This Row],[L]]*$CG$4)+(Table3[[#This Row],[GF]]*$CG$5)+(Table3[[#This Row],[GA]]*$CG$6)</f>
        <v>72.8</v>
      </c>
      <c r="BM28" s="21">
        <f>(82*(((Table3[[#This Row],[PTS%]]*$CG$3)+((1-Table3[[#This Row],[PTS%]])*$CG$4)+(Table3[[#This Row],[GF]]*$CG$5)+(Table3[[#This Row],[GA]]*$CG$6))/Table3[[#This Row],[GP]])) + (Table3[[#This Row],[W]]*$CG$3)+(Table3[[#This Row],[L]]*$CG$4)+(Table3[[#This Row],[GF]]*$CG$5)+(Table3[[#This Row],[GA]]*$CG$6)</f>
        <v>138.65385015608743</v>
      </c>
      <c r="BN28">
        <f>COUNTIFS(DataRegularSeason20242025!$D$3:$D$1315,$A28,DataRegularSeason20242025!$H$3:$H$1315, $A28)</f>
        <v>17</v>
      </c>
      <c r="BO28">
        <f>COUNTIFS(DataRegularSeason20242025!$E$3:$E$1315,$A28,DataRegularSeason20242025!$H$3:$H$1315, $A28)</f>
        <v>13</v>
      </c>
      <c r="BP28">
        <f>BN28+BO28</f>
        <v>30</v>
      </c>
      <c r="BQ28">
        <f>F28-BN28</f>
        <v>14</v>
      </c>
      <c r="BR28">
        <f>H28-BO28</f>
        <v>18</v>
      </c>
      <c r="BS28">
        <f>BQ28+BR28</f>
        <v>32</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28</v>
      </c>
      <c r="B29" t="s">
        <v>97</v>
      </c>
      <c r="C29" t="s">
        <v>80</v>
      </c>
      <c r="D29">
        <f>COUNTIFS(DataRegularSeason20242025!$D$3:$D$1315,$A29,DataRegularSeason20242025!$R$3:$R$1315,1,DataRegularSeason20242025!$N$3:$N$1315,1) + COUNTIFS(DataRegularSeason20242025!$E$3:$E$1315,$A29,DataRegularSeason20242025!$R$3:$R$1315,1,DataRegularSeason20242025!$N$3:$N$1315,1)</f>
        <v>46</v>
      </c>
      <c r="E29" s="15">
        <f>Table3[[#This Row],[Watched]]/Table3[[#This Row],[GP]]</f>
        <v>0.7931034482758621</v>
      </c>
      <c r="F29">
        <f>COUNTIFS(DataRegularSeason20242025!$N$3:$N$1315,1,DataRegularSeason20242025!$D$3:$D$1315,$A29)</f>
        <v>27</v>
      </c>
      <c r="G29">
        <f>41-Table3[[#This Row],[GP_A]]</f>
        <v>14</v>
      </c>
      <c r="H29">
        <f>COUNTIFS(DataRegularSeason20242025!$E$3:$E$1315,$A29,DataRegularSeason20242025!$N$3:$N$1315,1)</f>
        <v>31</v>
      </c>
      <c r="I29">
        <f>41-Table3[[#This Row],[GP_H]]</f>
        <v>10</v>
      </c>
      <c r="J29">
        <f>F29+H29</f>
        <v>58</v>
      </c>
      <c r="K29">
        <f>82-Table3[[#This Row],[GP]]</f>
        <v>24</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18</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16</v>
      </c>
      <c r="Y29">
        <f>COUNTIFS(DataRegularSeason20242025!$E$3:$E$1315,$A29, DataRegularSeason20242025!$S$3:$S$1315, $A29,DataRegularSeason20242025!$M$3:$M$1315,"REG")</f>
        <v>13</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24</v>
      </c>
      <c r="AC29">
        <f>Table3[[#This Row],[L_A]]+Table3[[#This Row],[L_H]]</f>
        <v>34</v>
      </c>
      <c r="AD29">
        <f>Table3[[#This Row],[RW_A]]+Table3[[#This Row],[RW_H]]</f>
        <v>20</v>
      </c>
      <c r="AE29">
        <f>Table3[[#This Row],[RL_A]]+Table3[[#This Row],[RL_H]]</f>
        <v>29</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53</v>
      </c>
      <c r="AL29">
        <f>(3*(Table3[[#This Row],[RW_A]]+Table3[[#This Row],[RW_H]]))+(2*(Table3[[#This Row],[OTW_A]]+Table3[[#This Row],[SOW_A]]+Table3[[#This Row],[OTW_H]]+Table3[[#This Row],[SOW_H]]))+Table3[[#This Row],[OTL_A]]+Table3[[#This Row],[SOL_A]]+Table3[[#This Row],[OTL_H]]+Table3[[#This Row],[SOL_H]]</f>
        <v>73</v>
      </c>
      <c r="AM29" s="15">
        <f>Table3[[#This Row],[PTS]]/(2*Table3[[#This Row],[GP]])</f>
        <v>0.45689655172413796</v>
      </c>
      <c r="AN29" s="15">
        <f>Table3[[#This Row],[PTS2]]/(3*Table3[[#This Row],[GP]])</f>
        <v>0.41954022988505746</v>
      </c>
      <c r="AO29">
        <f>(2*Table3[[#This Row],[GR]])+Table3[[#This Row],[PTS]]</f>
        <v>101</v>
      </c>
      <c r="AP29">
        <f>(3*Table3[[#This Row],[GR]])+Table3[[#This Row],[PTS2]]</f>
        <v>145</v>
      </c>
      <c r="AQ29">
        <f>Table3[[#This Row],[PTS]]+(2 * Table3[[#This Row],[GR]] * Table3[[#This Row],[PTS%]])</f>
        <v>74.931034482758619</v>
      </c>
      <c r="AR29">
        <f>Table3[[#This Row],[PTS2]]+(3 * Table3[[#This Row],[GR]] * Table3[[#This Row],[PTS%2]])</f>
        <v>103.20689655172413</v>
      </c>
      <c r="AS29" s="20" t="str">
        <f>_xlfn.CONCAT(TEXT(Table3[[#This Row],[W]], "0"), "-", TEXT(Table3[[#This Row],[RL]],"0"), "-", TEXT(Table3[[#This Row],[OTL]]+Table3[[#This Row],[SOL]], "0"))</f>
        <v>24-29-5</v>
      </c>
      <c r="AT29">
        <f>COUNTIFS(DataRegularSeason20242025!$D$3:$D$1315,Table3[[#This Row],[Teams]],DataRegularSeason20242025!$K$3:$K$1315,0)</f>
        <v>2</v>
      </c>
      <c r="AU29">
        <f>SUMIF(DataRegularSeason20242025!$D$3:$D$1315,$A29, DataRegularSeason20242025!$J$3:$J$1315)</f>
        <v>78</v>
      </c>
      <c r="AV29">
        <f>SUMIF(DataRegularSeason20242025!$D$3:$D$1315,$A29, DataRegularSeason20242025!$K$3:$K$1315)</f>
        <v>93</v>
      </c>
      <c r="AW29">
        <f>AU29-AV29</f>
        <v>-15</v>
      </c>
      <c r="AX29">
        <f>COUNTIFS(DataRegularSeason20242025!$E$3:$E$1315,Table3[[#This Row],[Teams]],DataRegularSeason20242025!$J$3:$J$1315,0)</f>
        <v>0</v>
      </c>
      <c r="AY29">
        <f>SUMIF(DataRegularSeason20242025!$E$3:$E$1315,$A29,DataRegularSeason20242025!$K$3:$K$1315)</f>
        <v>108</v>
      </c>
      <c r="AZ29">
        <f>SUMIF(DataRegularSeason20242025!$E$3:$E$1315,$A29,DataRegularSeason20242025!$J$3:$J$1315)</f>
        <v>105</v>
      </c>
      <c r="BA29">
        <f>AY29-AZ29</f>
        <v>3</v>
      </c>
      <c r="BB29">
        <f>AU29+AY29</f>
        <v>186</v>
      </c>
      <c r="BC29">
        <f>AV29+AZ29</f>
        <v>198</v>
      </c>
      <c r="BD29">
        <f>BB29-BC29</f>
        <v>-12</v>
      </c>
      <c r="BE29" s="17">
        <f>Table3[[#This Row],[GF]]/Table3[[#This Row],[GP]]</f>
        <v>3.2068965517241379</v>
      </c>
      <c r="BF29" s="17">
        <f>Table3[[#This Row],[GA]]/Table3[[#This Row],[GP]]</f>
        <v>3.4137931034482758</v>
      </c>
      <c r="BG29" s="17">
        <f>(Table3[[#This Row],[GF]]-Table3[[#This Row],[GA]])/Table3[[#This Row],[GP]]</f>
        <v>-0.20689655172413793</v>
      </c>
      <c r="BH29" s="49" t="str">
        <f>_xlfn.CONCAT(TEXT(Table3[[#This Row],[W_H]], "0"), "-", TEXT(Table3[[#This Row],[RL_H]],"0"), "-", TEXT(Table3[[#This Row],[OTL_H]]+Table3[[#This Row],[SOL_H]], "0"))</f>
        <v>15-13-3</v>
      </c>
      <c r="BI29" s="49" t="str">
        <f>_xlfn.CONCAT(TEXT(Table3[[#This Row],[W_A]], "0"), "-", TEXT(Table3[[#This Row],[RL_A]],"0"), "-", TEXT(Table3[[#This Row],[OTL_A]]+Table3[[#This Row],[SOL_A]], "0"))</f>
        <v>9-16-2</v>
      </c>
      <c r="BJ29" s="49">
        <f>((2*(Table3[[#This Row],[W_H]]))+Table3[[#This Row],[OTL_H]]+Table3[[#This Row],[SOL_H]])/(2*Table3[[#This Row],[GP_H]])</f>
        <v>0.532258064516129</v>
      </c>
      <c r="BK29" s="49">
        <f>((2*(Table3[[#This Row],[W_A]]))+Table3[[#This Row],[OTL_A]]+Table3[[#This Row],[SOL_A]])/(2*Table3[[#This Row],[GP_A]])</f>
        <v>0.37037037037037035</v>
      </c>
      <c r="BL29" s="21">
        <f>(Table3[[#This Row],[W]]*$CG$3)+(Table3[[#This Row],[L]]*$CG$4)+(Table3[[#This Row],[GF]]*$CG$5)+(Table3[[#This Row],[GA]]*$CG$6)</f>
        <v>69.899999999999991</v>
      </c>
      <c r="BM29" s="21">
        <f>(82*(((Table3[[#This Row],[PTS%]]*$CG$3)+((1-Table3[[#This Row],[PTS%]])*$CG$4)+(Table3[[#This Row],[GF]]*$CG$5)+(Table3[[#This Row],[GA]]*$CG$6))/Table3[[#This Row],[GP]])) + (Table3[[#This Row],[W]]*$CG$3)+(Table3[[#This Row],[L]]*$CG$4)+(Table3[[#This Row],[GF]]*$CG$5)+(Table3[[#This Row],[GA]]*$CG$6)</f>
        <v>137.89126040428064</v>
      </c>
      <c r="BN29">
        <f>COUNTIFS(DataRegularSeason20242025!$D$3:$D$1315,$A29,DataRegularSeason20242025!$H$3:$H$1315, $A29)</f>
        <v>10</v>
      </c>
      <c r="BO29">
        <f>COUNTIFS(DataRegularSeason20242025!$E$3:$E$1315,$A29,DataRegularSeason20242025!$H$3:$H$1315, $A29)</f>
        <v>14</v>
      </c>
      <c r="BP29">
        <f>BN29+BO29</f>
        <v>24</v>
      </c>
      <c r="BQ29">
        <f>F29-BN29</f>
        <v>17</v>
      </c>
      <c r="BR29">
        <f>H29-BO29</f>
        <v>17</v>
      </c>
      <c r="BS29">
        <f>BQ29+BR29</f>
        <v>34</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F30+H30</f>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F30-L30</f>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AU30-AV30</f>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AY30-AZ30</f>
        <v>-3</v>
      </c>
      <c r="BB30">
        <f>AU30+AY30</f>
        <v>174</v>
      </c>
      <c r="BC30">
        <f>AV30+AZ30</f>
        <v>195</v>
      </c>
      <c r="BD30">
        <f>BB30-BC30</f>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12</v>
      </c>
      <c r="BP30">
        <f>BN30+BO30</f>
        <v>20</v>
      </c>
      <c r="BQ30">
        <f>F30-BN30</f>
        <v>21</v>
      </c>
      <c r="BR30">
        <f>H30-BO30</f>
        <v>19</v>
      </c>
      <c r="BS30">
        <f>BQ30+BR30</f>
        <v>40</v>
      </c>
      <c r="BW30" t="str">
        <f>INDEX(Table2[AwayTeam], Table3[[#This Row],[Column2]])</f>
        <v>NSH</v>
      </c>
      <c r="BX30">
        <f>LARGE((Table2[[#This Row],[AwayTeam]]=Table3[[#This Row],[Teams]]), 1)</f>
        <v>0</v>
      </c>
      <c r="CD30" s="66"/>
      <c r="CE30" s="170" t="s">
        <v>23</v>
      </c>
      <c r="CF30" s="171"/>
      <c r="CG30" s="92"/>
      <c r="CH30" s="92"/>
      <c r="CI30" s="92"/>
      <c r="CJ30" s="92"/>
      <c r="CK30" s="92"/>
      <c r="CL30" s="92"/>
      <c r="CM30" s="92"/>
      <c r="CN30" s="92"/>
      <c r="CO30" s="92"/>
      <c r="CP30" s="92"/>
      <c r="CQ30" s="93"/>
      <c r="CS30" s="170" t="s">
        <v>1888</v>
      </c>
      <c r="CT30" s="171"/>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54</v>
      </c>
      <c r="E31" s="15">
        <f>Table3[[#This Row],[Watched]]/Table3[[#This Row],[GP]]</f>
        <v>0.9152542372881356</v>
      </c>
      <c r="F31">
        <f>COUNTIFS(DataRegularSeason20242025!$N$3:$N$1315,1,DataRegularSeason20242025!$D$3:$D$1315,$A31)</f>
        <v>29</v>
      </c>
      <c r="G31">
        <f>41-Table3[[#This Row],[GP_A]]</f>
        <v>12</v>
      </c>
      <c r="H31">
        <f>COUNTIFS(DataRegularSeason20242025!$E$3:$E$1315,$A31,DataRegularSeason20242025!$N$3:$N$1315,1)</f>
        <v>30</v>
      </c>
      <c r="I31">
        <f>41-Table3[[#This Row],[GP_H]]</f>
        <v>11</v>
      </c>
      <c r="J31">
        <f>F31+H31</f>
        <v>59</v>
      </c>
      <c r="K31">
        <f>82-Table3[[#This Row],[GP]]</f>
        <v>23</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23</v>
      </c>
      <c r="Q31">
        <f>COUNTIFS(DataRegularSeason20242025!$D$3:$D$1315,$A31, DataRegularSeason20242025!$S$3:$S$1315, $A31,DataRegularSeason20242025!$M$3:$M$1315,"REG")</f>
        <v>19</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21</v>
      </c>
      <c r="AC31">
        <f>Table3[[#This Row],[L_A]]+Table3[[#This Row],[L_H]]</f>
        <v>38</v>
      </c>
      <c r="AD31">
        <f>Table3[[#This Row],[RW_A]]+Table3[[#This Row],[RW_H]]</f>
        <v>18</v>
      </c>
      <c r="AE31">
        <f>Table3[[#This Row],[RL_A]]+Table3[[#This Row],[RL_H]]</f>
        <v>31</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49</v>
      </c>
      <c r="AL31">
        <f>(3*(Table3[[#This Row],[RW_A]]+Table3[[#This Row],[RW_H]]))+(2*(Table3[[#This Row],[OTW_A]]+Table3[[#This Row],[SOW_A]]+Table3[[#This Row],[OTW_H]]+Table3[[#This Row],[SOW_H]]))+Table3[[#This Row],[OTL_A]]+Table3[[#This Row],[SOL_A]]+Table3[[#This Row],[OTL_H]]+Table3[[#This Row],[SOL_H]]</f>
        <v>67</v>
      </c>
      <c r="AM31" s="15">
        <f>Table3[[#This Row],[PTS]]/(2*Table3[[#This Row],[GP]])</f>
        <v>0.4152542372881356</v>
      </c>
      <c r="AN31" s="15">
        <f>Table3[[#This Row],[PTS2]]/(3*Table3[[#This Row],[GP]])</f>
        <v>0.37853107344632769</v>
      </c>
      <c r="AO31">
        <f>(2*Table3[[#This Row],[GR]])+Table3[[#This Row],[PTS]]</f>
        <v>95</v>
      </c>
      <c r="AP31">
        <f>(3*Table3[[#This Row],[GR]])+Table3[[#This Row],[PTS2]]</f>
        <v>136</v>
      </c>
      <c r="AQ31">
        <f>Table3[[#This Row],[PTS]]+(2 * Table3[[#This Row],[GR]] * Table3[[#This Row],[PTS%]])</f>
        <v>68.101694915254242</v>
      </c>
      <c r="AR31">
        <f>Table3[[#This Row],[PTS2]]+(3 * Table3[[#This Row],[GR]] * Table3[[#This Row],[PTS%2]])</f>
        <v>93.118644067796609</v>
      </c>
      <c r="AS31" s="20" t="str">
        <f>_xlfn.CONCAT(TEXT(Table3[[#This Row],[W]], "0"), "-", TEXT(Table3[[#This Row],[RL]],"0"), "-", TEXT(Table3[[#This Row],[OTL]]+Table3[[#This Row],[SOL]], "0"))</f>
        <v>21-31-7</v>
      </c>
      <c r="AT31">
        <f>COUNTIFS(DataRegularSeason20242025!$D$3:$D$1315,Table3[[#This Row],[Teams]],DataRegularSeason20242025!$K$3:$K$1315,0)</f>
        <v>1</v>
      </c>
      <c r="AU31">
        <f>SUMIF(DataRegularSeason20242025!$D$3:$D$1315,$A31, DataRegularSeason20242025!$J$3:$J$1315)</f>
        <v>64</v>
      </c>
      <c r="AV31">
        <f>SUMIF(DataRegularSeason20242025!$D$3:$D$1315,$A31, DataRegularSeason20242025!$K$3:$K$1315)</f>
        <v>105</v>
      </c>
      <c r="AW31">
        <f>AU31-AV31</f>
        <v>-41</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AY31-AZ31</f>
        <v>-3</v>
      </c>
      <c r="BB31">
        <f>AU31+AY31</f>
        <v>153</v>
      </c>
      <c r="BC31">
        <f>AV31+AZ31</f>
        <v>197</v>
      </c>
      <c r="BD31">
        <f>BB31-BC31</f>
        <v>-44</v>
      </c>
      <c r="BE31" s="17">
        <f>Table3[[#This Row],[GF]]/Table3[[#This Row],[GP]]</f>
        <v>2.593220338983051</v>
      </c>
      <c r="BF31" s="17">
        <f>Table3[[#This Row],[GA]]/Table3[[#This Row],[GP]]</f>
        <v>3.3389830508474576</v>
      </c>
      <c r="BG31" s="17">
        <f>(Table3[[#This Row],[GF]]-Table3[[#This Row],[GA]])/Table3[[#This Row],[GP]]</f>
        <v>-0.74576271186440679</v>
      </c>
      <c r="BH31" s="49" t="str">
        <f>_xlfn.CONCAT(TEXT(Table3[[#This Row],[W_H]], "0"), "-", TEXT(Table3[[#This Row],[RL_H]],"0"), "-", TEXT(Table3[[#This Row],[OTL_H]]+Table3[[#This Row],[SOL_H]], "0"))</f>
        <v>15-12-3</v>
      </c>
      <c r="BI31" s="49" t="str">
        <f>_xlfn.CONCAT(TEXT(Table3[[#This Row],[W_A]], "0"), "-", TEXT(Table3[[#This Row],[RL_A]],"0"), "-", TEXT(Table3[[#This Row],[OTL_A]]+Table3[[#This Row],[SOL_A]], "0"))</f>
        <v>6-19-4</v>
      </c>
      <c r="BJ31" s="49">
        <f>((2*(Table3[[#This Row],[W_H]]))+Table3[[#This Row],[OTL_H]]+Table3[[#This Row],[SOL_H]])/(2*Table3[[#This Row],[GP_H]])</f>
        <v>0.55000000000000004</v>
      </c>
      <c r="BK31" s="49">
        <f>((2*(Table3[[#This Row],[W_A]]))+Table3[[#This Row],[OTL_A]]+Table3[[#This Row],[SOL_A]])/(2*Table3[[#This Row],[GP_A]])</f>
        <v>0.27586206896551724</v>
      </c>
      <c r="BL31" s="21">
        <f>(Table3[[#This Row],[W]]*$CG$3)+(Table3[[#This Row],[L]]*$CG$4)+(Table3[[#This Row],[GF]]*$CG$5)+(Table3[[#This Row],[GA]]*$CG$6)</f>
        <v>64.55</v>
      </c>
      <c r="BM31" s="21">
        <f>(82*(((Table3[[#This Row],[PTS%]]*$CG$3)+((1-Table3[[#This Row],[PTS%]])*$CG$4)+(Table3[[#This Row],[GF]]*$CG$5)+(Table3[[#This Row],[GA]]*$CG$6))/Table3[[#This Row],[GP]])) + (Table3[[#This Row],[W]]*$CG$3)+(Table3[[#This Row],[L]]*$CG$4)+(Table3[[#This Row],[GF]]*$CG$5)+(Table3[[#This Row],[GA]]*$CG$6)</f>
        <v>124.35864694053436</v>
      </c>
      <c r="BN31">
        <f>COUNTIFS(DataRegularSeason20242025!$D$3:$D$1315,$A31,DataRegularSeason20242025!$H$3:$H$1315, $A31)</f>
        <v>7</v>
      </c>
      <c r="BO31">
        <f>COUNTIFS(DataRegularSeason20242025!$E$3:$E$1315,$A31,DataRegularSeason20242025!$H$3:$H$1315, $A31)</f>
        <v>16</v>
      </c>
      <c r="BP31">
        <f>BN31+BO31</f>
        <v>23</v>
      </c>
      <c r="BQ31">
        <f>F31-BN31</f>
        <v>22</v>
      </c>
      <c r="BR31">
        <f>H31-BO31</f>
        <v>14</v>
      </c>
      <c r="BS31">
        <f>BQ31+BR31</f>
        <v>36</v>
      </c>
      <c r="BW31" t="str">
        <f>INDEX(Table2[AwayTeam], Table3[[#This Row],[Column2]])</f>
        <v>CAR</v>
      </c>
      <c r="BX31">
        <f>LARGE((Table2[[#This Row],[AwayTeam]]=Table3[[#This Row],[Teams]]), 1)</f>
        <v>0</v>
      </c>
      <c r="CE31" s="172"/>
      <c r="CF31" s="173"/>
      <c r="CG31" s="67">
        <v>0</v>
      </c>
      <c r="CH31" s="67">
        <v>1</v>
      </c>
      <c r="CI31" s="67">
        <v>2</v>
      </c>
      <c r="CJ31" s="67">
        <v>3</v>
      </c>
      <c r="CK31" s="67">
        <v>4</v>
      </c>
      <c r="CL31" s="67">
        <v>5</v>
      </c>
      <c r="CM31" s="67">
        <v>6</v>
      </c>
      <c r="CN31" s="67">
        <v>7</v>
      </c>
      <c r="CO31" s="67">
        <v>8</v>
      </c>
      <c r="CP31" s="67">
        <v>9</v>
      </c>
      <c r="CQ31" s="68">
        <v>10</v>
      </c>
      <c r="CS31" s="172"/>
      <c r="CT31" s="17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F32+H32</f>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AU32-AV32</f>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158</v>
      </c>
      <c r="BC32">
        <f>AV32+AZ32</f>
        <v>210</v>
      </c>
      <c r="BD32">
        <f>BB32-BC32</f>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7</v>
      </c>
      <c r="BP32">
        <f>BN32+BO32</f>
        <v>9</v>
      </c>
      <c r="BQ32">
        <f>F32-BN32</f>
        <v>28</v>
      </c>
      <c r="BR32">
        <f>H32-BO32</f>
        <v>22</v>
      </c>
      <c r="BS32">
        <f>BQ32+BR32</f>
        <v>50</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50</v>
      </c>
      <c r="E33" s="15">
        <f>Table3[[#This Row],[Watched]]/Table3[[#This Row],[GP]]</f>
        <v>0.81967213114754101</v>
      </c>
      <c r="F33">
        <f>COUNTIFS(DataRegularSeason20242025!$N$3:$N$1315,1,DataRegularSeason20242025!$D$3:$D$1315,$A33)</f>
        <v>32</v>
      </c>
      <c r="G33">
        <f>41-Table3[[#This Row],[GP_A]]</f>
        <v>9</v>
      </c>
      <c r="H33">
        <f>COUNTIFS(DataRegularSeason20242025!$E$3:$E$1315,$A33,DataRegularSeason20242025!$N$3:$N$1315,1)</f>
        <v>29</v>
      </c>
      <c r="I33">
        <f>41-Table3[[#This Row],[GP_H]]</f>
        <v>12</v>
      </c>
      <c r="J33">
        <f>F33+H33</f>
        <v>61</v>
      </c>
      <c r="K33">
        <f>82-Table3[[#This Row],[GP]]</f>
        <v>21</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46</v>
      </c>
      <c r="AD33">
        <f>Table3[[#This Row],[RW_A]]+Table3[[#This Row],[RW_H]]</f>
        <v>11</v>
      </c>
      <c r="AE33">
        <f>Table3[[#This Row],[RL_A]]+Table3[[#This Row],[RL_H]]</f>
        <v>37</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0.31967213114754101</v>
      </c>
      <c r="AN33" s="15">
        <f>Table3[[#This Row],[PTS2]]/(3*Table3[[#This Row],[GP]])</f>
        <v>0.27322404371584702</v>
      </c>
      <c r="AO33">
        <f>(2*Table3[[#This Row],[GR]])+Table3[[#This Row],[PTS]]</f>
        <v>81</v>
      </c>
      <c r="AP33">
        <f>(3*Table3[[#This Row],[GR]])+Table3[[#This Row],[PTS2]]</f>
        <v>113</v>
      </c>
      <c r="AQ33">
        <f>Table3[[#This Row],[PTS]]+(2 * Table3[[#This Row],[GR]] * Table3[[#This Row],[PTS%]])</f>
        <v>52.426229508196727</v>
      </c>
      <c r="AR33">
        <f>Table3[[#This Row],[PTS2]]+(3 * Table3[[#This Row],[GR]] * Table3[[#This Row],[PTS%2]])</f>
        <v>67.21311475409837</v>
      </c>
      <c r="AS33" s="20" t="str">
        <f>_xlfn.CONCAT(TEXT(Table3[[#This Row],[W]], "0"), "-", TEXT(Table3[[#This Row],[RL]],"0"), "-", TEXT(Table3[[#This Row],[OTL]]+Table3[[#This Row],[SOL]], "0"))</f>
        <v>15-37-9</v>
      </c>
      <c r="AT33">
        <f>COUNTIFS(DataRegularSeason20242025!$D$3:$D$1315,Table3[[#This Row],[Teams]],DataRegularSeason20242025!$K$3:$K$1315,0)</f>
        <v>1</v>
      </c>
      <c r="AU33">
        <f>SUMIF(DataRegularSeason20242025!$D$3:$D$1315,$A33, DataRegularSeason20242025!$J$3:$J$1315)</f>
        <v>78</v>
      </c>
      <c r="AV33">
        <f>SUMIF(DataRegularSeason20242025!$D$3:$D$1315,$A33, DataRegularSeason20242025!$K$3:$K$1315)</f>
        <v>124</v>
      </c>
      <c r="AW33">
        <f>AU33-AV33</f>
        <v>-46</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157</v>
      </c>
      <c r="BC33">
        <f>AV33+AZ33</f>
        <v>230</v>
      </c>
      <c r="BD33">
        <f>BB33-BC33</f>
        <v>-73</v>
      </c>
      <c r="BE33" s="17">
        <f>Table3[[#This Row],[GF]]/Table3[[#This Row],[GP]]</f>
        <v>2.5737704918032787</v>
      </c>
      <c r="BF33" s="17">
        <f>Table3[[#This Row],[GA]]/Table3[[#This Row],[GP]]</f>
        <v>3.7704918032786887</v>
      </c>
      <c r="BG33" s="17">
        <f>(Table3[[#This Row],[GF]]-Table3[[#This Row],[GA]])/Table3[[#This Row],[GP]]</f>
        <v>-1.1967213114754098</v>
      </c>
      <c r="BH33" s="49" t="str">
        <f>_xlfn.CONCAT(TEXT(Table3[[#This Row],[W_H]], "0"), "-", TEXT(Table3[[#This Row],[RL_H]],"0"), "-", TEXT(Table3[[#This Row],[OTL_H]]+Table3[[#This Row],[SOL_H]], "0"))</f>
        <v>9-18-2</v>
      </c>
      <c r="BI33" s="49" t="str">
        <f>_xlfn.CONCAT(TEXT(Table3[[#This Row],[W_A]], "0"), "-", TEXT(Table3[[#This Row],[RL_A]],"0"), "-", TEXT(Table3[[#This Row],[OTL_A]]+Table3[[#This Row],[SOL_A]], "0"))</f>
        <v>6-19-7</v>
      </c>
      <c r="BJ33" s="49">
        <f>((2*(Table3[[#This Row],[W_H]]))+Table3[[#This Row],[OTL_H]]+Table3[[#This Row],[SOL_H]])/(2*Table3[[#This Row],[GP_H]])</f>
        <v>0.34482758620689657</v>
      </c>
      <c r="BK33" s="49">
        <f>((2*(Table3[[#This Row],[W_A]]))+Table3[[#This Row],[OTL_A]]+Table3[[#This Row],[SOL_A]])/(2*Table3[[#This Row],[GP_A]])</f>
        <v>0.296875</v>
      </c>
      <c r="BL33" s="21">
        <f>(Table3[[#This Row],[W]]*$CG$3)+(Table3[[#This Row],[L]]*$CG$4)+(Table3[[#This Row],[GF]]*$CG$5)+(Table3[[#This Row],[GA]]*$CG$6)</f>
        <v>67.849999999999994</v>
      </c>
      <c r="BM33" s="21">
        <f>(82*(((Table3[[#This Row],[PTS%]]*$CG$3)+((1-Table3[[#This Row],[PTS%]])*$CG$4)+(Table3[[#This Row],[GF]]*$CG$5)+(Table3[[#This Row],[GA]]*$CG$6))/Table3[[#This Row],[GP]])) + (Table3[[#This Row],[W]]*$CG$3)+(Table3[[#This Row],[L]]*$CG$4)+(Table3[[#This Row],[GF]]*$CG$5)+(Table3[[#This Row],[GA]]*$CG$6)</f>
        <v>130.9146331631282</v>
      </c>
      <c r="BN33">
        <f>COUNTIFS(DataRegularSeason20242025!$D$3:$D$1315,$A33,DataRegularSeason20242025!$H$3:$H$1315, $A33)</f>
        <v>5</v>
      </c>
      <c r="BO33">
        <f>COUNTIFS(DataRegularSeason20242025!$E$3:$E$1315,$A33,DataRegularSeason20242025!$H$3:$H$1315, $A33)</f>
        <v>7</v>
      </c>
      <c r="BP33">
        <f>BN33+BO33</f>
        <v>12</v>
      </c>
      <c r="BQ33">
        <f>F33-BN33</f>
        <v>27</v>
      </c>
      <c r="BR33">
        <f>H33-BO33</f>
        <v>22</v>
      </c>
      <c r="BS33">
        <f>BQ33+BR33</f>
        <v>49</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-3</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7</v>
      </c>
      <c r="CV33" s="140"/>
      <c r="CW33" s="19">
        <f>COUNTIFS(Table2[[ActualHomeScore]:[ActualHomeScore]],$CT33, Table2[[ActualAwayScore]:[ActualAwayScore]],CW$31)</f>
        <v>32</v>
      </c>
      <c r="CX33" s="19">
        <f>COUNTIFS(Table2[[ActualHomeScore]:[ActualHomeScore]],$CT33, Table2[[ActualAwayScore]:[ActualAwayScore]],CX$31)</f>
        <v>27</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9</v>
      </c>
      <c r="CV34" s="19">
        <f>COUNTIFS(Table2[[ActualHomeScore]:[ActualHomeScore]],$CT34, Table2[[ActualAwayScore]:[ActualAwayScore]],CV$31)</f>
        <v>45</v>
      </c>
      <c r="CW34" s="140"/>
      <c r="CX34" s="19">
        <f>COUNTIFS(Table2[[ActualHomeScore]:[ActualHomeScore]],$CT34, Table2[[ActualAwayScore]:[ActualAwayScore]],CX$31)</f>
        <v>59</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11</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1608</v>
      </c>
      <c r="E35">
        <f t="shared" ref="E35:BU35" si="2">SUM(E$2:E$33)</f>
        <v>26.927101327407971</v>
      </c>
      <c r="F35">
        <f t="shared" si="2"/>
        <v>955</v>
      </c>
      <c r="G35">
        <f t="shared" si="2"/>
        <v>357</v>
      </c>
      <c r="H35">
        <f t="shared" si="2"/>
        <v>955</v>
      </c>
      <c r="I35">
        <f t="shared" si="2"/>
        <v>357</v>
      </c>
      <c r="J35">
        <f t="shared" si="2"/>
        <v>1910</v>
      </c>
      <c r="K35">
        <f t="shared" si="2"/>
        <v>714</v>
      </c>
      <c r="L35">
        <f t="shared" si="2"/>
        <v>434</v>
      </c>
      <c r="M35">
        <f t="shared" si="2"/>
        <v>340</v>
      </c>
      <c r="N35">
        <f t="shared" si="2"/>
        <v>71</v>
      </c>
      <c r="O35">
        <f t="shared" si="2"/>
        <v>23</v>
      </c>
      <c r="P35">
        <f t="shared" si="2"/>
        <v>521</v>
      </c>
      <c r="Q35">
        <f t="shared" si="2"/>
        <v>427</v>
      </c>
      <c r="R35">
        <f t="shared" si="2"/>
        <v>69</v>
      </c>
      <c r="S35">
        <f t="shared" si="2"/>
        <v>25</v>
      </c>
      <c r="T35">
        <f t="shared" si="2"/>
        <v>521</v>
      </c>
      <c r="U35">
        <f t="shared" si="2"/>
        <v>427</v>
      </c>
      <c r="V35">
        <f t="shared" si="2"/>
        <v>69</v>
      </c>
      <c r="W35">
        <f t="shared" si="2"/>
        <v>25</v>
      </c>
      <c r="X35">
        <f t="shared" si="2"/>
        <v>434</v>
      </c>
      <c r="Y35">
        <f t="shared" si="2"/>
        <v>340</v>
      </c>
      <c r="Z35">
        <f t="shared" si="2"/>
        <v>71</v>
      </c>
      <c r="AA35">
        <f t="shared" si="2"/>
        <v>23</v>
      </c>
      <c r="AB35">
        <f t="shared" si="2"/>
        <v>955</v>
      </c>
      <c r="AC35">
        <f t="shared" si="2"/>
        <v>955</v>
      </c>
      <c r="AD35">
        <f t="shared" si="2"/>
        <v>767</v>
      </c>
      <c r="AE35">
        <f t="shared" si="2"/>
        <v>767</v>
      </c>
      <c r="AF35">
        <f t="shared" si="2"/>
        <v>140</v>
      </c>
      <c r="AG35">
        <f t="shared" si="2"/>
        <v>140</v>
      </c>
      <c r="AH35">
        <f t="shared" si="2"/>
        <v>48</v>
      </c>
      <c r="AI35">
        <f t="shared" si="2"/>
        <v>48</v>
      </c>
      <c r="AK35">
        <f t="shared" si="2"/>
        <v>2098</v>
      </c>
      <c r="AL35">
        <f t="shared" si="2"/>
        <v>2865</v>
      </c>
      <c r="AM35">
        <f t="shared" si="2"/>
        <v>17.576119625271083</v>
      </c>
      <c r="AN35">
        <f t="shared" si="2"/>
        <v>16.003620937734471</v>
      </c>
      <c r="AO35">
        <f t="shared" si="2"/>
        <v>3526</v>
      </c>
      <c r="AP35">
        <f t="shared" si="2"/>
        <v>5007</v>
      </c>
      <c r="AQ35">
        <f t="shared" si="2"/>
        <v>2882.4836185444578</v>
      </c>
      <c r="AR35">
        <f t="shared" si="2"/>
        <v>3936.8907506826804</v>
      </c>
      <c r="AT35">
        <f t="shared" si="2"/>
        <v>44</v>
      </c>
      <c r="AU35">
        <f t="shared" si="2"/>
        <v>2770</v>
      </c>
      <c r="AV35">
        <f t="shared" si="2"/>
        <v>3002</v>
      </c>
      <c r="AW35">
        <f t="shared" si="2"/>
        <v>-232</v>
      </c>
      <c r="AX35">
        <f t="shared" si="2"/>
        <v>67</v>
      </c>
      <c r="AY35">
        <f t="shared" si="2"/>
        <v>3002</v>
      </c>
      <c r="AZ35">
        <f t="shared" si="2"/>
        <v>2770</v>
      </c>
      <c r="BA35">
        <f t="shared" si="2"/>
        <v>232</v>
      </c>
      <c r="BB35">
        <f t="shared" si="2"/>
        <v>5772</v>
      </c>
      <c r="BC35">
        <f t="shared" si="2"/>
        <v>5772</v>
      </c>
      <c r="BD35">
        <f t="shared" si="2"/>
        <v>0</v>
      </c>
      <c r="BE35">
        <f t="shared" si="2"/>
        <v>96.683627540054445</v>
      </c>
      <c r="BF35">
        <f t="shared" si="2"/>
        <v>96.664600469396646</v>
      </c>
      <c r="BG35">
        <f t="shared" si="2"/>
        <v>1.9027070657792633E-2</v>
      </c>
      <c r="BL35">
        <f t="shared" si="2"/>
        <v>2207.0000000000005</v>
      </c>
      <c r="BN35">
        <f t="shared" si="2"/>
        <v>448</v>
      </c>
      <c r="BO35">
        <f t="shared" si="2"/>
        <v>548</v>
      </c>
      <c r="BP35">
        <f t="shared" si="2"/>
        <v>996</v>
      </c>
      <c r="BQ35">
        <f t="shared" si="2"/>
        <v>507</v>
      </c>
      <c r="BR35">
        <f t="shared" si="2"/>
        <v>407</v>
      </c>
      <c r="BS35">
        <f t="shared" si="2"/>
        <v>914</v>
      </c>
      <c r="BT35">
        <f t="shared" si="2"/>
        <v>30</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67</v>
      </c>
      <c r="CX35" s="140"/>
      <c r="CY35" s="19">
        <f>COUNTIFS(Table2[[ActualHomeScore]:[ActualHomeScore]],$CT35, Table2[[ActualAwayScore]:[ActualAwayScore]],CY$31)</f>
        <v>46</v>
      </c>
      <c r="CZ35" s="19">
        <f>COUNTIFS(Table2[[ActualHomeScore]:[ActualHomeScore]],$CT35, Table2[[ActualAwayScore]:[ActualAwayScore]],CZ$31)</f>
        <v>16</v>
      </c>
      <c r="DA35" s="19">
        <f>COUNTIFS(Table2[[ActualHomeScore]:[ActualHomeScore]],$CT35, Table2[[ActualAwayScore]:[ActualAwayScore]],DA$31)</f>
        <v>14</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50.25</v>
      </c>
      <c r="E36">
        <f t="shared" ref="E36:BU36" si="3">AVERAGE(E$2:E$33)</f>
        <v>0.8414719164814991</v>
      </c>
      <c r="F36">
        <f t="shared" si="3"/>
        <v>29.84375</v>
      </c>
      <c r="G36">
        <f t="shared" si="3"/>
        <v>11.15625</v>
      </c>
      <c r="H36">
        <f t="shared" si="3"/>
        <v>29.84375</v>
      </c>
      <c r="I36">
        <f t="shared" si="3"/>
        <v>11.15625</v>
      </c>
      <c r="J36">
        <f t="shared" si="3"/>
        <v>59.6875</v>
      </c>
      <c r="K36">
        <f t="shared" si="3"/>
        <v>22.3125</v>
      </c>
      <c r="L36">
        <f t="shared" si="3"/>
        <v>13.5625</v>
      </c>
      <c r="M36">
        <f t="shared" si="3"/>
        <v>10.625</v>
      </c>
      <c r="N36">
        <f t="shared" si="3"/>
        <v>2.21875</v>
      </c>
      <c r="O36">
        <f t="shared" si="3"/>
        <v>0.71875</v>
      </c>
      <c r="P36">
        <f t="shared" si="3"/>
        <v>16.28125</v>
      </c>
      <c r="Q36">
        <f t="shared" si="3"/>
        <v>13.34375</v>
      </c>
      <c r="R36">
        <f t="shared" si="3"/>
        <v>2.15625</v>
      </c>
      <c r="S36">
        <f t="shared" si="3"/>
        <v>0.78125</v>
      </c>
      <c r="T36">
        <f t="shared" si="3"/>
        <v>16.28125</v>
      </c>
      <c r="U36">
        <f t="shared" si="3"/>
        <v>13.34375</v>
      </c>
      <c r="V36">
        <f t="shared" si="3"/>
        <v>2.15625</v>
      </c>
      <c r="W36">
        <f t="shared" si="3"/>
        <v>0.78125</v>
      </c>
      <c r="X36">
        <f t="shared" si="3"/>
        <v>13.5625</v>
      </c>
      <c r="Y36">
        <f t="shared" si="3"/>
        <v>10.625</v>
      </c>
      <c r="Z36">
        <f t="shared" si="3"/>
        <v>2.21875</v>
      </c>
      <c r="AA36">
        <f t="shared" si="3"/>
        <v>0.71875</v>
      </c>
      <c r="AB36">
        <f t="shared" si="3"/>
        <v>29.84375</v>
      </c>
      <c r="AC36">
        <f t="shared" si="3"/>
        <v>29.84375</v>
      </c>
      <c r="AD36">
        <f t="shared" si="3"/>
        <v>23.96875</v>
      </c>
      <c r="AE36">
        <f t="shared" si="3"/>
        <v>23.96875</v>
      </c>
      <c r="AF36">
        <f t="shared" si="3"/>
        <v>4.375</v>
      </c>
      <c r="AG36">
        <f t="shared" si="3"/>
        <v>4.375</v>
      </c>
      <c r="AH36">
        <f t="shared" si="3"/>
        <v>1.5</v>
      </c>
      <c r="AI36">
        <f t="shared" si="3"/>
        <v>1.5</v>
      </c>
      <c r="AK36">
        <f t="shared" si="3"/>
        <v>65.5625</v>
      </c>
      <c r="AL36">
        <f t="shared" si="3"/>
        <v>89.53125</v>
      </c>
      <c r="AM36">
        <f t="shared" si="3"/>
        <v>0.54925373828972135</v>
      </c>
      <c r="AN36">
        <f t="shared" si="3"/>
        <v>0.50011315430420222</v>
      </c>
      <c r="AO36">
        <f t="shared" si="3"/>
        <v>110.1875</v>
      </c>
      <c r="AP36">
        <f t="shared" si="3"/>
        <v>156.46875</v>
      </c>
      <c r="AQ36">
        <f t="shared" si="3"/>
        <v>90.077613079514308</v>
      </c>
      <c r="AR36">
        <f t="shared" si="3"/>
        <v>123.02783595883376</v>
      </c>
      <c r="AT36">
        <f t="shared" si="3"/>
        <v>1.375</v>
      </c>
      <c r="AU36">
        <f t="shared" si="3"/>
        <v>86.5625</v>
      </c>
      <c r="AV36">
        <f t="shared" si="3"/>
        <v>93.8125</v>
      </c>
      <c r="AW36">
        <f t="shared" si="3"/>
        <v>-7.25</v>
      </c>
      <c r="AX36">
        <f t="shared" si="3"/>
        <v>2.09375</v>
      </c>
      <c r="AY36">
        <f t="shared" si="3"/>
        <v>93.8125</v>
      </c>
      <c r="AZ36">
        <f t="shared" si="3"/>
        <v>86.5625</v>
      </c>
      <c r="BA36">
        <f t="shared" si="3"/>
        <v>7.25</v>
      </c>
      <c r="BB36">
        <f t="shared" si="3"/>
        <v>180.375</v>
      </c>
      <c r="BC36">
        <f t="shared" si="3"/>
        <v>180.375</v>
      </c>
      <c r="BD36">
        <f t="shared" si="3"/>
        <v>0</v>
      </c>
      <c r="BE36">
        <f t="shared" si="3"/>
        <v>3.0213633606267014</v>
      </c>
      <c r="BF36">
        <f t="shared" si="3"/>
        <v>3.0207687646686452</v>
      </c>
      <c r="BG36">
        <f t="shared" si="3"/>
        <v>5.9459595805601978E-4</v>
      </c>
      <c r="BL36">
        <f t="shared" si="3"/>
        <v>68.968750000000014</v>
      </c>
      <c r="BN36">
        <f t="shared" si="3"/>
        <v>14</v>
      </c>
      <c r="BO36">
        <f t="shared" si="3"/>
        <v>17.125</v>
      </c>
      <c r="BP36">
        <f t="shared" si="3"/>
        <v>31.125</v>
      </c>
      <c r="BQ36">
        <f t="shared" si="3"/>
        <v>15.84375</v>
      </c>
      <c r="BR36">
        <f t="shared" si="3"/>
        <v>12.71875</v>
      </c>
      <c r="BS36">
        <f t="shared" si="3"/>
        <v>28.5625</v>
      </c>
      <c r="BT36">
        <f t="shared" si="3"/>
        <v>30</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11</v>
      </c>
      <c r="CV36" s="19">
        <f>COUNTIFS(Table2[[ActualHomeScore]:[ActualHomeScore]],$CT36, Table2[[ActualAwayScore]:[ActualAwayScore]],CV$31)</f>
        <v>35</v>
      </c>
      <c r="CW36" s="19">
        <f>COUNTIFS(Table2[[ActualHomeScore]:[ActualHomeScore]],$CT36, Table2[[ActualAwayScore]:[ActualAwayScore]],CW$31)</f>
        <v>33</v>
      </c>
      <c r="CX36" s="19">
        <f>COUNTIFS(Table2[[ActualHomeScore]:[ActualHomeScore]],$CT36, Table2[[ActualAwayScore]:[ActualAwayScore]],CX$31)</f>
        <v>45</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8.5366855394819368</v>
      </c>
      <c r="E37">
        <f t="shared" ref="E37:BU37" si="4">_xlfn.STDEV.P(E$2:E$33)</f>
        <v>0.13996347759330893</v>
      </c>
      <c r="F37">
        <f t="shared" si="4"/>
        <v>1.3488276159317023</v>
      </c>
      <c r="G37">
        <f t="shared" si="4"/>
        <v>1.3488276159317023</v>
      </c>
      <c r="H37">
        <f t="shared" si="4"/>
        <v>1.5634372189186236</v>
      </c>
      <c r="I37">
        <f t="shared" si="4"/>
        <v>1.5634372189186236</v>
      </c>
      <c r="J37">
        <f t="shared" si="4"/>
        <v>1.0439558180306292</v>
      </c>
      <c r="K37">
        <f t="shared" si="4"/>
        <v>1.0439558180306292</v>
      </c>
      <c r="L37">
        <f t="shared" si="4"/>
        <v>3.8481935697155358</v>
      </c>
      <c r="M37">
        <f t="shared" si="4"/>
        <v>3.6293077852394937</v>
      </c>
      <c r="N37">
        <f t="shared" si="4"/>
        <v>1.3632308819492023</v>
      </c>
      <c r="O37">
        <f t="shared" si="4"/>
        <v>0.87444178622707636</v>
      </c>
      <c r="P37">
        <f t="shared" si="4"/>
        <v>3.9388638510997049</v>
      </c>
      <c r="Q37">
        <f t="shared" si="4"/>
        <v>3.0167177424313332</v>
      </c>
      <c r="R37">
        <f t="shared" si="4"/>
        <v>1.3718002542279981</v>
      </c>
      <c r="S37">
        <f t="shared" si="4"/>
        <v>0.99166447828890192</v>
      </c>
      <c r="T37">
        <f t="shared" si="4"/>
        <v>3.5110039073604007</v>
      </c>
      <c r="U37">
        <f t="shared" si="4"/>
        <v>3.5497304034954542</v>
      </c>
      <c r="V37">
        <f t="shared" si="4"/>
        <v>1.3718002542279981</v>
      </c>
      <c r="W37">
        <f t="shared" si="4"/>
        <v>0.89213140147626235</v>
      </c>
      <c r="X37">
        <f t="shared" si="4"/>
        <v>3.4725485957722753</v>
      </c>
      <c r="Y37">
        <f t="shared" si="4"/>
        <v>3.2379584617471546</v>
      </c>
      <c r="Z37">
        <f t="shared" si="4"/>
        <v>1.340111352649473</v>
      </c>
      <c r="AA37">
        <f t="shared" si="4"/>
        <v>0.79978024325435793</v>
      </c>
      <c r="AB37">
        <f t="shared" si="4"/>
        <v>6.0369144384776563</v>
      </c>
      <c r="AC37">
        <f t="shared" si="4"/>
        <v>6.0575849921812903</v>
      </c>
      <c r="AD37">
        <f t="shared" si="4"/>
        <v>5.9816614278559763</v>
      </c>
      <c r="AE37">
        <f t="shared" si="4"/>
        <v>5.0403644151489679</v>
      </c>
      <c r="AF37">
        <f t="shared" si="4"/>
        <v>1.9162137145944864</v>
      </c>
      <c r="AG37">
        <f t="shared" si="4"/>
        <v>2.0116846174288852</v>
      </c>
      <c r="AH37">
        <f t="shared" si="4"/>
        <v>1.1989578808281798</v>
      </c>
      <c r="AI37">
        <f t="shared" si="4"/>
        <v>1.14564392373896</v>
      </c>
      <c r="AK37">
        <f t="shared" si="4"/>
        <v>10.879848057303006</v>
      </c>
      <c r="AL37">
        <f t="shared" si="4"/>
        <v>16.526464335649656</v>
      </c>
      <c r="AM37">
        <f t="shared" si="4"/>
        <v>9.0544819214938982E-2</v>
      </c>
      <c r="AN37">
        <f t="shared" si="4"/>
        <v>9.2110197893300119E-2</v>
      </c>
      <c r="AO37">
        <f t="shared" si="4"/>
        <v>10.915692545596912</v>
      </c>
      <c r="AP37">
        <f t="shared" si="4"/>
        <v>16.751836419852602</v>
      </c>
      <c r="AQ37">
        <f t="shared" si="4"/>
        <v>14.849350351249841</v>
      </c>
      <c r="AR37">
        <f t="shared" si="4"/>
        <v>22.659108681751704</v>
      </c>
      <c r="AT37">
        <f t="shared" si="4"/>
        <v>1.3169567191065923</v>
      </c>
      <c r="AU37">
        <f t="shared" si="4"/>
        <v>11.390614283259705</v>
      </c>
      <c r="AV37">
        <f t="shared" si="4"/>
        <v>11.018273174595009</v>
      </c>
      <c r="AW37">
        <f t="shared" si="4"/>
        <v>19.147454138866607</v>
      </c>
      <c r="AX37">
        <f t="shared" si="4"/>
        <v>1.5882257199466328</v>
      </c>
      <c r="AY37">
        <f t="shared" si="4"/>
        <v>12.410775308174747</v>
      </c>
      <c r="AZ37">
        <f t="shared" si="4"/>
        <v>12.946856520020603</v>
      </c>
      <c r="BA37">
        <f t="shared" si="4"/>
        <v>20.037464909513879</v>
      </c>
      <c r="BB37">
        <f t="shared" si="4"/>
        <v>18.299163232235511</v>
      </c>
      <c r="BC37">
        <f t="shared" si="4"/>
        <v>20.686272622200452</v>
      </c>
      <c r="BD37">
        <f t="shared" si="4"/>
        <v>33.249060137092599</v>
      </c>
      <c r="BE37">
        <f t="shared" si="4"/>
        <v>0.29595115745617062</v>
      </c>
      <c r="BF37">
        <f t="shared" si="4"/>
        <v>0.32889614923945376</v>
      </c>
      <c r="BG37">
        <f t="shared" si="4"/>
        <v>0.55358023725814254</v>
      </c>
      <c r="BL37">
        <f t="shared" si="4"/>
        <v>3.2183494896452745</v>
      </c>
      <c r="BN37">
        <f t="shared" si="4"/>
        <v>6.800735254367722</v>
      </c>
      <c r="BO37">
        <f t="shared" si="4"/>
        <v>6.2886306140526331</v>
      </c>
      <c r="BP37">
        <f t="shared" si="4"/>
        <v>12.700270666407075</v>
      </c>
      <c r="BQ37">
        <f t="shared" si="4"/>
        <v>7.0361094318877671</v>
      </c>
      <c r="BR37">
        <f t="shared" si="4"/>
        <v>6.0993563953502505</v>
      </c>
      <c r="BS37">
        <f t="shared" si="4"/>
        <v>12.673637747308387</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16</v>
      </c>
      <c r="CW37" s="19">
        <f>COUNTIFS(Table2[[ActualHomeScore]:[ActualHomeScore]],$CT37, Table2[[ActualAwayScore]:[ActualAwayScore]],CW$31)</f>
        <v>34</v>
      </c>
      <c r="CX37" s="19">
        <f>COUNTIFS(Table2[[ActualHomeScore]:[ActualHomeScore]],$CT37, Table2[[ActualAwayScore]:[ActualAwayScore]],CX$31)</f>
        <v>23</v>
      </c>
      <c r="CY37" s="19">
        <f>COUNTIFS(Table2[[ActualHomeScore]:[ActualHomeScore]],$CT37, Table2[[ActualAwayScore]:[ActualAwayScore]],CY$31)</f>
        <v>18</v>
      </c>
      <c r="CZ37" s="140"/>
      <c r="DA37" s="19">
        <f>COUNTIFS(Table2[[ActualHomeScore]:[ActualHomeScore]],$CT37, Table2[[ActualAwayScore]:[ActualAwayScore]],DA$31)</f>
        <v>7</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1</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22</v>
      </c>
      <c r="CX38" s="19">
        <f>COUNTIFS(Table2[[ActualHomeScore]:[ActualHomeScore]],$CT38, Table2[[ActualAwayScore]:[ActualAwayScore]],CX$31)</f>
        <v>21</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1.9499999999999997</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4.55</v>
      </c>
      <c r="CV47" s="140"/>
      <c r="CW47" s="144">
        <f t="shared" si="8"/>
        <v>20.799999999999997</v>
      </c>
      <c r="CX47" s="144">
        <f t="shared" si="8"/>
        <v>20.25</v>
      </c>
      <c r="CY47" s="144">
        <f t="shared" si="8"/>
        <v>28.900000000000002</v>
      </c>
      <c r="CZ47" s="144">
        <f t="shared" si="8"/>
        <v>16.149999999999999</v>
      </c>
      <c r="DA47" s="144">
        <f t="shared" si="8"/>
        <v>4.2</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2.7</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7.2</v>
      </c>
      <c r="CV48" s="144">
        <f t="shared" si="10"/>
        <v>40.5</v>
      </c>
      <c r="CW48" s="140"/>
      <c r="CX48" s="144">
        <f t="shared" si="10"/>
        <v>53.100000000000009</v>
      </c>
      <c r="CY48" s="144">
        <f t="shared" si="10"/>
        <v>40</v>
      </c>
      <c r="CZ48" s="144">
        <f t="shared" si="10"/>
        <v>36.300000000000004</v>
      </c>
      <c r="DA48" s="144">
        <f t="shared" si="10"/>
        <v>13.200000000000003</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28.5</v>
      </c>
      <c r="CV49" s="144">
        <f t="shared" si="12"/>
        <v>41.999999999999993</v>
      </c>
      <c r="CW49" s="144">
        <f t="shared" si="12"/>
        <v>77.05</v>
      </c>
      <c r="CX49" s="140"/>
      <c r="CY49" s="144">
        <f t="shared" si="12"/>
        <v>52.9</v>
      </c>
      <c r="CZ49" s="144">
        <f t="shared" si="12"/>
        <v>20</v>
      </c>
      <c r="DA49" s="144">
        <f t="shared" si="12"/>
        <v>18.900000000000002</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12.100000000000001</v>
      </c>
      <c r="CV50" s="144">
        <f t="shared" si="14"/>
        <v>42</v>
      </c>
      <c r="CW50" s="144">
        <f t="shared" si="14"/>
        <v>42.9</v>
      </c>
      <c r="CX50" s="144">
        <f t="shared" si="14"/>
        <v>62.999999999999993</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21.6</v>
      </c>
      <c r="CW51" s="144">
        <f t="shared" si="16"/>
        <v>49.3</v>
      </c>
      <c r="CX51" s="144">
        <f t="shared" si="16"/>
        <v>35.65</v>
      </c>
      <c r="CY51" s="144">
        <f t="shared" si="16"/>
        <v>29.7</v>
      </c>
      <c r="CZ51" s="140"/>
      <c r="DA51" s="144">
        <f t="shared" si="16"/>
        <v>11.55</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1.7</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35.199999999999996</v>
      </c>
      <c r="CX52" s="144">
        <f t="shared" si="18"/>
        <v>35.699999999999996</v>
      </c>
      <c r="CY52" s="144">
        <f t="shared" si="18"/>
        <v>30.599999999999998</v>
      </c>
      <c r="CZ52" s="144">
        <f t="shared" si="18"/>
        <v>7.6</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7.4</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63.79999999999999</v>
      </c>
      <c r="DF57" s="97">
        <f>SUM(CU46:DE56)</f>
        <v>1118.5000000000002</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59</v>
      </c>
      <c r="E2" s="130"/>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77</v>
      </c>
      <c r="E13" s="71">
        <f>INDEX(Table3[PTS], MATCH(Table6[[#This Row],[Teams]], Table3[Teams],0))</f>
        <v>77</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63</v>
      </c>
      <c r="E16" s="71">
        <f>INDEX(Table3[PTS], MATCH(Table6[[#This Row],[Teams]], Table3[Teams],0))</f>
        <v>63</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64</v>
      </c>
      <c r="E21" s="71">
        <f>INDEX(Table3[PTS], MATCH(Table6[[#This Row],[Teams]], Table3[Teams],0))</f>
        <v>64</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74</v>
      </c>
      <c r="E27" s="71">
        <f>INDEX(Table3[PTS], MATCH(Table6[[#This Row],[Teams]], Table3[Teams],0))</f>
        <v>74</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84</v>
      </c>
      <c r="E33" s="129">
        <f>INDEX(Table3[PTS], MATCH(Table6[[#This Row],[Teams]], Table3[Teams],0))</f>
        <v>84</v>
      </c>
      <c r="S33">
        <v>4</v>
      </c>
      <c r="T33" t="str" cm="1">
        <f t="array" ref="T33">INDEX(Table6[Teams], SMALL(IF(Table6[D]="A", ROW(Table6[Teams])-ROW(Table6[#Headers])), Table71214[[#This Row],[ATL]]))</f>
        <v>FLA</v>
      </c>
      <c r="U33">
        <f>INDEX(Table6[PTS], MATCH($T33, Table6[Teams], 0))</f>
        <v>77</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74</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64</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63</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57" t="s">
        <v>46</v>
      </c>
      <c r="D1" s="158"/>
      <c r="E1" s="157" t="s">
        <v>23</v>
      </c>
      <c r="F1" s="158"/>
      <c r="G1" s="157" t="s">
        <v>22</v>
      </c>
      <c r="H1" s="158"/>
      <c r="I1" s="157" t="s">
        <v>27</v>
      </c>
      <c r="J1" s="158"/>
      <c r="K1" s="157" t="s">
        <v>11</v>
      </c>
      <c r="L1" s="158"/>
      <c r="M1" s="157" t="s">
        <v>37</v>
      </c>
      <c r="N1" s="158"/>
      <c r="O1" s="157" t="s">
        <v>24</v>
      </c>
      <c r="P1" s="158"/>
      <c r="Q1" s="157" t="s">
        <v>26</v>
      </c>
      <c r="R1" s="165"/>
      <c r="S1" s="157" t="s">
        <v>16</v>
      </c>
      <c r="T1" s="158"/>
      <c r="U1" s="157" t="s">
        <v>25</v>
      </c>
      <c r="V1" s="158"/>
      <c r="W1" s="157" t="s">
        <v>33</v>
      </c>
      <c r="X1" s="158"/>
      <c r="Y1" s="157" t="s">
        <v>36</v>
      </c>
      <c r="Z1" s="158"/>
      <c r="AA1" s="157" t="s">
        <v>34</v>
      </c>
      <c r="AB1" s="158"/>
      <c r="AC1" s="157" t="s">
        <v>12</v>
      </c>
      <c r="AD1" s="158"/>
      <c r="AE1" s="157" t="s">
        <v>14</v>
      </c>
      <c r="AF1" s="158"/>
      <c r="AG1" s="166" t="s">
        <v>21</v>
      </c>
      <c r="AH1" s="165"/>
      <c r="AI1" s="157" t="s">
        <v>43</v>
      </c>
      <c r="AJ1" s="158"/>
      <c r="AK1" s="157" t="s">
        <v>35</v>
      </c>
      <c r="AL1" s="158"/>
      <c r="AM1" s="157" t="s">
        <v>31</v>
      </c>
      <c r="AN1" s="158"/>
      <c r="AO1" s="157" t="s">
        <v>32</v>
      </c>
      <c r="AP1" s="158"/>
      <c r="AQ1" s="157" t="s">
        <v>19</v>
      </c>
      <c r="AR1" s="158"/>
      <c r="AS1" s="157" t="s">
        <v>44</v>
      </c>
      <c r="AT1" s="158"/>
      <c r="AU1" s="157" t="s">
        <v>20</v>
      </c>
      <c r="AV1" s="158"/>
      <c r="AW1" s="157" t="s">
        <v>45</v>
      </c>
      <c r="AX1" s="165"/>
      <c r="AY1" s="157" t="s">
        <v>15</v>
      </c>
      <c r="AZ1" s="158"/>
      <c r="BA1" s="157" t="s">
        <v>28</v>
      </c>
      <c r="BB1" s="158"/>
      <c r="BC1" s="157" t="s">
        <v>30</v>
      </c>
      <c r="BD1" s="158"/>
      <c r="BE1" s="157" t="s">
        <v>13</v>
      </c>
      <c r="BF1" s="157"/>
      <c r="BG1" s="161" t="s">
        <v>18</v>
      </c>
      <c r="BH1" s="162"/>
      <c r="BI1" s="157" t="s">
        <v>29</v>
      </c>
      <c r="BJ1" s="158"/>
      <c r="BK1" s="157" t="s">
        <v>42</v>
      </c>
      <c r="BL1" s="158"/>
      <c r="BM1" s="157" t="s">
        <v>17</v>
      </c>
      <c r="BN1" s="158"/>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3">
        <f>BO3+BO4</f>
        <v>58</v>
      </c>
      <c r="BQ3" s="159">
        <f>82-BP3</f>
        <v>24</v>
      </c>
    </row>
    <row r="4" spans="1:69" ht="12" customHeight="1" x14ac:dyDescent="0.25">
      <c r="A4" s="16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63"/>
      <c r="BQ4" s="159"/>
    </row>
    <row r="5" spans="1:69" ht="12"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28</v>
      </c>
      <c r="BP5" s="163">
        <f t="shared" ref="BP5" si="1">BO5+BO6</f>
        <v>59</v>
      </c>
      <c r="BQ5" s="159">
        <f t="shared" ref="BQ5" si="2">82-BP5</f>
        <v>23</v>
      </c>
    </row>
    <row r="6" spans="1:69" ht="12" customHeight="1" x14ac:dyDescent="0.25">
      <c r="A6" s="16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3"/>
      <c r="BQ6" s="159"/>
    </row>
    <row r="7" spans="1:69" ht="12"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60</v>
      </c>
      <c r="BQ7" s="159">
        <f t="shared" ref="BQ7" si="4">82-BP7</f>
        <v>22</v>
      </c>
    </row>
    <row r="8" spans="1:69" ht="12" customHeight="1" x14ac:dyDescent="0.25">
      <c r="A8" s="16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63"/>
      <c r="BQ8" s="159"/>
    </row>
    <row r="9" spans="1:69" ht="12"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63">
        <f t="shared" ref="BP9" si="5">BO9+BO10</f>
        <v>57</v>
      </c>
      <c r="BQ9" s="159">
        <f t="shared" ref="BQ9" si="6">82-BP9</f>
        <v>25</v>
      </c>
    </row>
    <row r="10" spans="1:69" ht="12" customHeight="1" x14ac:dyDescent="0.25">
      <c r="A10" s="16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63"/>
      <c r="BQ10" s="159"/>
    </row>
    <row r="11" spans="1:69" ht="12"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3">
        <f t="shared" ref="BP11" si="7">BO11+BO12</f>
        <v>60</v>
      </c>
      <c r="BQ11" s="159">
        <f t="shared" ref="BQ11" si="8">82-BP11</f>
        <v>22</v>
      </c>
    </row>
    <row r="12" spans="1:69" ht="12" customHeight="1" x14ac:dyDescent="0.25">
      <c r="A12" s="16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63"/>
      <c r="BQ12" s="159"/>
    </row>
    <row r="13" spans="1:69" ht="12"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32</v>
      </c>
      <c r="BP13" s="163">
        <f t="shared" ref="BP13" si="9">BO13+BO14</f>
        <v>61</v>
      </c>
      <c r="BQ13" s="159">
        <f t="shared" ref="BQ13" si="10">82-BP13</f>
        <v>21</v>
      </c>
    </row>
    <row r="14" spans="1:69" ht="12" customHeight="1" x14ac:dyDescent="0.25">
      <c r="A14" s="16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59"/>
    </row>
    <row r="15" spans="1:69" ht="12"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63">
        <f t="shared" ref="BP15" si="11">BO15+BO16</f>
        <v>59</v>
      </c>
      <c r="BQ15" s="159">
        <f t="shared" ref="BQ15" si="12">82-BP15</f>
        <v>23</v>
      </c>
    </row>
    <row r="16" spans="1:69" ht="12" customHeight="1" x14ac:dyDescent="0.25">
      <c r="A16" s="16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63"/>
      <c r="BQ16" s="159"/>
    </row>
    <row r="17" spans="1:69" ht="12"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59</v>
      </c>
      <c r="BQ17" s="159">
        <f t="shared" ref="BQ17" si="14">82-BP17</f>
        <v>23</v>
      </c>
    </row>
    <row r="18" spans="1:69" ht="12" customHeight="1" thickBot="1" x14ac:dyDescent="0.3">
      <c r="A18" s="15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63"/>
      <c r="BQ18" s="159"/>
    </row>
    <row r="19" spans="1:69" ht="12" customHeight="1" thickTop="1" x14ac:dyDescent="0.25">
      <c r="A19" s="16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63">
        <f t="shared" ref="BP19" si="15">BO19+BO20</f>
        <v>59</v>
      </c>
      <c r="BQ19" s="159">
        <f t="shared" ref="BQ19" si="16">82-BP19</f>
        <v>23</v>
      </c>
    </row>
    <row r="20" spans="1:69" ht="12" customHeight="1" x14ac:dyDescent="0.25">
      <c r="A20" s="16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63"/>
      <c r="BQ20" s="159"/>
    </row>
    <row r="21" spans="1:69" ht="12"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61</v>
      </c>
      <c r="BQ21" s="159">
        <f t="shared" ref="BQ21" si="18">82-BP21</f>
        <v>21</v>
      </c>
    </row>
    <row r="22" spans="1:69" ht="12" customHeight="1" x14ac:dyDescent="0.25">
      <c r="A22" s="16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63"/>
      <c r="BQ22" s="159"/>
    </row>
    <row r="23" spans="1:69" ht="12"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59</v>
      </c>
      <c r="BQ23" s="159">
        <f t="shared" ref="BQ23" si="20">82-BP23</f>
        <v>23</v>
      </c>
    </row>
    <row r="24" spans="1:69" ht="12" customHeight="1" x14ac:dyDescent="0.25">
      <c r="A24" s="16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63"/>
      <c r="BQ24" s="159"/>
    </row>
    <row r="25" spans="1:69" ht="12"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63">
        <f t="shared" ref="BP25" si="21">BO25+BO26</f>
        <v>60</v>
      </c>
      <c r="BQ25" s="159">
        <f t="shared" ref="BQ25" si="22">82-BP25</f>
        <v>22</v>
      </c>
    </row>
    <row r="26" spans="1:69" ht="12" customHeight="1" x14ac:dyDescent="0.25">
      <c r="A26" s="16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63"/>
      <c r="BQ26" s="159"/>
    </row>
    <row r="27" spans="1:69" ht="12"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29</v>
      </c>
      <c r="BP27" s="163">
        <f t="shared" ref="BP27" si="23">BO27+BO28</f>
        <v>59</v>
      </c>
      <c r="BQ27" s="159">
        <f t="shared" ref="BQ27" si="24">82-BP27</f>
        <v>23</v>
      </c>
    </row>
    <row r="28" spans="1:69" ht="12" customHeight="1" x14ac:dyDescent="0.25">
      <c r="A28" s="16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3"/>
      <c r="BQ28" s="159"/>
    </row>
    <row r="29" spans="1:69" ht="12"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63">
        <f t="shared" ref="BP29" si="25">BO29+BO30</f>
        <v>60</v>
      </c>
      <c r="BQ29" s="159">
        <f t="shared" ref="BQ29" si="26">82-BP29</f>
        <v>22</v>
      </c>
    </row>
    <row r="30" spans="1:69" ht="12" customHeight="1" x14ac:dyDescent="0.25">
      <c r="A30" s="16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63"/>
      <c r="BQ30" s="159"/>
    </row>
    <row r="31" spans="1:69" ht="12"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63">
        <f t="shared" ref="BP31" si="27">BO31+BO32</f>
        <v>60</v>
      </c>
      <c r="BQ31" s="159">
        <f t="shared" ref="BQ31" si="28">82-BP31</f>
        <v>22</v>
      </c>
    </row>
    <row r="32" spans="1:69" ht="12" customHeight="1" x14ac:dyDescent="0.25">
      <c r="A32" s="16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63"/>
      <c r="BQ32" s="159"/>
    </row>
    <row r="33" spans="1:69" ht="12"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63">
        <f t="shared" ref="BP33" si="29">BO33+BO34</f>
        <v>61</v>
      </c>
      <c r="BQ33" s="159">
        <f t="shared" ref="BQ33" si="30">82-BP33</f>
        <v>21</v>
      </c>
    </row>
    <row r="34" spans="1:69" ht="12" customHeight="1" thickBot="1" x14ac:dyDescent="0.3">
      <c r="A34" s="15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59"/>
    </row>
    <row r="35" spans="1:69" ht="12"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63">
        <f t="shared" ref="BP35" si="31">BO35+BO36</f>
        <v>60</v>
      </c>
      <c r="BQ35" s="159">
        <f t="shared" ref="BQ35" si="32">82-BP35</f>
        <v>22</v>
      </c>
    </row>
    <row r="36" spans="1:69" ht="12" customHeight="1" x14ac:dyDescent="0.25">
      <c r="A36" s="16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30</v>
      </c>
      <c r="BP36" s="163"/>
      <c r="BQ36" s="159"/>
    </row>
    <row r="37" spans="1:69" ht="12"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63">
        <f t="shared" ref="BP37" si="33">BO37+BO38</f>
        <v>60</v>
      </c>
      <c r="BQ37" s="159">
        <f t="shared" ref="BQ37" si="34">82-BP37</f>
        <v>22</v>
      </c>
    </row>
    <row r="38" spans="1:69" ht="12" customHeight="1" x14ac:dyDescent="0.25">
      <c r="A38" s="16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59"/>
    </row>
    <row r="39" spans="1:69" ht="12"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63">
        <f t="shared" ref="BP39" si="35">BO39+BO40</f>
        <v>60</v>
      </c>
      <c r="BQ39" s="159">
        <f t="shared" ref="BQ39" si="36">82-BP39</f>
        <v>22</v>
      </c>
    </row>
    <row r="40" spans="1:69" ht="12" customHeight="1" x14ac:dyDescent="0.25">
      <c r="A40" s="16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3"/>
      <c r="BQ40" s="159"/>
    </row>
    <row r="41" spans="1:69" ht="12"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63">
        <f t="shared" ref="BP41" si="37">BO41+BO42</f>
        <v>59</v>
      </c>
      <c r="BQ41" s="159">
        <f t="shared" ref="BQ41" si="38">82-BP41</f>
        <v>23</v>
      </c>
    </row>
    <row r="42" spans="1:69" ht="12" customHeight="1" x14ac:dyDescent="0.25">
      <c r="A42" s="16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63"/>
      <c r="BQ42" s="159"/>
    </row>
    <row r="43" spans="1:69" ht="12"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3">
        <f t="shared" ref="BP43" si="39">BO43+BO44</f>
        <v>59</v>
      </c>
      <c r="BQ43" s="159">
        <f t="shared" ref="BQ43" si="40">82-BP43</f>
        <v>23</v>
      </c>
    </row>
    <row r="44" spans="1:69" ht="12" customHeight="1" x14ac:dyDescent="0.25">
      <c r="A44" s="16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63"/>
      <c r="BQ44" s="159"/>
    </row>
    <row r="45" spans="1:69" ht="12"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61</v>
      </c>
      <c r="BQ45" s="159">
        <f t="shared" ref="BQ45" si="42">82-BP45</f>
        <v>21</v>
      </c>
    </row>
    <row r="46" spans="1:69" ht="12" customHeight="1" x14ac:dyDescent="0.25">
      <c r="A46" s="16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63"/>
      <c r="BQ46" s="159"/>
    </row>
    <row r="47" spans="1:69" ht="12"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63">
        <f t="shared" ref="BP47" si="43">BO47+BO48</f>
        <v>62</v>
      </c>
      <c r="BQ47" s="159">
        <f t="shared" ref="BQ47" si="44">82-BP47</f>
        <v>20</v>
      </c>
    </row>
    <row r="48" spans="1:69" ht="12" customHeight="1" x14ac:dyDescent="0.25">
      <c r="A48" s="16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31</v>
      </c>
      <c r="BP48" s="163"/>
      <c r="BQ48" s="159"/>
    </row>
    <row r="49" spans="1:69" ht="12"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63">
        <f t="shared" ref="BP49" si="45">BO49+BO50</f>
        <v>60</v>
      </c>
      <c r="BQ49" s="159">
        <f t="shared" ref="BQ49" si="46">82-BP49</f>
        <v>22</v>
      </c>
    </row>
    <row r="50" spans="1:69" ht="12" customHeight="1" thickBot="1" x14ac:dyDescent="0.3">
      <c r="A50" s="16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31</v>
      </c>
      <c r="BP50" s="163"/>
      <c r="BQ50" s="159"/>
    </row>
    <row r="51" spans="1:69" ht="12" customHeight="1" thickTop="1" x14ac:dyDescent="0.25">
      <c r="A51" s="15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28</v>
      </c>
      <c r="BP51" s="163">
        <f t="shared" ref="BP51" si="47">BO51+BO52</f>
        <v>61</v>
      </c>
      <c r="BQ51" s="159">
        <f t="shared" ref="BQ51" si="48">82-BP51</f>
        <v>21</v>
      </c>
    </row>
    <row r="52" spans="1:69" ht="12" customHeight="1" x14ac:dyDescent="0.25">
      <c r="A52" s="16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63"/>
      <c r="BQ52" s="159"/>
    </row>
    <row r="53" spans="1:69" ht="12"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63">
        <f t="shared" ref="BP53" si="49">BO53+BO54</f>
        <v>58</v>
      </c>
      <c r="BQ53" s="159">
        <f t="shared" ref="BQ53" si="50">82-BP53</f>
        <v>24</v>
      </c>
    </row>
    <row r="54" spans="1:69" ht="12" customHeight="1" x14ac:dyDescent="0.25">
      <c r="A54" s="16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31</v>
      </c>
      <c r="BP54" s="163"/>
      <c r="BQ54" s="159"/>
    </row>
    <row r="55" spans="1:69" ht="12"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3">
        <f t="shared" ref="BP55" si="51">BO55+BO56</f>
        <v>60</v>
      </c>
      <c r="BQ55" s="159">
        <f t="shared" ref="BQ55" si="52">82-BP55</f>
        <v>22</v>
      </c>
    </row>
    <row r="56" spans="1:69" ht="12" customHeight="1" x14ac:dyDescent="0.25">
      <c r="A56" s="16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63"/>
      <c r="BQ56" s="159"/>
    </row>
    <row r="57" spans="1:69" ht="12"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61</v>
      </c>
      <c r="BQ57" s="159">
        <f t="shared" ref="BQ57" si="54">82-BP57</f>
        <v>21</v>
      </c>
    </row>
    <row r="58" spans="1:69" ht="12" customHeight="1" x14ac:dyDescent="0.25">
      <c r="A58" s="16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31</v>
      </c>
      <c r="BP58" s="163"/>
      <c r="BQ58" s="159"/>
    </row>
    <row r="59" spans="1:69" ht="12"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3">
        <f t="shared" ref="BP59" si="55">BO59+BO60</f>
        <v>60</v>
      </c>
      <c r="BQ59" s="159">
        <f t="shared" ref="BQ59" si="56">82-BP59</f>
        <v>22</v>
      </c>
    </row>
    <row r="60" spans="1:69" ht="12" customHeight="1" x14ac:dyDescent="0.25">
      <c r="A60" s="16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63"/>
      <c r="BQ60" s="159"/>
    </row>
    <row r="61" spans="1:69" ht="12"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63">
        <f t="shared" ref="BP61" si="57">BO61+BO62</f>
        <v>59</v>
      </c>
      <c r="BQ61" s="159">
        <f t="shared" ref="BQ61" si="58">82-BP61</f>
        <v>23</v>
      </c>
    </row>
    <row r="62" spans="1:69" ht="12" customHeight="1" x14ac:dyDescent="0.25">
      <c r="A62" s="16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3"/>
      <c r="BQ62" s="159"/>
    </row>
    <row r="63" spans="1:69" ht="12"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29</v>
      </c>
      <c r="BP63" s="163">
        <f t="shared" ref="BP63" si="59">BO63+BO64</f>
        <v>59</v>
      </c>
      <c r="BQ63" s="159">
        <f t="shared" ref="BQ63" si="60">82-BP63</f>
        <v>23</v>
      </c>
    </row>
    <row r="64" spans="1:69" ht="12" customHeight="1" x14ac:dyDescent="0.25">
      <c r="A64" s="16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63"/>
      <c r="BQ64" s="159"/>
    </row>
    <row r="65" spans="1:69" ht="12"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63">
        <f t="shared" ref="BP65" si="61">BO65+BO66</f>
        <v>59</v>
      </c>
      <c r="BQ65" s="159">
        <f t="shared" ref="BQ65" si="62">82-BP65</f>
        <v>23</v>
      </c>
    </row>
    <row r="66" spans="1:69" ht="12" customHeight="1" x14ac:dyDescent="0.25">
      <c r="A66" s="16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63"/>
      <c r="BQ66" s="15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955</v>
      </c>
      <c r="BQ67" s="34">
        <f>SUM(BQ3:BQ66)/2</f>
        <v>357</v>
      </c>
    </row>
    <row r="68" spans="1:69" x14ac:dyDescent="0.25">
      <c r="BP68" s="50">
        <f>2*BP67/SUM(BP3:BQ66)</f>
        <v>0.72789634146341464</v>
      </c>
      <c r="BQ68" s="50">
        <f>2*BQ67/SUM(BP3:BQ66)</f>
        <v>0.27210365853658536</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3-0-0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0.5625</v>
      </c>
      <c r="AM37" s="112">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0.49444444444444446</v>
      </c>
      <c r="AJ38" s="112">
        <f t="shared" ref="AJ38:AJ68" si="2">AVERAGE($Z38:$AG38)</f>
        <v>0.46875</v>
      </c>
      <c r="AK38" s="112">
        <f t="shared" ref="AK38:AK68" si="3">AVERAGE($R38:$Y38)</f>
        <v>0.46875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0.59444444444444444</v>
      </c>
      <c r="AJ39" s="112">
        <f t="shared" si="2"/>
        <v>0.46875</v>
      </c>
      <c r="AK39" s="112">
        <f t="shared" si="3"/>
        <v>0.40625</v>
      </c>
      <c r="AL39" s="112">
        <f t="shared" si="4"/>
        <v>0.66666666666666674</v>
      </c>
      <c r="AM39" s="112">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0.43452380952380959</v>
      </c>
      <c r="AJ40" s="112">
        <f t="shared" si="2"/>
        <v>0.40625</v>
      </c>
      <c r="AK40" s="112">
        <f t="shared" si="3"/>
        <v>0.625</v>
      </c>
      <c r="AL40" s="112">
        <f t="shared" si="4"/>
        <v>0.51190476190476186</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0.42222222222222222</v>
      </c>
      <c r="AJ41" s="112">
        <f t="shared" si="2"/>
        <v>0.46875</v>
      </c>
      <c r="AK41" s="112">
        <f t="shared" si="3"/>
        <v>0.5625</v>
      </c>
      <c r="AL41" s="112">
        <f t="shared" si="4"/>
        <v>0.39583333333333331</v>
      </c>
      <c r="AM41" s="112">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0">
        <f t="shared" si="0"/>
        <v>0.36666666666666664</v>
      </c>
      <c r="AI42" s="110">
        <f t="shared" si="1"/>
        <v>0.38888888888888895</v>
      </c>
      <c r="AJ42" s="112">
        <f t="shared" si="2"/>
        <v>0.35714285714285715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0.46666666666666673</v>
      </c>
      <c r="AJ43" s="112">
        <f t="shared" si="2"/>
        <v>0.65625</v>
      </c>
      <c r="AK43" s="112">
        <f t="shared" si="3"/>
        <v>0.46875</v>
      </c>
      <c r="AL43" s="112">
        <f t="shared" si="4"/>
        <v>0.42708333333333331</v>
      </c>
      <c r="AM43" s="112">
        <f t="shared" si="5"/>
        <v>0.51190476190476197</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0.48214285714285715</v>
      </c>
      <c r="AI44" s="111">
        <f t="shared" si="1"/>
        <v>0.51111111111111118</v>
      </c>
      <c r="AJ44" s="113">
        <f t="shared" si="2"/>
        <v>0.5</v>
      </c>
      <c r="AK44" s="113">
        <f t="shared" si="3"/>
        <v>0.4642857142857143</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0.42222222222222222</v>
      </c>
      <c r="AJ45" s="112">
        <f t="shared" si="2"/>
        <v>0.39285714285714285</v>
      </c>
      <c r="AK45" s="112">
        <f t="shared" si="3"/>
        <v>0.35714285714285715</v>
      </c>
      <c r="AL45" s="112">
        <f t="shared" si="4"/>
        <v>0.39285714285714285</v>
      </c>
      <c r="AM45" s="112">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0.6</v>
      </c>
      <c r="AI46" s="110">
        <f t="shared" si="1"/>
        <v>0.50555555555555554</v>
      </c>
      <c r="AJ46" s="112">
        <f t="shared" si="2"/>
        <v>0.5714285714285714</v>
      </c>
      <c r="AK46" s="112">
        <f t="shared" si="3"/>
        <v>0.625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0.609375</v>
      </c>
      <c r="AI47" s="110">
        <f t="shared" si="1"/>
        <v>0.52222222222222225</v>
      </c>
      <c r="AJ47" s="112">
        <f t="shared" si="2"/>
        <v>0.5625</v>
      </c>
      <c r="AK47" s="112">
        <f t="shared" si="3"/>
        <v>0.65625</v>
      </c>
      <c r="AL47" s="112">
        <f t="shared" si="4"/>
        <v>0.58333333333333337</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0.25</v>
      </c>
      <c r="AK49" s="112">
        <f t="shared" si="3"/>
        <v>0.34375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0.54166666666666663</v>
      </c>
      <c r="AJ50" s="112">
        <f t="shared" si="2"/>
        <v>0.5</v>
      </c>
      <c r="AK50" s="112">
        <f t="shared" si="3"/>
        <v>0.4642857142857143</v>
      </c>
      <c r="AL50" s="112">
        <f t="shared" si="4"/>
        <v>0.49999999999999994</v>
      </c>
      <c r="AM50" s="112">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0.5357142857142857</v>
      </c>
      <c r="AI51" s="110">
        <f t="shared" si="1"/>
        <v>0.43888888888888894</v>
      </c>
      <c r="AJ51" s="112">
        <f t="shared" si="2"/>
        <v>0.45833333333333331</v>
      </c>
      <c r="AK51" s="112">
        <f t="shared" si="3"/>
        <v>0.59375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0.68333333333333335</v>
      </c>
      <c r="AI52" s="111">
        <f t="shared" si="1"/>
        <v>0.52777777777777779</v>
      </c>
      <c r="AJ52" s="113">
        <f t="shared" si="2"/>
        <v>0.65625</v>
      </c>
      <c r="AK52" s="113">
        <f t="shared" si="3"/>
        <v>0.7142857142857143</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0.41666666666666663</v>
      </c>
      <c r="AI53" s="110">
        <f>AVERAGE($B53:$Q53)</f>
        <v>0.5</v>
      </c>
      <c r="AJ53" s="112">
        <f t="shared" si="2"/>
        <v>0.32142857142857145</v>
      </c>
      <c r="AK53" s="112">
        <f t="shared" si="3"/>
        <v>0.51190476190476186</v>
      </c>
      <c r="AL53" s="112">
        <f t="shared" si="4"/>
        <v>0.3125</v>
      </c>
      <c r="AM53" s="112">
        <f t="shared" si="5"/>
        <v>0.6875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0.44642857142857145</v>
      </c>
      <c r="AI54" s="110">
        <f t="shared" si="1"/>
        <v>0.484375</v>
      </c>
      <c r="AJ54" s="112">
        <f t="shared" si="2"/>
        <v>0.4642857142857143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0.5178571428571429</v>
      </c>
      <c r="AJ55" s="112">
        <f t="shared" si="2"/>
        <v>0.59375</v>
      </c>
      <c r="AK55" s="112">
        <f t="shared" si="3"/>
        <v>0.5</v>
      </c>
      <c r="AL55" s="112">
        <f t="shared" si="4"/>
        <v>0.54166666666666663</v>
      </c>
      <c r="AM55" s="112">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0.53333333333333333</v>
      </c>
      <c r="AI56" s="110">
        <f t="shared" si="1"/>
        <v>0.46875</v>
      </c>
      <c r="AJ56" s="112">
        <f t="shared" si="2"/>
        <v>0.61458333333333326</v>
      </c>
      <c r="AK56" s="112">
        <f t="shared" si="3"/>
        <v>0.44047619047619052</v>
      </c>
      <c r="AL56" s="112">
        <f t="shared" si="4"/>
        <v>0.375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0.59375</v>
      </c>
      <c r="AM58" s="112">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0">
        <f t="shared" si="0"/>
        <v>0.46666666666666662</v>
      </c>
      <c r="AI59" s="110">
        <f t="shared" si="1"/>
        <v>0.44230769230769229</v>
      </c>
      <c r="AJ59" s="112">
        <f t="shared" si="2"/>
        <v>0.57291666666666674</v>
      </c>
      <c r="AK59" s="112">
        <f t="shared" si="3"/>
        <v>0.34523809523809523</v>
      </c>
      <c r="AL59" s="112">
        <f t="shared" si="4"/>
        <v>0.54166666666666663</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0.56666666666666665</v>
      </c>
      <c r="AI60" s="111">
        <f t="shared" si="1"/>
        <v>0.578125</v>
      </c>
      <c r="AJ60" s="113">
        <f t="shared" si="2"/>
        <v>0.53125</v>
      </c>
      <c r="AK60" s="113">
        <f t="shared" si="3"/>
        <v>0.6071428571428571</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0.33333333333333331</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0.36904761904761907</v>
      </c>
      <c r="AI62" s="110">
        <f t="shared" si="1"/>
        <v>0.484375</v>
      </c>
      <c r="AJ62" s="112">
        <f t="shared" si="2"/>
        <v>0.40277777777777773</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0.49404761904761901</v>
      </c>
      <c r="AI63" s="110">
        <f t="shared" si="1"/>
        <v>0.5714285714285714</v>
      </c>
      <c r="AJ63" s="112">
        <f t="shared" si="2"/>
        <v>0.46428571428571436</v>
      </c>
      <c r="AK63" s="112">
        <f t="shared" si="3"/>
        <v>0.52380952380952384</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0.58333333333333337</v>
      </c>
      <c r="AI64" s="110">
        <f t="shared" si="1"/>
        <v>0.546875</v>
      </c>
      <c r="AJ64" s="112">
        <f t="shared" si="2"/>
        <v>0.52380952380952384</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0.83333333333333337</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0.53888888888888897</v>
      </c>
      <c r="AI65" s="110">
        <f t="shared" si="1"/>
        <v>0.5</v>
      </c>
      <c r="AJ65" s="112">
        <f t="shared" si="2"/>
        <v>0.58333333333333326</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0.48333333333333334</v>
      </c>
      <c r="AJ66" s="112">
        <f t="shared" si="2"/>
        <v>0.38095238095238099</v>
      </c>
      <c r="AK66" s="112">
        <f t="shared" si="3"/>
        <v>0.52380952380952384</v>
      </c>
      <c r="AL66" s="112">
        <f t="shared" si="4"/>
        <v>0.42857142857142855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0.54166666666666663</v>
      </c>
      <c r="AI67" s="110">
        <f t="shared" si="1"/>
        <v>0.48333333333333334</v>
      </c>
      <c r="AJ67" s="112">
        <f t="shared" si="2"/>
        <v>0.41666666666666669</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0.51388888888888895</v>
      </c>
      <c r="AI68" s="111">
        <f t="shared" si="1"/>
        <v>0.625</v>
      </c>
      <c r="AJ68" s="113">
        <f t="shared" si="2"/>
        <v>0.47023809523809523</v>
      </c>
      <c r="AK68" s="113">
        <f t="shared" si="3"/>
        <v>0.55208333333333337</v>
      </c>
      <c r="AL68" s="113">
        <f t="shared" si="4"/>
        <v>0.5714285714285714</v>
      </c>
      <c r="AM68" s="113">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2025-03-07T06:11:48Z</dcterms:modified>
</cp:coreProperties>
</file>