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1BED53CE-4248-432A-963A-04F5E9D098C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U35" i="2"/>
  <c r="BU36" i="2"/>
  <c r="BU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3" i="7"/>
  <c r="E13" i="7"/>
  <c r="F13" i="7"/>
  <c r="G13" i="7"/>
  <c r="H13" i="7"/>
  <c r="I13" i="7"/>
  <c r="J13"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4" i="7"/>
  <c r="E14" i="7"/>
  <c r="F14" i="7"/>
  <c r="G14" i="7"/>
  <c r="H14" i="7"/>
  <c r="I14"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Y34" i="2" a="1"/>
  <c r="BY34" i="2" s="1"/>
  <c r="BT4" i="5"/>
  <c r="BT3" i="5"/>
  <c r="AX5" i="2"/>
  <c r="AX4" i="2"/>
  <c r="AX16" i="2"/>
  <c r="AX12" i="2"/>
  <c r="AX21" i="2"/>
  <c r="AX22" i="2"/>
  <c r="AX33" i="2"/>
  <c r="AX24" i="2"/>
  <c r="AX14" i="2"/>
  <c r="AX15" i="2"/>
  <c r="AX9" i="2"/>
  <c r="AX13" i="2"/>
  <c r="AX25" i="2"/>
  <c r="AX30" i="2"/>
  <c r="AX28" i="2"/>
  <c r="AX27" i="2"/>
  <c r="AX26" i="2"/>
  <c r="AX8" i="2"/>
  <c r="AX20" i="2"/>
  <c r="AX11" i="2"/>
  <c r="AX10" i="2"/>
  <c r="AX6" i="2"/>
  <c r="AX17" i="2"/>
  <c r="AX7" i="2"/>
  <c r="AX2" i="2"/>
  <c r="AX29" i="2"/>
  <c r="AX19" i="2"/>
  <c r="AX23" i="2"/>
  <c r="AX18" i="2"/>
  <c r="AX32" i="2"/>
  <c r="AX31" i="2"/>
  <c r="AX3" i="2"/>
  <c r="AT5" i="2"/>
  <c r="AT4" i="2"/>
  <c r="AT16" i="2"/>
  <c r="AT12" i="2"/>
  <c r="AT21" i="2"/>
  <c r="AT22" i="2"/>
  <c r="AT33" i="2"/>
  <c r="AT24" i="2"/>
  <c r="AT14" i="2"/>
  <c r="AT15" i="2"/>
  <c r="AT9" i="2"/>
  <c r="AT13" i="2"/>
  <c r="AT25" i="2"/>
  <c r="AT30" i="2"/>
  <c r="AT28" i="2"/>
  <c r="AT27" i="2"/>
  <c r="AT26" i="2"/>
  <c r="AT8" i="2"/>
  <c r="AT20" i="2"/>
  <c r="AT11" i="2"/>
  <c r="AT10" i="2"/>
  <c r="AT6" i="2"/>
  <c r="AT17" i="2"/>
  <c r="AT7" i="2"/>
  <c r="AT2" i="2"/>
  <c r="AT29" i="2"/>
  <c r="AT19" i="2"/>
  <c r="AT23" i="2"/>
  <c r="AT18" i="2"/>
  <c r="AT32" i="2"/>
  <c r="AT31" i="2"/>
  <c r="AT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1" i="2"/>
  <c r="AV21" i="2"/>
  <c r="AY21" i="2"/>
  <c r="AZ21" i="2"/>
  <c r="AU30" i="2"/>
  <c r="AV30" i="2"/>
  <c r="AY30" i="2"/>
  <c r="AZ30" i="2"/>
  <c r="AU9" i="2"/>
  <c r="AV9" i="2"/>
  <c r="AY9" i="2"/>
  <c r="AZ9" i="2"/>
  <c r="AU17" i="2"/>
  <c r="AV17" i="2"/>
  <c r="AY17" i="2"/>
  <c r="AZ17" i="2"/>
  <c r="AU16" i="2"/>
  <c r="AV16" i="2"/>
  <c r="AY16" i="2"/>
  <c r="AZ16" i="2"/>
  <c r="AU33" i="2"/>
  <c r="AV33" i="2"/>
  <c r="AY33" i="2"/>
  <c r="AZ33" i="2"/>
  <c r="AU13" i="2"/>
  <c r="AV13" i="2"/>
  <c r="AY13" i="2"/>
  <c r="AZ13" i="2"/>
  <c r="AU7" i="2"/>
  <c r="AV7" i="2"/>
  <c r="AY7" i="2"/>
  <c r="AZ7" i="2"/>
  <c r="AU20" i="2"/>
  <c r="AV20" i="2"/>
  <c r="AY20" i="2"/>
  <c r="AZ20" i="2"/>
  <c r="AU5" i="2"/>
  <c r="AV5" i="2"/>
  <c r="AY5" i="2"/>
  <c r="AZ5" i="2"/>
  <c r="AU12" i="2"/>
  <c r="AV12" i="2"/>
  <c r="AY12" i="2"/>
  <c r="AZ12" i="2"/>
  <c r="AU8" i="2"/>
  <c r="AV8" i="2"/>
  <c r="AY8" i="2"/>
  <c r="AZ8" i="2"/>
  <c r="AU6" i="2"/>
  <c r="AV6" i="2"/>
  <c r="AY6" i="2"/>
  <c r="AZ6" i="2"/>
  <c r="AU18" i="2"/>
  <c r="AV18" i="2"/>
  <c r="AY18" i="2"/>
  <c r="AZ18" i="2"/>
  <c r="AU11" i="2"/>
  <c r="AV11" i="2"/>
  <c r="AY11" i="2"/>
  <c r="AZ11" i="2"/>
  <c r="AU31" i="2"/>
  <c r="AV31" i="2"/>
  <c r="AY31" i="2"/>
  <c r="AZ31" i="2"/>
  <c r="AU27" i="2"/>
  <c r="AV27" i="2"/>
  <c r="AY27" i="2"/>
  <c r="AZ27" i="2"/>
  <c r="AU24" i="2"/>
  <c r="AV24" i="2"/>
  <c r="AY24" i="2"/>
  <c r="AZ24" i="2"/>
  <c r="AU19" i="2"/>
  <c r="AV19" i="2"/>
  <c r="AY19" i="2"/>
  <c r="AZ19" i="2"/>
  <c r="AU26" i="2"/>
  <c r="AV26" i="2"/>
  <c r="AY26" i="2"/>
  <c r="AZ26" i="2"/>
  <c r="AU25" i="2"/>
  <c r="AV25" i="2"/>
  <c r="AY25" i="2"/>
  <c r="AZ25" i="2"/>
  <c r="AU29" i="2"/>
  <c r="AV29" i="2"/>
  <c r="AY29" i="2"/>
  <c r="AZ29" i="2"/>
  <c r="AU32" i="2"/>
  <c r="AV32" i="2"/>
  <c r="AY32" i="2"/>
  <c r="AZ32" i="2"/>
  <c r="AU23" i="2"/>
  <c r="AV23" i="2"/>
  <c r="AY23" i="2"/>
  <c r="AZ23" i="2"/>
  <c r="AU14" i="2"/>
  <c r="AV14" i="2"/>
  <c r="AY14" i="2"/>
  <c r="AZ14" i="2"/>
  <c r="AU10" i="2"/>
  <c r="AV10" i="2"/>
  <c r="AY10" i="2"/>
  <c r="AZ10" i="2"/>
  <c r="AU22" i="2"/>
  <c r="AV22" i="2"/>
  <c r="AY22" i="2"/>
  <c r="AZ22" i="2"/>
  <c r="AU15" i="2"/>
  <c r="AV15" i="2"/>
  <c r="AY15" i="2"/>
  <c r="AZ15" i="2"/>
  <c r="AU2" i="2"/>
  <c r="AV2" i="2"/>
  <c r="AY2" i="2"/>
  <c r="AZ2" i="2"/>
  <c r="AU4" i="2"/>
  <c r="AV4" i="2"/>
  <c r="AY4" i="2"/>
  <c r="AZ4" i="2"/>
  <c r="AU3" i="2"/>
  <c r="AV3" i="2"/>
  <c r="AY3" i="2"/>
  <c r="AZ3"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83"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H672" i="1"/>
  <c r="O672" i="1" s="1"/>
  <c r="H673" i="1"/>
  <c r="O673" i="1" s="1"/>
  <c r="H674" i="1"/>
  <c r="O674" i="1" s="1"/>
  <c r="H675" i="1"/>
  <c r="O675" i="1" s="1"/>
  <c r="H676" i="1"/>
  <c r="O676" i="1" s="1"/>
  <c r="H677" i="1"/>
  <c r="O677" i="1" s="1"/>
  <c r="H678" i="1"/>
  <c r="O678" i="1" s="1"/>
  <c r="H679" i="1"/>
  <c r="O679" i="1" s="1"/>
  <c r="H680" i="1"/>
  <c r="H681" i="1"/>
  <c r="O681" i="1" s="1"/>
  <c r="H682" i="1"/>
  <c r="O682" i="1" s="1"/>
  <c r="H683" i="1"/>
  <c r="H684" i="1"/>
  <c r="O684" i="1" s="1"/>
  <c r="H685" i="1"/>
  <c r="O685" i="1" s="1"/>
  <c r="H686" i="1"/>
  <c r="O686" i="1" s="1"/>
  <c r="H687" i="1"/>
  <c r="H688" i="1"/>
  <c r="O688" i="1" s="1"/>
  <c r="H689" i="1"/>
  <c r="O689" i="1" s="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71" i="1" l="1"/>
  <c r="O639" i="1"/>
  <c r="O607" i="1"/>
  <c r="O623" i="1"/>
  <c r="O687" i="1"/>
  <c r="O543" i="1"/>
  <c r="O511" i="1"/>
  <c r="O664" i="1"/>
  <c r="O632" i="1"/>
  <c r="O616" i="1"/>
  <c r="O585" i="1"/>
  <c r="O568" i="1"/>
  <c r="O536" i="1"/>
  <c r="O520" i="1"/>
  <c r="O488" i="1"/>
  <c r="O472" i="1"/>
  <c r="AD472" i="1" s="1"/>
  <c r="O680" i="1"/>
  <c r="O651" i="1"/>
  <c r="O635" i="1"/>
  <c r="O619" i="1"/>
  <c r="O603" i="1"/>
  <c r="O587" i="1"/>
  <c r="AD587" i="1" s="1"/>
  <c r="O571" i="1"/>
  <c r="O555" i="1"/>
  <c r="O539" i="1"/>
  <c r="O523" i="1"/>
  <c r="O507" i="1"/>
  <c r="O491" i="1"/>
  <c r="O660" i="1"/>
  <c r="O630" i="1"/>
  <c r="AC630" i="1" s="1"/>
  <c r="O600" i="1"/>
  <c r="O576" i="1"/>
  <c r="AD576" i="1" s="1"/>
  <c r="O528" i="1"/>
  <c r="O468" i="1"/>
  <c r="O636" i="1"/>
  <c r="O648" i="1"/>
  <c r="O618" i="1"/>
  <c r="O594" i="1"/>
  <c r="AD594" i="1" s="1"/>
  <c r="O570" i="1"/>
  <c r="O504" i="1"/>
  <c r="O654" i="1"/>
  <c r="O624" i="1"/>
  <c r="O564" i="1"/>
  <c r="O480" i="1"/>
  <c r="O666" i="1"/>
  <c r="O642" i="1"/>
  <c r="AC642" i="1" s="1"/>
  <c r="O612" i="1"/>
  <c r="O552" i="1"/>
  <c r="AC552" i="1" s="1"/>
  <c r="O667" i="1"/>
  <c r="O620" i="1"/>
  <c r="O604" i="1"/>
  <c r="O588" i="1"/>
  <c r="O572" i="1"/>
  <c r="O556" i="1"/>
  <c r="AD556" i="1" s="1"/>
  <c r="O540" i="1"/>
  <c r="O476" i="1"/>
  <c r="O460" i="1"/>
  <c r="O428" i="1"/>
  <c r="O412" i="1"/>
  <c r="O380" i="1"/>
  <c r="O364" i="1"/>
  <c r="O332" i="1"/>
  <c r="AD332" i="1" s="1"/>
  <c r="O316" i="1"/>
  <c r="O622" i="1"/>
  <c r="AD622" i="1" s="1"/>
  <c r="O558" i="1"/>
  <c r="O574" i="1"/>
  <c r="O510" i="1"/>
  <c r="O526" i="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6" i="1"/>
  <c r="AC520" i="1"/>
  <c r="AC502" i="1"/>
  <c r="AC496" i="1"/>
  <c r="AC490" i="1"/>
  <c r="AC484"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4"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Y63" i="2"/>
  <c r="BY57" i="2"/>
  <c r="BY56" i="2"/>
  <c r="O38" i="1"/>
  <c r="AD38" i="1" s="1"/>
  <c r="O76" i="1"/>
  <c r="AD76" i="1" s="1"/>
  <c r="O23" i="1"/>
  <c r="AD23" i="1" s="1"/>
  <c r="O75" i="1"/>
  <c r="AD75" i="1" s="1"/>
  <c r="BY51" i="2"/>
  <c r="BY50" i="2"/>
  <c r="O57" i="1"/>
  <c r="AD57" i="1" s="1"/>
  <c r="O73" i="1"/>
  <c r="AD73" i="1" s="1"/>
  <c r="BY45" i="2"/>
  <c r="O88" i="1"/>
  <c r="AD88" i="1" s="1"/>
  <c r="O72" i="1"/>
  <c r="AD72" i="1" s="1"/>
  <c r="O55" i="1"/>
  <c r="AD55" i="1" s="1"/>
  <c r="O92" i="1"/>
  <c r="AD92" i="1" s="1"/>
  <c r="BY44" i="2"/>
  <c r="BY39" i="2"/>
  <c r="BY62" i="2"/>
  <c r="BY38" i="2"/>
  <c r="BY61" i="2"/>
  <c r="BY55" i="2"/>
  <c r="BY49" i="2"/>
  <c r="BY43" i="2"/>
  <c r="BY37" i="2"/>
  <c r="BY66" i="2"/>
  <c r="BY60" i="2"/>
  <c r="BY54" i="2"/>
  <c r="BY48" i="2"/>
  <c r="BY42" i="2"/>
  <c r="BY36" i="2"/>
  <c r="BY65" i="2"/>
  <c r="BY59" i="2"/>
  <c r="BY53" i="2"/>
  <c r="BY47" i="2"/>
  <c r="BY41" i="2"/>
  <c r="BY35" i="2"/>
  <c r="BY64" i="2"/>
  <c r="BY58" i="2"/>
  <c r="BY52" i="2"/>
  <c r="BY46" i="2"/>
  <c r="BY40" i="2"/>
  <c r="BZ10" i="2"/>
  <c r="BZ9" i="2"/>
  <c r="BZ6" i="2"/>
  <c r="BH41" i="4"/>
  <c r="C56" i="4"/>
  <c r="AW26" i="4"/>
  <c r="AQ52" i="4"/>
  <c r="F59" i="4"/>
  <c r="BL25" i="4"/>
  <c r="BM62" i="4"/>
  <c r="BK12" i="4"/>
  <c r="D19" i="2"/>
  <c r="D5" i="2"/>
  <c r="D31" i="2"/>
  <c r="AT7" i="4"/>
  <c r="D30" i="2"/>
  <c r="D17" i="2"/>
  <c r="D20" i="2"/>
  <c r="BL15" i="4"/>
  <c r="D11" i="2"/>
  <c r="D10" i="2"/>
  <c r="D16" i="2"/>
  <c r="D29" i="2"/>
  <c r="D23"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4" i="2"/>
  <c r="D4" i="2"/>
  <c r="S22" i="1"/>
  <c r="Q14" i="2" s="1"/>
  <c r="S16" i="1"/>
  <c r="S25" i="2" s="1"/>
  <c r="S10" i="1"/>
  <c r="R4" i="2" s="1"/>
  <c r="S31" i="1"/>
  <c r="S9" i="2" s="1"/>
  <c r="C12" i="4"/>
  <c r="C32" i="4"/>
  <c r="BL11" i="4"/>
  <c r="D47" i="4"/>
  <c r="BD61" i="4"/>
  <c r="D21" i="4"/>
  <c r="BN55" i="4"/>
  <c r="BM52" i="4"/>
  <c r="BN35" i="4"/>
  <c r="F47" i="4"/>
  <c r="AZ55" i="4"/>
  <c r="E44" i="4"/>
  <c r="C46" i="4"/>
  <c r="BA18" i="4"/>
  <c r="C38" i="4"/>
  <c r="F19" i="4"/>
  <c r="D32" i="2"/>
  <c r="D24" i="2"/>
  <c r="BN61" i="4"/>
  <c r="C50" i="4"/>
  <c r="D12" i="2"/>
  <c r="S15" i="1"/>
  <c r="R12" i="2" s="1"/>
  <c r="S9" i="1"/>
  <c r="S24" i="2" s="1"/>
  <c r="S30" i="1"/>
  <c r="AO30" i="4"/>
  <c r="BK56" i="4"/>
  <c r="E60" i="4"/>
  <c r="AA38" i="4"/>
  <c r="BG30" i="4"/>
  <c r="F21" i="4"/>
  <c r="F45" i="4"/>
  <c r="BN37" i="4"/>
  <c r="BK30" i="4"/>
  <c r="F57" i="4"/>
  <c r="BH39" i="4"/>
  <c r="BK54" i="4"/>
  <c r="BK40" i="4"/>
  <c r="BL53" i="4"/>
  <c r="AY44" i="4"/>
  <c r="BK22" i="4"/>
  <c r="E36" i="4"/>
  <c r="BI26" i="4"/>
  <c r="D9" i="2"/>
  <c r="D57" i="4"/>
  <c r="BG54" i="4"/>
  <c r="D15" i="2"/>
  <c r="F27" i="4"/>
  <c r="D8" i="2"/>
  <c r="S3" i="1"/>
  <c r="S14" i="1"/>
  <c r="Q8" i="2" s="1"/>
  <c r="S8" i="1"/>
  <c r="Q10" i="2" s="1"/>
  <c r="S71" i="1"/>
  <c r="Q5" i="2" s="1"/>
  <c r="S47" i="1"/>
  <c r="R20" i="2" s="1"/>
  <c r="S35" i="1"/>
  <c r="R29" i="2" s="1"/>
  <c r="S29" i="1"/>
  <c r="R19" i="2" s="1"/>
  <c r="BH27" i="4"/>
  <c r="F23" i="4"/>
  <c r="AZ41" i="4"/>
  <c r="BN29" i="4"/>
  <c r="BM16" i="4"/>
  <c r="BL61" i="4"/>
  <c r="BH51" i="4"/>
  <c r="BH53" i="4"/>
  <c r="E16" i="4"/>
  <c r="E38" i="4"/>
  <c r="BM26" i="4"/>
  <c r="BG42" i="4"/>
  <c r="BD47" i="4"/>
  <c r="BL55" i="4"/>
  <c r="C34" i="4"/>
  <c r="D7" i="2"/>
  <c r="BN19" i="4"/>
  <c r="E18" i="4"/>
  <c r="D13" i="2"/>
  <c r="D27" i="2"/>
  <c r="D2" i="2"/>
  <c r="D28" i="2"/>
  <c r="D26" i="2"/>
  <c r="D33" i="2"/>
  <c r="S13" i="1"/>
  <c r="R18" i="2" s="1"/>
  <c r="S7" i="1"/>
  <c r="Q33" i="2" s="1"/>
  <c r="S82" i="1"/>
  <c r="Q3" i="2" s="1"/>
  <c r="S40" i="1"/>
  <c r="Z4" i="2" s="1"/>
  <c r="S34" i="1"/>
  <c r="Q27" i="2" s="1"/>
  <c r="D18" i="2"/>
  <c r="D25" i="2"/>
  <c r="D22" i="2"/>
  <c r="BJ17" i="4"/>
  <c r="D21"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17" i="2"/>
  <c r="W20" i="2"/>
  <c r="N3" i="2"/>
  <c r="U26" i="2"/>
  <c r="Y26" i="2"/>
  <c r="W24" i="2"/>
  <c r="O10" i="2"/>
  <c r="U15" i="2"/>
  <c r="W29" i="2"/>
  <c r="AA28" i="2"/>
  <c r="Z26" i="2"/>
  <c r="O3" i="2"/>
  <c r="U8" i="2"/>
  <c r="Y8" i="2"/>
  <c r="W9" i="2"/>
  <c r="Z8" i="2"/>
  <c r="V26" i="2"/>
  <c r="AA33" i="2"/>
  <c r="AA10" i="2"/>
  <c r="V8" i="2"/>
  <c r="O33" i="2"/>
  <c r="W26" i="2"/>
  <c r="V33" i="2"/>
  <c r="Y33" i="2"/>
  <c r="Z33" i="2"/>
  <c r="U33" i="2"/>
  <c r="W33" i="2"/>
  <c r="AA17" i="2"/>
  <c r="N5" i="2"/>
  <c r="W31" i="2"/>
  <c r="O5" i="2"/>
  <c r="M5" i="2"/>
  <c r="W30" i="2"/>
  <c r="O58" i="1"/>
  <c r="AD58" i="1" s="1"/>
  <c r="O26" i="1"/>
  <c r="AD26" i="1" s="1"/>
  <c r="O42" i="1"/>
  <c r="AD42" i="1" s="1"/>
  <c r="O45" i="1"/>
  <c r="AD45" i="1" s="1"/>
  <c r="O61" i="1"/>
  <c r="AD61" i="1" s="1"/>
  <c r="O29" i="1"/>
  <c r="AD29" i="1" s="1"/>
  <c r="O56" i="1"/>
  <c r="AD56" i="1" s="1"/>
  <c r="N24" i="2"/>
  <c r="W16" i="2"/>
  <c r="O27" i="1"/>
  <c r="AD27" i="1" s="1"/>
  <c r="O43" i="1"/>
  <c r="AD43" i="1" s="1"/>
  <c r="O59" i="1"/>
  <c r="AD59" i="1" s="1"/>
  <c r="U6" i="2"/>
  <c r="O52" i="1"/>
  <c r="AD52" i="1" s="1"/>
  <c r="Z17" i="2"/>
  <c r="O36" i="1"/>
  <c r="AD36" i="1" s="1"/>
  <c r="Z23" i="2"/>
  <c r="V18" i="2"/>
  <c r="AE66" i="4"/>
  <c r="O34" i="1"/>
  <c r="AD34" i="1" s="1"/>
  <c r="AA23" i="2"/>
  <c r="N7" i="2"/>
  <c r="M32" i="2"/>
  <c r="O50" i="1"/>
  <c r="AD50" i="1" s="1"/>
  <c r="N20" i="2"/>
  <c r="J65" i="4"/>
  <c r="W21" i="2"/>
  <c r="N15" i="2"/>
  <c r="V31" i="2"/>
  <c r="O46" i="1"/>
  <c r="AD46" i="1" s="1"/>
  <c r="N32" i="2"/>
  <c r="V17" i="2"/>
  <c r="N10" i="2"/>
  <c r="N29" i="2"/>
  <c r="N19" i="2"/>
  <c r="W32" i="2"/>
  <c r="O30" i="1"/>
  <c r="AD30" i="1" s="1"/>
  <c r="N2" i="2"/>
  <c r="N12" i="2"/>
  <c r="N11" i="2"/>
  <c r="U11" i="2"/>
  <c r="O9" i="2"/>
  <c r="O62" i="1"/>
  <c r="AD62" i="1" s="1"/>
  <c r="M9" i="2"/>
  <c r="U27" i="2"/>
  <c r="N25" i="2"/>
  <c r="V12" i="2"/>
  <c r="AH65" i="4"/>
  <c r="V14" i="2"/>
  <c r="V16" i="2"/>
  <c r="V11" i="2"/>
  <c r="V10" i="2"/>
  <c r="W17" i="2"/>
  <c r="V3" i="2"/>
  <c r="V20" i="2"/>
  <c r="W10" i="2"/>
  <c r="BO6" i="2"/>
  <c r="V9" i="2"/>
  <c r="W23" i="2"/>
  <c r="BN14" i="2"/>
  <c r="Y10" i="2"/>
  <c r="BN5" i="2"/>
  <c r="V2" i="2"/>
  <c r="BO8" i="2"/>
  <c r="V6" i="2"/>
  <c r="V7" i="2"/>
  <c r="BO19" i="2"/>
  <c r="N14" i="2"/>
  <c r="W18" i="2"/>
  <c r="BK62" i="4"/>
  <c r="W3" i="2"/>
  <c r="W4" i="2"/>
  <c r="W2" i="2"/>
  <c r="U12" i="2"/>
  <c r="W14" i="2"/>
  <c r="U14" i="2"/>
  <c r="W25" i="2"/>
  <c r="BO24" i="2"/>
  <c r="BN3" i="2"/>
  <c r="H12" i="2"/>
  <c r="I12" i="2" s="1"/>
  <c r="H26" i="2"/>
  <c r="I26" i="2" s="1"/>
  <c r="H13" i="2"/>
  <c r="I13" i="2" s="1"/>
  <c r="H6" i="2"/>
  <c r="I6" i="2" s="1"/>
  <c r="N13" i="2"/>
  <c r="N4" i="2"/>
  <c r="U17" i="2"/>
  <c r="U4" i="2"/>
  <c r="V30" i="2"/>
  <c r="V22" i="2"/>
  <c r="W27" i="2"/>
  <c r="W12" i="2"/>
  <c r="BN13" i="2"/>
  <c r="BO3" i="2"/>
  <c r="H31" i="2"/>
  <c r="I31" i="2" s="1"/>
  <c r="H30" i="2"/>
  <c r="I30" i="2" s="1"/>
  <c r="O16" i="2"/>
  <c r="M16" i="2"/>
  <c r="U9" i="2"/>
  <c r="U2" i="2"/>
  <c r="W11" i="2"/>
  <c r="BO25" i="2"/>
  <c r="BO11" i="2"/>
  <c r="H27" i="2"/>
  <c r="I27" i="2" s="1"/>
  <c r="U30" i="2"/>
  <c r="U22" i="2"/>
  <c r="V27" i="2"/>
  <c r="W7" i="2"/>
  <c r="Y23" i="2"/>
  <c r="BO5" i="2"/>
  <c r="BO18" i="2"/>
  <c r="BN33" i="2"/>
  <c r="H3" i="2"/>
  <c r="I3" i="2" s="1"/>
  <c r="BN21" i="2"/>
  <c r="H24" i="2"/>
  <c r="I24" i="2" s="1"/>
  <c r="M28" i="2"/>
  <c r="BO32" i="2"/>
  <c r="H14" i="2"/>
  <c r="I14" i="2" s="1"/>
  <c r="H19" i="2"/>
  <c r="I19" i="2" s="1"/>
  <c r="T16" i="2"/>
  <c r="N9" i="2"/>
  <c r="U10" i="2"/>
  <c r="U7" i="2"/>
  <c r="V23" i="2"/>
  <c r="T19" i="2"/>
  <c r="H21" i="2"/>
  <c r="I21" i="2" s="1"/>
  <c r="L23" i="2"/>
  <c r="N28" i="2"/>
  <c r="U16" i="2"/>
  <c r="V29" i="2"/>
  <c r="W5" i="2"/>
  <c r="W19" i="2"/>
  <c r="BN22" i="2"/>
  <c r="H10" i="2"/>
  <c r="I10" i="2" s="1"/>
  <c r="M17" i="2"/>
  <c r="U23" i="2"/>
  <c r="V25" i="2"/>
  <c r="H15" i="2"/>
  <c r="I15" i="2" s="1"/>
  <c r="O7" i="2"/>
  <c r="U29" i="2"/>
  <c r="V5" i="2"/>
  <c r="V19" i="2"/>
  <c r="W15" i="2"/>
  <c r="BN25" i="2"/>
  <c r="BO33" i="2"/>
  <c r="M15" i="2"/>
  <c r="U31" i="2"/>
  <c r="U25" i="2"/>
  <c r="Y17" i="2"/>
  <c r="U5" i="2"/>
  <c r="U19" i="2"/>
  <c r="V15" i="2"/>
  <c r="H7" i="2"/>
  <c r="I7" i="2" s="1"/>
  <c r="BO10" i="2"/>
  <c r="H33" i="2"/>
  <c r="I33" i="2" s="1"/>
  <c r="H18" i="2"/>
  <c r="I18" i="2" s="1"/>
  <c r="U3" i="2"/>
  <c r="U18" i="2"/>
  <c r="V32" i="2"/>
  <c r="V21" i="2"/>
  <c r="BN8" i="2"/>
  <c r="BO21" i="2"/>
  <c r="H8" i="2"/>
  <c r="I8" i="2" s="1"/>
  <c r="H22" i="2"/>
  <c r="I22" i="2" s="1"/>
  <c r="M2" i="2"/>
  <c r="V24" i="2"/>
  <c r="BN2" i="2"/>
  <c r="H9" i="2"/>
  <c r="I9" i="2" s="1"/>
  <c r="Z13" i="2"/>
  <c r="N31" i="2"/>
  <c r="N18" i="2"/>
  <c r="U32" i="2"/>
  <c r="U21" i="2"/>
  <c r="V4" i="2"/>
  <c r="BO26" i="2"/>
  <c r="BO15" i="2"/>
  <c r="BO14" i="2"/>
  <c r="BN6" i="2"/>
  <c r="O51" i="1"/>
  <c r="AD51" i="1" s="1"/>
  <c r="H11" i="2"/>
  <c r="I11" i="2" s="1"/>
  <c r="H23" i="2"/>
  <c r="I23" i="2" s="1"/>
  <c r="H20" i="2"/>
  <c r="I20" i="2" s="1"/>
  <c r="H17" i="2"/>
  <c r="I17" i="2" s="1"/>
  <c r="H32" i="2"/>
  <c r="I32" i="2" s="1"/>
  <c r="H29" i="2"/>
  <c r="I29" i="2" s="1"/>
  <c r="U20" i="2"/>
  <c r="U24" i="2"/>
  <c r="W6" i="2"/>
  <c r="W28" i="2"/>
  <c r="Y28" i="2"/>
  <c r="U28" i="2"/>
  <c r="V28" i="2"/>
  <c r="W13" i="2"/>
  <c r="U13" i="2"/>
  <c r="Y13" i="2"/>
  <c r="V13" i="2"/>
  <c r="Z28" i="2"/>
  <c r="H25" i="2"/>
  <c r="I25" i="2" s="1"/>
  <c r="M21" i="2"/>
  <c r="N21" i="2"/>
  <c r="AA13" i="2"/>
  <c r="Z10" i="2"/>
  <c r="M8" i="2"/>
  <c r="M30" i="2"/>
  <c r="O30" i="2"/>
  <c r="BO29" i="2"/>
  <c r="BN26" i="2"/>
  <c r="BO31" i="2"/>
  <c r="BN11" i="2"/>
  <c r="BO27" i="2"/>
  <c r="BO16" i="2"/>
  <c r="BO30" i="2"/>
  <c r="T30" i="2"/>
  <c r="M10" i="2"/>
  <c r="M7" i="2"/>
  <c r="N16" i="2"/>
  <c r="O23" i="2"/>
  <c r="O28" i="1"/>
  <c r="AD28" i="1" s="1"/>
  <c r="L3" i="2"/>
  <c r="BN10" i="2"/>
  <c r="BN27" i="2"/>
  <c r="BN16" i="2"/>
  <c r="BN30" i="2"/>
  <c r="T24" i="2"/>
  <c r="T21" i="2"/>
  <c r="M14" i="2"/>
  <c r="N23" i="2"/>
  <c r="O31" i="2"/>
  <c r="O29" i="2"/>
  <c r="L15" i="2"/>
  <c r="BN32" i="2"/>
  <c r="L19" i="2"/>
  <c r="BN18" i="2"/>
  <c r="BO12" i="2"/>
  <c r="BO7" i="2"/>
  <c r="L17" i="2"/>
  <c r="T27" i="2"/>
  <c r="T28" i="2"/>
  <c r="M23" i="2"/>
  <c r="O25" i="2"/>
  <c r="BO2" i="2"/>
  <c r="L20" i="2"/>
  <c r="L14" i="2"/>
  <c r="L31" i="2"/>
  <c r="BN12" i="2"/>
  <c r="BN7" i="2"/>
  <c r="L21" i="2"/>
  <c r="T31" i="2"/>
  <c r="M31" i="2"/>
  <c r="M29" i="2"/>
  <c r="O13" i="2"/>
  <c r="O19" i="2"/>
  <c r="L25" i="2"/>
  <c r="L8" i="2"/>
  <c r="BO4" i="2"/>
  <c r="L29" i="2"/>
  <c r="L6" i="2"/>
  <c r="T3" i="2"/>
  <c r="T11" i="2"/>
  <c r="M25" i="2"/>
  <c r="O18" i="2"/>
  <c r="BN4" i="2"/>
  <c r="BO22" i="2"/>
  <c r="L5" i="2"/>
  <c r="L13" i="2"/>
  <c r="BO9" i="2"/>
  <c r="T4" i="2"/>
  <c r="T18" i="2"/>
  <c r="M13" i="2"/>
  <c r="M19" i="2"/>
  <c r="O15" i="2"/>
  <c r="O8" i="2"/>
  <c r="BO23" i="2"/>
  <c r="BN24" i="2"/>
  <c r="BN9" i="2"/>
  <c r="T2" i="2"/>
  <c r="T6" i="2"/>
  <c r="M18" i="2"/>
  <c r="N8" i="2"/>
  <c r="O32" i="2"/>
  <c r="O21" i="2"/>
  <c r="L2" i="2"/>
  <c r="BN23" i="2"/>
  <c r="BO20" i="2"/>
  <c r="T15" i="2"/>
  <c r="T8" i="2"/>
  <c r="O20" i="2"/>
  <c r="O24" i="2"/>
  <c r="H2" i="2"/>
  <c r="I2" i="2" s="1"/>
  <c r="L10" i="2"/>
  <c r="L27" i="2"/>
  <c r="BN20" i="2"/>
  <c r="L16" i="2"/>
  <c r="L30" i="2"/>
  <c r="T22" i="2"/>
  <c r="T12" i="2"/>
  <c r="O17" i="2"/>
  <c r="O4" i="2"/>
  <c r="L32" i="2"/>
  <c r="L18" i="2"/>
  <c r="T10" i="2"/>
  <c r="T20" i="2"/>
  <c r="M20" i="2"/>
  <c r="M24" i="2"/>
  <c r="O2" i="2"/>
  <c r="H5" i="2"/>
  <c r="I5" i="2" s="1"/>
  <c r="L12" i="2"/>
  <c r="L7" i="2"/>
  <c r="BO17" i="2"/>
  <c r="T14" i="2"/>
  <c r="T7" i="2"/>
  <c r="M4" i="2"/>
  <c r="O22" i="2"/>
  <c r="F5" i="2"/>
  <c r="G5" i="2" s="1"/>
  <c r="BN15" i="2"/>
  <c r="BN19" i="2"/>
  <c r="BN17" i="2"/>
  <c r="T23" i="2"/>
  <c r="T13" i="2"/>
  <c r="N30" i="2"/>
  <c r="N22" i="2"/>
  <c r="O28" i="2"/>
  <c r="O6" i="2"/>
  <c r="L4" i="2"/>
  <c r="BN31" i="2"/>
  <c r="T32" i="2"/>
  <c r="T33" i="2"/>
  <c r="M22" i="2"/>
  <c r="N6" i="2"/>
  <c r="O27" i="2"/>
  <c r="O12" i="2"/>
  <c r="H4" i="2"/>
  <c r="L22" i="2"/>
  <c r="BN29" i="2"/>
  <c r="L24" i="2"/>
  <c r="BO13" i="2"/>
  <c r="L9" i="2"/>
  <c r="T29" i="2"/>
  <c r="M6" i="2"/>
  <c r="O11" i="2"/>
  <c r="L11" i="2"/>
  <c r="T25" i="2"/>
  <c r="T17" i="2"/>
  <c r="M27" i="2"/>
  <c r="M12" i="2"/>
  <c r="N33" i="2"/>
  <c r="T26" i="2"/>
  <c r="T9" i="2"/>
  <c r="M33" i="2"/>
  <c r="M11" i="2"/>
  <c r="O14" i="2"/>
  <c r="M26" i="2"/>
  <c r="T5" i="2"/>
  <c r="N26" i="2"/>
  <c r="O26" i="2"/>
  <c r="BC10" i="2"/>
  <c r="L26" i="2"/>
  <c r="BC23" i="2"/>
  <c r="F22" i="2"/>
  <c r="G22" i="2" s="1"/>
  <c r="F25" i="2"/>
  <c r="G25" i="2" s="1"/>
  <c r="F11" i="2"/>
  <c r="F20" i="2"/>
  <c r="F33" i="2"/>
  <c r="G33" i="2" s="1"/>
  <c r="H16" i="2"/>
  <c r="I16" i="2" s="1"/>
  <c r="F10" i="2"/>
  <c r="G10" i="2" s="1"/>
  <c r="F26" i="2"/>
  <c r="G26" i="2" s="1"/>
  <c r="F18" i="2"/>
  <c r="G18" i="2" s="1"/>
  <c r="F7" i="2"/>
  <c r="G7" i="2" s="1"/>
  <c r="F16" i="2"/>
  <c r="G16" i="2" s="1"/>
  <c r="F17" i="2"/>
  <c r="G17" i="2" s="1"/>
  <c r="F3" i="2"/>
  <c r="G3" i="2" s="1"/>
  <c r="F14" i="2"/>
  <c r="G14" i="2" s="1"/>
  <c r="F19" i="2"/>
  <c r="G19" i="2" s="1"/>
  <c r="F6" i="2"/>
  <c r="G6" i="2" s="1"/>
  <c r="F13" i="2"/>
  <c r="G13" i="2" s="1"/>
  <c r="F9" i="2"/>
  <c r="G9" i="2" s="1"/>
  <c r="F4" i="2"/>
  <c r="F23" i="2"/>
  <c r="G23" i="2" s="1"/>
  <c r="F24" i="2"/>
  <c r="G24" i="2" s="1"/>
  <c r="F8" i="2"/>
  <c r="G8" i="2" s="1"/>
  <c r="F30" i="2"/>
  <c r="G30" i="2" s="1"/>
  <c r="F2" i="2"/>
  <c r="G2" i="2" s="1"/>
  <c r="F32" i="2"/>
  <c r="G32" i="2" s="1"/>
  <c r="F27" i="2"/>
  <c r="G27" i="2" s="1"/>
  <c r="F12" i="2"/>
  <c r="G12" i="2" s="1"/>
  <c r="F21" i="2"/>
  <c r="G21" i="2" s="1"/>
  <c r="F15" i="2"/>
  <c r="G15" i="2" s="1"/>
  <c r="F29" i="2"/>
  <c r="G29" i="2" s="1"/>
  <c r="F31" i="2"/>
  <c r="G31" i="2" s="1"/>
  <c r="BA23" i="2"/>
  <c r="BB27" i="2"/>
  <c r="BA15" i="2"/>
  <c r="L33" i="2"/>
  <c r="AW32" i="2"/>
  <c r="BC21" i="2"/>
  <c r="AW3" i="2"/>
  <c r="BB22" i="2"/>
  <c r="BC29" i="2"/>
  <c r="BA3" i="2"/>
  <c r="BB10" i="2"/>
  <c r="BC14" i="2"/>
  <c r="AW27" i="2"/>
  <c r="AW2" i="2"/>
  <c r="BC15" i="2"/>
  <c r="BA10" i="2"/>
  <c r="BB7" i="2"/>
  <c r="AW16" i="2"/>
  <c r="AW17" i="2"/>
  <c r="BB9" i="2"/>
  <c r="AW29" i="2"/>
  <c r="BB26" i="2"/>
  <c r="BC31" i="2"/>
  <c r="AW8" i="2"/>
  <c r="BB18" i="2"/>
  <c r="BC5" i="2"/>
  <c r="BA20" i="2"/>
  <c r="AW33" i="2"/>
  <c r="BC22" i="2"/>
  <c r="BC25" i="2"/>
  <c r="BC11" i="2"/>
  <c r="BA6" i="2"/>
  <c r="AW12" i="2"/>
  <c r="BB5" i="2"/>
  <c r="BB16" i="2"/>
  <c r="BC30" i="2"/>
  <c r="AW5" i="2"/>
  <c r="BA16" i="2"/>
  <c r="AW25" i="2"/>
  <c r="AW19" i="2"/>
  <c r="BB11" i="2"/>
  <c r="BA12" i="2"/>
  <c r="BC13" i="2"/>
  <c r="BA13" i="2"/>
  <c r="AW21" i="2"/>
  <c r="BB2" i="2"/>
  <c r="BC4" i="2"/>
  <c r="BA2" i="2"/>
  <c r="AW15" i="2"/>
  <c r="BB25" i="2"/>
  <c r="AW26" i="2"/>
  <c r="AW24" i="2"/>
  <c r="BA30" i="2"/>
  <c r="BA27" i="2"/>
  <c r="AW31" i="2"/>
  <c r="BB12" i="2"/>
  <c r="AW20" i="2"/>
  <c r="BA7" i="2"/>
  <c r="BA17" i="2"/>
  <c r="AW9" i="2"/>
  <c r="BA14" i="2"/>
  <c r="BB3" i="2"/>
  <c r="AW23" i="2"/>
  <c r="BB32" i="2"/>
  <c r="BA25" i="2"/>
  <c r="BA24" i="2"/>
  <c r="BC18" i="2"/>
  <c r="BB6" i="2"/>
  <c r="BA21" i="2"/>
  <c r="BB15" i="2"/>
  <c r="BA22" i="2"/>
  <c r="AW10" i="2"/>
  <c r="BB14" i="2"/>
  <c r="BA32" i="2"/>
  <c r="BA29" i="2"/>
  <c r="BC24" i="2"/>
  <c r="BA11" i="2"/>
  <c r="BA8" i="2"/>
  <c r="BC20" i="2"/>
  <c r="AW7" i="2"/>
  <c r="AW13" i="2"/>
  <c r="BA33" i="2"/>
  <c r="BC9" i="2"/>
  <c r="BB30" i="2"/>
  <c r="BC3" i="2"/>
  <c r="BA26" i="2"/>
  <c r="BC19" i="2"/>
  <c r="BC8" i="2"/>
  <c r="BC33" i="2"/>
  <c r="BC17" i="2"/>
  <c r="BA9" i="2"/>
  <c r="AW30" i="2"/>
  <c r="AW4" i="2"/>
  <c r="BA4" i="2"/>
  <c r="AW22" i="2"/>
  <c r="BA19" i="2"/>
  <c r="BA31" i="2"/>
  <c r="BA18" i="2"/>
  <c r="BC6" i="2"/>
  <c r="AW14" i="2"/>
  <c r="BC26" i="2"/>
  <c r="AW6" i="2"/>
  <c r="BA5" i="2"/>
  <c r="BB20" i="2"/>
  <c r="BC7" i="2"/>
  <c r="BB21" i="2"/>
  <c r="BB4" i="2"/>
  <c r="BC2" i="2"/>
  <c r="BB23" i="2"/>
  <c r="BC32" i="2"/>
  <c r="BB24" i="2"/>
  <c r="BC27" i="2"/>
  <c r="BB8" i="2"/>
  <c r="BC12" i="2"/>
  <c r="BB33" i="2"/>
  <c r="BC16" i="2"/>
  <c r="BB19" i="2"/>
  <c r="BB13" i="2"/>
  <c r="AW11" i="2"/>
  <c r="BB29" i="2"/>
  <c r="BB31" i="2"/>
  <c r="AW18" i="2"/>
  <c r="BB17"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1"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72" i="1" l="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6" i="2"/>
  <c r="BJ13" i="2"/>
  <c r="BJ10" i="2"/>
  <c r="BJ33" i="2"/>
  <c r="BJ23" i="2"/>
  <c r="BJ8" i="2"/>
  <c r="BJ28" i="2"/>
  <c r="BJ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N36" i="2"/>
  <c r="BN35" i="2"/>
  <c r="BN37" i="2"/>
  <c r="L37" i="2"/>
  <c r="L36" i="2"/>
  <c r="L35" i="2"/>
  <c r="BO37" i="2"/>
  <c r="BO36" i="2"/>
  <c r="BO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29" i="7"/>
  <c r="AC126" i="1"/>
  <c r="AD189" i="1"/>
  <c r="AC120" i="1"/>
  <c r="AC128" i="1"/>
  <c r="Q4" i="2"/>
  <c r="AC228" i="1"/>
  <c r="AC159" i="1"/>
  <c r="AD78" i="1"/>
  <c r="AC198" i="1"/>
  <c r="AD206" i="1"/>
  <c r="AD182" i="1"/>
  <c r="AC240" i="1"/>
  <c r="AC180" i="1"/>
  <c r="AC141" i="1"/>
  <c r="BH13" i="2"/>
  <c r="BH33" i="2"/>
  <c r="BH8" i="2"/>
  <c r="AD225" i="1"/>
  <c r="AD164" i="1"/>
  <c r="BH17" i="2"/>
  <c r="AD168" i="1"/>
  <c r="AC170" i="1"/>
  <c r="AC156" i="1"/>
  <c r="AA24" i="2"/>
  <c r="AI24" i="2" s="1"/>
  <c r="AC231" i="1"/>
  <c r="BH26" i="2"/>
  <c r="AD239" i="1"/>
  <c r="AC236" i="1"/>
  <c r="AC150" i="1"/>
  <c r="AC122" i="1"/>
  <c r="AT20" i="1"/>
  <c r="AD123" i="1"/>
  <c r="AC102" i="1"/>
  <c r="BH10" i="2"/>
  <c r="BH23" i="2"/>
  <c r="BH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K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8" i="2"/>
  <c r="AG8" i="2" s="1"/>
  <c r="Z25" i="2"/>
  <c r="S8" i="2"/>
  <c r="AI8" i="2" s="1"/>
  <c r="Z5" i="2"/>
  <c r="Q20" i="2"/>
  <c r="S15" i="2"/>
  <c r="BK15" i="2" s="1"/>
  <c r="R9" i="2"/>
  <c r="BK9" i="2" s="1"/>
  <c r="Y25" i="2"/>
  <c r="Q24" i="2"/>
  <c r="S20" i="2"/>
  <c r="BK20" i="2" s="1"/>
  <c r="AA25" i="2"/>
  <c r="AI25" i="2" s="1"/>
  <c r="S29" i="2"/>
  <c r="BK29" i="2" s="1"/>
  <c r="Q29" i="2"/>
  <c r="R5" i="2"/>
  <c r="Y22" i="2"/>
  <c r="S5" i="2"/>
  <c r="S33" i="2"/>
  <c r="AI33" i="2" s="1"/>
  <c r="R33" i="2"/>
  <c r="AG33" i="2" s="1"/>
  <c r="R10" i="2"/>
  <c r="AG10" i="2" s="1"/>
  <c r="R24" i="2"/>
  <c r="BK24" i="2" s="1"/>
  <c r="R11" i="2"/>
  <c r="S32" i="2"/>
  <c r="AI32" i="2" s="1"/>
  <c r="Q32" i="2"/>
  <c r="AA14" i="2"/>
  <c r="S10" i="2"/>
  <c r="AI10" i="2" s="1"/>
  <c r="AA20" i="2"/>
  <c r="R25" i="2"/>
  <c r="BK25" i="2" s="1"/>
  <c r="Z27" i="2"/>
  <c r="BJ27" i="2" s="1"/>
  <c r="AA9" i="2"/>
  <c r="AI9" i="2" s="1"/>
  <c r="Y9" i="2"/>
  <c r="R14" i="2"/>
  <c r="S14" i="2"/>
  <c r="Z9" i="2"/>
  <c r="Y18" i="2"/>
  <c r="AF21" i="2"/>
  <c r="S31" i="2"/>
  <c r="S3" i="2"/>
  <c r="Y7" i="2"/>
  <c r="R31" i="2"/>
  <c r="Q31" i="2"/>
  <c r="BO53" i="5"/>
  <c r="R3" i="2"/>
  <c r="CF6" i="2"/>
  <c r="CF5" i="2"/>
  <c r="AD27" i="2"/>
  <c r="AH8" i="2"/>
  <c r="AH7" i="2"/>
  <c r="Y20" i="2"/>
  <c r="Z14" i="2"/>
  <c r="BO46" i="5"/>
  <c r="AH28" i="2"/>
  <c r="Y30" i="2"/>
  <c r="Z18" i="2"/>
  <c r="AG18" i="2" s="1"/>
  <c r="S27" i="2"/>
  <c r="AI27" i="2" s="1"/>
  <c r="Q25" i="2"/>
  <c r="Z20" i="2"/>
  <c r="Z22" i="2"/>
  <c r="AA22" i="2"/>
  <c r="S22" i="2"/>
  <c r="Q19" i="2"/>
  <c r="AA7" i="2"/>
  <c r="R22" i="2"/>
  <c r="AA18" i="2"/>
  <c r="Q15" i="2"/>
  <c r="S19" i="2"/>
  <c r="BK19" i="2" s="1"/>
  <c r="R27" i="2"/>
  <c r="Q11" i="2"/>
  <c r="AA30" i="2"/>
  <c r="Q22" i="2"/>
  <c r="AD15" i="2"/>
  <c r="Y14" i="2"/>
  <c r="AE14" i="2" s="1"/>
  <c r="Y27" i="2"/>
  <c r="AE27" i="2" s="1"/>
  <c r="Z7" i="2"/>
  <c r="S6" i="2"/>
  <c r="Z30" i="2"/>
  <c r="BO14" i="5"/>
  <c r="Q6" i="2"/>
  <c r="S11" i="2"/>
  <c r="BO11" i="5"/>
  <c r="AA3" i="2"/>
  <c r="BO8" i="5"/>
  <c r="BZ3" i="2"/>
  <c r="BZ12" i="2" s="1"/>
  <c r="BO60" i="5"/>
  <c r="BO17" i="5"/>
  <c r="BO3" i="5"/>
  <c r="BO50" i="5"/>
  <c r="BO19" i="5"/>
  <c r="BO33" i="5"/>
  <c r="BO24" i="5"/>
  <c r="AF9" i="2"/>
  <c r="BO10" i="5"/>
  <c r="Z2" i="2"/>
  <c r="Q13" i="2"/>
  <c r="AE13"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1" i="2"/>
  <c r="AG21" i="2" s="1"/>
  <c r="Z19" i="2"/>
  <c r="AG19" i="2" s="1"/>
  <c r="Y21" i="2"/>
  <c r="Y19" i="2"/>
  <c r="Y3" i="2"/>
  <c r="AE3" i="2" s="1"/>
  <c r="AA4" i="2"/>
  <c r="BJ4" i="2" s="1"/>
  <c r="AA19" i="2"/>
  <c r="Y4" i="2"/>
  <c r="Q2" i="2"/>
  <c r="Q18" i="2"/>
  <c r="R6" i="2"/>
  <c r="AA21" i="2"/>
  <c r="S12" i="2"/>
  <c r="BK12" i="2" s="1"/>
  <c r="BO42" i="5"/>
  <c r="S18" i="2"/>
  <c r="BK18" i="2" s="1"/>
  <c r="Q12" i="2"/>
  <c r="Z3" i="2"/>
  <c r="R2" i="2"/>
  <c r="BK2" i="2" s="1"/>
  <c r="BO21" i="5"/>
  <c r="S23" i="2"/>
  <c r="AI23" i="2" s="1"/>
  <c r="AH16" i="2"/>
  <c r="AF26" i="2"/>
  <c r="AH24" i="2"/>
  <c r="AD11" i="2"/>
  <c r="AH20" i="2"/>
  <c r="AH6" i="2"/>
  <c r="AF16" i="2"/>
  <c r="AB30" i="2"/>
  <c r="AB2" i="2"/>
  <c r="AB33" i="2"/>
  <c r="AF8" i="2"/>
  <c r="AH30" i="2"/>
  <c r="AH2" i="2"/>
  <c r="AF30" i="2"/>
  <c r="AB24" i="2"/>
  <c r="AD18" i="2"/>
  <c r="AD14" i="2"/>
  <c r="AH13" i="2"/>
  <c r="AH17" i="2"/>
  <c r="AD31" i="2"/>
  <c r="AB11" i="2"/>
  <c r="AB21" i="2"/>
  <c r="AB12" i="2"/>
  <c r="AD33" i="2"/>
  <c r="AD13" i="2"/>
  <c r="AH22" i="2"/>
  <c r="AE10" i="2"/>
  <c r="AD4" i="2"/>
  <c r="AH15" i="2"/>
  <c r="AD25" i="2"/>
  <c r="AF23" i="2"/>
  <c r="AF6" i="2"/>
  <c r="AD19" i="2"/>
  <c r="AH9" i="2"/>
  <c r="AB28" i="2"/>
  <c r="AD24" i="2"/>
  <c r="AB16" i="2"/>
  <c r="AH4" i="2"/>
  <c r="AF31" i="2"/>
  <c r="AD7" i="2"/>
  <c r="AD26" i="2"/>
  <c r="AD22" i="2"/>
  <c r="AH25" i="2"/>
  <c r="AE8" i="2"/>
  <c r="AD20" i="2"/>
  <c r="AH29" i="2"/>
  <c r="AD17" i="2"/>
  <c r="AB27" i="2"/>
  <c r="AB18" i="2"/>
  <c r="AD30" i="2"/>
  <c r="AD10" i="2"/>
  <c r="AH21" i="2"/>
  <c r="AH19" i="2"/>
  <c r="AD8" i="2"/>
  <c r="AD21" i="2"/>
  <c r="AE33" i="2"/>
  <c r="AB22" i="2"/>
  <c r="AF14" i="2"/>
  <c r="AH23" i="2"/>
  <c r="AH12" i="2"/>
  <c r="AF33" i="2"/>
  <c r="AB26" i="2"/>
  <c r="AH14" i="2"/>
  <c r="AD12" i="2"/>
  <c r="AD6" i="2"/>
  <c r="AF22" i="2"/>
  <c r="AH32" i="2"/>
  <c r="AD23" i="2"/>
  <c r="AD29" i="2"/>
  <c r="AB19" i="2"/>
  <c r="AH31" i="2"/>
  <c r="AH11" i="2"/>
  <c r="AB7" i="2"/>
  <c r="AH18" i="2"/>
  <c r="AD2" i="2"/>
  <c r="AF18" i="2"/>
  <c r="AH27" i="2"/>
  <c r="AB4" i="2"/>
  <c r="AB13" i="2"/>
  <c r="AB25" i="2"/>
  <c r="AB15" i="2"/>
  <c r="AF13" i="2"/>
  <c r="AH33" i="2"/>
  <c r="AH3" i="2"/>
  <c r="AB32" i="2"/>
  <c r="AB5" i="2"/>
  <c r="AB3" i="2"/>
  <c r="AF32" i="2"/>
  <c r="AF20" i="2"/>
  <c r="AH10" i="2"/>
  <c r="AB6" i="2"/>
  <c r="AD28" i="2"/>
  <c r="AF25" i="2"/>
  <c r="AF11" i="2"/>
  <c r="AF19" i="2"/>
  <c r="AB29" i="2"/>
  <c r="AB31" i="2"/>
  <c r="AF28" i="2"/>
  <c r="AD16" i="2"/>
  <c r="AF29" i="2"/>
  <c r="AD32" i="2"/>
  <c r="AF24" i="2"/>
  <c r="AF5" i="2"/>
  <c r="AF17" i="2"/>
  <c r="AB9" i="2"/>
  <c r="AB10" i="2"/>
  <c r="AB14" i="2"/>
  <c r="AB23" i="2"/>
  <c r="AD9" i="2"/>
  <c r="AF12" i="2"/>
  <c r="AF10" i="2"/>
  <c r="AF15" i="2"/>
  <c r="AD5" i="2"/>
  <c r="AG4" i="2"/>
  <c r="AF27" i="2"/>
  <c r="AB8" i="2"/>
  <c r="AB20" i="2"/>
  <c r="AB17" i="2"/>
  <c r="AI13" i="2"/>
  <c r="AF4" i="2"/>
  <c r="AF2" i="2"/>
  <c r="AF7" i="2"/>
  <c r="AH5" i="2"/>
  <c r="AF3" i="2"/>
  <c r="AD3" i="2"/>
  <c r="Z6" i="2"/>
  <c r="R17" i="2"/>
  <c r="AG17" i="2" s="1"/>
  <c r="BR14" i="2"/>
  <c r="J11" i="2"/>
  <c r="BG11" i="2" s="1"/>
  <c r="G11" i="2"/>
  <c r="J20" i="2"/>
  <c r="BG20" i="2" s="1"/>
  <c r="G20" i="2"/>
  <c r="J27" i="2"/>
  <c r="BG27" i="2" s="1"/>
  <c r="BR26" i="2"/>
  <c r="J26" i="2"/>
  <c r="E26" i="2" s="1"/>
  <c r="BP19" i="2"/>
  <c r="X26" i="2"/>
  <c r="BR19" i="2"/>
  <c r="BR8" i="2"/>
  <c r="J10" i="2"/>
  <c r="BG10" i="2" s="1"/>
  <c r="X10" i="2"/>
  <c r="X20" i="2"/>
  <c r="X6" i="2"/>
  <c r="BP8" i="2"/>
  <c r="J13" i="2"/>
  <c r="E13" i="2" s="1"/>
  <c r="BP6" i="2"/>
  <c r="BR6" i="2"/>
  <c r="X12" i="2"/>
  <c r="BP31" i="2"/>
  <c r="AA11" i="2"/>
  <c r="Z11" i="2"/>
  <c r="X25" i="2"/>
  <c r="X32" i="2"/>
  <c r="S7" i="2"/>
  <c r="AA31" i="2"/>
  <c r="BR7" i="2"/>
  <c r="BQ14" i="2"/>
  <c r="Z29" i="2"/>
  <c r="AG29" i="2" s="1"/>
  <c r="AA29" i="2"/>
  <c r="AA2" i="2"/>
  <c r="BR15" i="2"/>
  <c r="X15" i="2"/>
  <c r="BQ5" i="2"/>
  <c r="X17" i="2"/>
  <c r="BP5" i="2"/>
  <c r="BR17" i="2"/>
  <c r="BR32" i="2"/>
  <c r="BR31" i="2"/>
  <c r="X11" i="2"/>
  <c r="X3" i="2"/>
  <c r="S21" i="2"/>
  <c r="BK21" i="2" s="1"/>
  <c r="X23" i="2"/>
  <c r="BR33" i="2"/>
  <c r="BR21" i="2"/>
  <c r="BR5" i="2"/>
  <c r="X30" i="2"/>
  <c r="BR24" i="2"/>
  <c r="BR30" i="2"/>
  <c r="BR11" i="2"/>
  <c r="X21" i="2"/>
  <c r="J8" i="2"/>
  <c r="E8" i="2" s="1"/>
  <c r="X14" i="2"/>
  <c r="X31" i="2"/>
  <c r="BP3" i="2"/>
  <c r="BR3" i="2"/>
  <c r="BQ6" i="2"/>
  <c r="BP25" i="2"/>
  <c r="BP33" i="2"/>
  <c r="BQ33" i="2"/>
  <c r="BP15" i="2"/>
  <c r="BP24" i="2"/>
  <c r="BP32" i="2"/>
  <c r="X9" i="2"/>
  <c r="BR25" i="2"/>
  <c r="BP11" i="2"/>
  <c r="X33" i="2"/>
  <c r="X19" i="2"/>
  <c r="BQ21" i="2"/>
  <c r="BR23" i="2"/>
  <c r="BR29" i="2"/>
  <c r="BR10" i="2"/>
  <c r="BP10" i="2"/>
  <c r="BP13" i="2"/>
  <c r="X24" i="2"/>
  <c r="BR27" i="2"/>
  <c r="X27" i="2"/>
  <c r="BR20" i="2"/>
  <c r="BR18" i="2"/>
  <c r="J29" i="2"/>
  <c r="E29" i="2" s="1"/>
  <c r="X16" i="2"/>
  <c r="BP21" i="2"/>
  <c r="Q21" i="2"/>
  <c r="S17" i="2"/>
  <c r="Y6" i="2"/>
  <c r="Q17" i="2"/>
  <c r="AE17" i="2" s="1"/>
  <c r="Y5" i="2"/>
  <c r="AE5" i="2" s="1"/>
  <c r="R30" i="2"/>
  <c r="Y11" i="2"/>
  <c r="Q30" i="2"/>
  <c r="Y2" i="2"/>
  <c r="S26" i="2"/>
  <c r="AI26" i="2" s="1"/>
  <c r="Q26" i="2"/>
  <c r="AE26" i="2" s="1"/>
  <c r="AA16" i="2"/>
  <c r="Y16" i="2"/>
  <c r="Z16" i="2"/>
  <c r="R23" i="2"/>
  <c r="Y29" i="2"/>
  <c r="Q23" i="2"/>
  <c r="AE23" i="2" s="1"/>
  <c r="AA5" i="2"/>
  <c r="Q16" i="2"/>
  <c r="Y15" i="2"/>
  <c r="S16" i="2"/>
  <c r="Z32" i="2"/>
  <c r="BJ32" i="2" s="1"/>
  <c r="Q28" i="2"/>
  <c r="AE28" i="2" s="1"/>
  <c r="AA12" i="2"/>
  <c r="Y12" i="2"/>
  <c r="Z12" i="2"/>
  <c r="AG12" i="2" s="1"/>
  <c r="BP14" i="2"/>
  <c r="P23" i="2"/>
  <c r="BP30" i="2"/>
  <c r="Z31" i="2"/>
  <c r="Q7" i="2"/>
  <c r="R7" i="2"/>
  <c r="Y31" i="2"/>
  <c r="BP18" i="2"/>
  <c r="X22" i="2"/>
  <c r="Y32" i="2"/>
  <c r="BR22" i="2"/>
  <c r="S30" i="2"/>
  <c r="J5" i="2"/>
  <c r="X5" i="2"/>
  <c r="J4" i="2"/>
  <c r="X2" i="2"/>
  <c r="BR2" i="2"/>
  <c r="X4" i="2"/>
  <c r="P5" i="2"/>
  <c r="BQ26" i="2"/>
  <c r="BR4" i="2"/>
  <c r="P20" i="2"/>
  <c r="X29" i="2"/>
  <c r="P3" i="2"/>
  <c r="X8" i="2"/>
  <c r="P15" i="2"/>
  <c r="P30" i="2"/>
  <c r="P25" i="2"/>
  <c r="X13" i="2"/>
  <c r="P12" i="2"/>
  <c r="P18" i="2"/>
  <c r="X18" i="2"/>
  <c r="P22" i="2"/>
  <c r="P32" i="2"/>
  <c r="BP29" i="2"/>
  <c r="BP26" i="2"/>
  <c r="BP2" i="2"/>
  <c r="BP23" i="2"/>
  <c r="BP4" i="2"/>
  <c r="BP16" i="2"/>
  <c r="BR13" i="2"/>
  <c r="BQ20" i="2"/>
  <c r="BP12" i="2"/>
  <c r="BP27" i="2"/>
  <c r="BP17" i="2"/>
  <c r="BQ24" i="2"/>
  <c r="BQ19" i="2"/>
  <c r="BP20" i="2"/>
  <c r="BQ9" i="2"/>
  <c r="BP9" i="2"/>
  <c r="BP22" i="2"/>
  <c r="BQ31" i="2"/>
  <c r="BQ17" i="2"/>
  <c r="BQ7" i="2"/>
  <c r="BP7" i="2"/>
  <c r="BR9" i="2"/>
  <c r="Z15" i="2"/>
  <c r="AG15" i="2" s="1"/>
  <c r="AA15" i="2"/>
  <c r="R16" i="2"/>
  <c r="X7" i="2"/>
  <c r="R26" i="2"/>
  <c r="AG26" i="2" s="1"/>
  <c r="P2" i="2"/>
  <c r="BR12" i="2"/>
  <c r="J25" i="2"/>
  <c r="E25" i="2" s="1"/>
  <c r="AA6" i="2"/>
  <c r="BQ23" i="2"/>
  <c r="J6" i="2"/>
  <c r="E6" i="2" s="1"/>
  <c r="P17" i="2"/>
  <c r="BR16" i="2"/>
  <c r="BQ10" i="2"/>
  <c r="P10" i="2"/>
  <c r="J22" i="2"/>
  <c r="E22" i="2" s="1"/>
  <c r="BQ22" i="2"/>
  <c r="BQ3" i="2"/>
  <c r="J9" i="2"/>
  <c r="E9" i="2" s="1"/>
  <c r="P9" i="2"/>
  <c r="BQ27" i="2"/>
  <c r="P27" i="2"/>
  <c r="J17" i="2"/>
  <c r="E17" i="2" s="1"/>
  <c r="J14" i="2"/>
  <c r="E14" i="2" s="1"/>
  <c r="J30" i="2"/>
  <c r="E30" i="2" s="1"/>
  <c r="BQ8" i="2"/>
  <c r="J31" i="2"/>
  <c r="E31" i="2" s="1"/>
  <c r="P31" i="2"/>
  <c r="P26" i="2"/>
  <c r="BQ18" i="2"/>
  <c r="BQ30" i="2"/>
  <c r="J21" i="2"/>
  <c r="E21" i="2" s="1"/>
  <c r="J12" i="2"/>
  <c r="E12" i="2" s="1"/>
  <c r="J3" i="2"/>
  <c r="E3" i="2" s="1"/>
  <c r="P14" i="2"/>
  <c r="P8" i="2"/>
  <c r="BQ25" i="2"/>
  <c r="J16" i="2"/>
  <c r="BQ2" i="2"/>
  <c r="J15" i="2"/>
  <c r="E15" i="2" s="1"/>
  <c r="P21" i="2"/>
  <c r="BQ11" i="2"/>
  <c r="P29" i="2"/>
  <c r="J7" i="2"/>
  <c r="E7" i="2" s="1"/>
  <c r="J2" i="2"/>
  <c r="E2" i="2" s="1"/>
  <c r="J18" i="2"/>
  <c r="E18" i="2" s="1"/>
  <c r="P7" i="2"/>
  <c r="J32" i="2"/>
  <c r="E32" i="2" s="1"/>
  <c r="J33" i="2"/>
  <c r="E33" i="2" s="1"/>
  <c r="J24" i="2"/>
  <c r="E24" i="2" s="1"/>
  <c r="BQ29" i="2"/>
  <c r="P6" i="2"/>
  <c r="BQ32" i="2"/>
  <c r="P11" i="2"/>
  <c r="J23" i="2"/>
  <c r="E23" i="2" s="1"/>
  <c r="P19" i="2"/>
  <c r="P24" i="2"/>
  <c r="P4" i="2"/>
  <c r="P13" i="2"/>
  <c r="BQ13" i="2"/>
  <c r="J19" i="2"/>
  <c r="E19" i="2" s="1"/>
  <c r="BQ12" i="2"/>
  <c r="BQ4" i="2"/>
  <c r="P16" i="2"/>
  <c r="BQ15" i="2"/>
  <c r="BQ16" i="2"/>
  <c r="P33" i="2"/>
  <c r="BD11" i="2"/>
  <c r="BD12" i="2"/>
  <c r="BD2" i="2"/>
  <c r="BD5" i="2"/>
  <c r="BD22" i="2"/>
  <c r="BD29" i="2"/>
  <c r="BD7" i="2"/>
  <c r="BD30" i="2"/>
  <c r="BD14" i="2"/>
  <c r="BD27" i="2"/>
  <c r="BD23" i="2"/>
  <c r="BD21" i="2"/>
  <c r="BD9" i="2"/>
  <c r="BD17" i="2"/>
  <c r="BD10" i="2"/>
  <c r="BD13" i="2"/>
  <c r="BD25" i="2"/>
  <c r="BD19" i="2"/>
  <c r="BD24" i="2"/>
  <c r="BD26" i="2"/>
  <c r="BD6" i="2"/>
  <c r="BD32" i="2"/>
  <c r="BD8" i="2"/>
  <c r="BD4" i="2"/>
  <c r="BD20" i="2"/>
  <c r="BD18" i="2"/>
  <c r="BD31" i="2"/>
  <c r="BD15" i="2"/>
  <c r="BD16" i="2"/>
  <c r="BD33" i="2"/>
  <c r="BD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10" i="2" l="1"/>
  <c r="AJ26" i="2"/>
  <c r="AJ8" i="2"/>
  <c r="AJ13" i="2"/>
  <c r="AJ33"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K16" i="2"/>
  <c r="BJ11" i="2"/>
  <c r="BJ7" i="2"/>
  <c r="BK7" i="2"/>
  <c r="BJ14" i="2"/>
  <c r="BJ9" i="2"/>
  <c r="BJ20" i="2"/>
  <c r="BK6" i="2"/>
  <c r="BJ3" i="2"/>
  <c r="BK27" i="2"/>
  <c r="BJ22" i="2"/>
  <c r="BJ24" i="2"/>
  <c r="BK23" i="2"/>
  <c r="BK31" i="2"/>
  <c r="BJ31" i="2"/>
  <c r="BJ16" i="2"/>
  <c r="BK11" i="2"/>
  <c r="BJ5" i="2"/>
  <c r="BJ6" i="2"/>
  <c r="BJ25" i="2"/>
  <c r="BK14" i="2"/>
  <c r="BK30" i="2"/>
  <c r="BK22" i="2"/>
  <c r="BK5" i="2"/>
  <c r="BJ2" i="2"/>
  <c r="BJ30" i="2"/>
  <c r="BK3" i="2"/>
  <c r="BK32" i="2"/>
  <c r="BJ19" i="2"/>
  <c r="BK26" i="2"/>
  <c r="BK28" i="2"/>
  <c r="BJ21" i="2"/>
  <c r="BK17" i="2"/>
  <c r="BJ18" i="2"/>
  <c r="BJ12" i="2"/>
  <c r="BJ15" i="2"/>
  <c r="BK13" i="2"/>
  <c r="BK8" i="2"/>
  <c r="BK10"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I4" i="2"/>
  <c r="AL24" i="2"/>
  <c r="BH24" i="2"/>
  <c r="BI27" i="2"/>
  <c r="BH2" i="2"/>
  <c r="BH29" i="2"/>
  <c r="BI24" i="2"/>
  <c r="BI15" i="2"/>
  <c r="BI2" i="2"/>
  <c r="BH21" i="2"/>
  <c r="BH30" i="2"/>
  <c r="BI31" i="2"/>
  <c r="BH32" i="2"/>
  <c r="BI12" i="2"/>
  <c r="BI18" i="2"/>
  <c r="BH19" i="2"/>
  <c r="BI6" i="2"/>
  <c r="BI32" i="2"/>
  <c r="BI20" i="2"/>
  <c r="BH7" i="2"/>
  <c r="BI21" i="2"/>
  <c r="BI3" i="2"/>
  <c r="BI9" i="2"/>
  <c r="BH31" i="2"/>
  <c r="BI5" i="2"/>
  <c r="BH18" i="2"/>
  <c r="BH22" i="2"/>
  <c r="BH15" i="2"/>
  <c r="BI30" i="2"/>
  <c r="BI11" i="2"/>
  <c r="BI25" i="2"/>
  <c r="BI14" i="2"/>
  <c r="BI29" i="2"/>
  <c r="BH6" i="2"/>
  <c r="BH25" i="2"/>
  <c r="BI7" i="2"/>
  <c r="BH12" i="2"/>
  <c r="BI16" i="2"/>
  <c r="BH16" i="2"/>
  <c r="BH11" i="2"/>
  <c r="BI19" i="2"/>
  <c r="BH20" i="2"/>
  <c r="BH9" i="2"/>
  <c r="BI22" i="2"/>
  <c r="BI23" i="2"/>
  <c r="BI17" i="2"/>
  <c r="BH4" i="2"/>
  <c r="BH5" i="2"/>
  <c r="BI26" i="2"/>
  <c r="BH3" i="2"/>
  <c r="BI8" i="2"/>
  <c r="BI28" i="2"/>
  <c r="BI13" i="2"/>
  <c r="BI10" i="2"/>
  <c r="BH27" i="2"/>
  <c r="BH14" i="2"/>
  <c r="BI33" i="2"/>
  <c r="AT9" i="1"/>
  <c r="AT10" i="1" s="1"/>
  <c r="AL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8" i="2"/>
  <c r="AE9" i="2"/>
  <c r="AG5" i="2"/>
  <c r="AL8" i="2"/>
  <c r="AE25" i="2"/>
  <c r="AK24" i="2"/>
  <c r="AE20" i="2"/>
  <c r="AG25" i="2"/>
  <c r="AJ25" i="2" s="1"/>
  <c r="AE22" i="2"/>
  <c r="AL10" i="2"/>
  <c r="AG9" i="2"/>
  <c r="AJ9" i="2" s="1"/>
  <c r="AE29" i="2"/>
  <c r="AK10" i="2"/>
  <c r="AI15" i="2"/>
  <c r="AJ15" i="2" s="1"/>
  <c r="AI29" i="2"/>
  <c r="AJ29" i="2" s="1"/>
  <c r="AL33" i="2"/>
  <c r="AE24" i="2"/>
  <c r="AK5" i="2"/>
  <c r="AL32" i="2"/>
  <c r="AK20" i="2"/>
  <c r="AI20" i="2"/>
  <c r="AK33" i="2"/>
  <c r="AG24" i="2"/>
  <c r="AJ24" i="2" s="1"/>
  <c r="AG11" i="2"/>
  <c r="AE32" i="2"/>
  <c r="AK25" i="2"/>
  <c r="AK9" i="2"/>
  <c r="AL9" i="2"/>
  <c r="AL25" i="2"/>
  <c r="AI14" i="2"/>
  <c r="BP47" i="5"/>
  <c r="BQ47" i="5" s="1"/>
  <c r="BP13" i="5"/>
  <c r="BQ13" i="5" s="1"/>
  <c r="AK14" i="2"/>
  <c r="BP45" i="5"/>
  <c r="BQ45" i="5" s="1"/>
  <c r="BP53" i="5"/>
  <c r="BQ53" i="5" s="1"/>
  <c r="AE31" i="2"/>
  <c r="AE7" i="2"/>
  <c r="AI3" i="2"/>
  <c r="AI31" i="2"/>
  <c r="AS10" i="2"/>
  <c r="AS33" i="2"/>
  <c r="AS8" i="2"/>
  <c r="AS13" i="2"/>
  <c r="AS26" i="2"/>
  <c r="AS28" i="2"/>
  <c r="AG31" i="2"/>
  <c r="AE18" i="2"/>
  <c r="AL27" i="2"/>
  <c r="BP61" i="5"/>
  <c r="BQ61" i="5" s="1"/>
  <c r="BP7" i="5"/>
  <c r="BQ7" i="5" s="1"/>
  <c r="BP19" i="5"/>
  <c r="BQ19" i="5" s="1"/>
  <c r="BP35" i="5"/>
  <c r="BQ35" i="5" s="1"/>
  <c r="BP33" i="5"/>
  <c r="BQ33" i="5" s="1"/>
  <c r="BP29" i="5"/>
  <c r="BQ29" i="5" s="1"/>
  <c r="AK13" i="2"/>
  <c r="BP15" i="5"/>
  <c r="BQ15" i="5" s="1"/>
  <c r="BP59" i="5"/>
  <c r="BQ59" i="5" s="1"/>
  <c r="AL14" i="2"/>
  <c r="BP57" i="5"/>
  <c r="BQ57" i="5" s="1"/>
  <c r="AG7" i="2"/>
  <c r="AE11" i="2"/>
  <c r="AI4" i="2"/>
  <c r="AJ4" i="2" s="1"/>
  <c r="BP21" i="5"/>
  <c r="BQ21" i="5" s="1"/>
  <c r="E16" i="2"/>
  <c r="CF2" i="2"/>
  <c r="CG5" i="2" s="1"/>
  <c r="AK4" i="2"/>
  <c r="AG14" i="2"/>
  <c r="AC12" i="2"/>
  <c r="BL12" i="2" s="1"/>
  <c r="AI30" i="2"/>
  <c r="AG20" i="2"/>
  <c r="AL20" i="2"/>
  <c r="AG2" i="2"/>
  <c r="AL3" i="2"/>
  <c r="AI12" i="2"/>
  <c r="AJ12" i="2" s="1"/>
  <c r="CH5" i="2"/>
  <c r="CH6" i="2"/>
  <c r="AE15" i="2"/>
  <c r="AE30" i="2"/>
  <c r="CF3" i="2"/>
  <c r="CH3" i="2" s="1"/>
  <c r="AL13" i="2"/>
  <c r="AI22" i="2"/>
  <c r="AE6" i="2"/>
  <c r="AI19" i="2"/>
  <c r="AJ19" i="2" s="1"/>
  <c r="AE12" i="2"/>
  <c r="AK18" i="2"/>
  <c r="AK22" i="2"/>
  <c r="AG22" i="2"/>
  <c r="AJ22" i="2" s="1"/>
  <c r="AL22" i="2"/>
  <c r="AK19" i="2"/>
  <c r="AG30" i="2"/>
  <c r="AL19" i="2"/>
  <c r="AI18" i="2"/>
  <c r="AJ18" i="2" s="1"/>
  <c r="BP27" i="5"/>
  <c r="BQ27" i="5" s="1"/>
  <c r="BP3" i="5"/>
  <c r="BQ3" i="5" s="1"/>
  <c r="BP11" i="5"/>
  <c r="BQ11" i="5" s="1"/>
  <c r="BP25" i="5"/>
  <c r="BQ25" i="5" s="1"/>
  <c r="AC22" i="2"/>
  <c r="BL22" i="2" s="1"/>
  <c r="AE21" i="2"/>
  <c r="AE2" i="2"/>
  <c r="AK3" i="2"/>
  <c r="AK27" i="2"/>
  <c r="AG27" i="2"/>
  <c r="AS27" i="2" s="1"/>
  <c r="BZ8" i="2"/>
  <c r="BZ7" i="2"/>
  <c r="AE19" i="2"/>
  <c r="AI11"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K2" i="2"/>
  <c r="BP43" i="5"/>
  <c r="BQ43" i="5" s="1"/>
  <c r="BP49" i="5"/>
  <c r="BQ49" i="5" s="1"/>
  <c r="AG3" i="2"/>
  <c r="BP39" i="5"/>
  <c r="BQ39" i="5" s="1"/>
  <c r="AL18" i="2"/>
  <c r="E5" i="2"/>
  <c r="BG9" i="2"/>
  <c r="BG5" i="2"/>
  <c r="BG17" i="2"/>
  <c r="BG25" i="2"/>
  <c r="BG2" i="2"/>
  <c r="BG26" i="2"/>
  <c r="BG18" i="2"/>
  <c r="BG7" i="2"/>
  <c r="BG12" i="2"/>
  <c r="BG32" i="2"/>
  <c r="BG15" i="2"/>
  <c r="BG14" i="2"/>
  <c r="BG16" i="2"/>
  <c r="BG3" i="2"/>
  <c r="BG21" i="2"/>
  <c r="BG13" i="2"/>
  <c r="BG23" i="2"/>
  <c r="BG6" i="2"/>
  <c r="BG24" i="2"/>
  <c r="BG30" i="2"/>
  <c r="BG33" i="2"/>
  <c r="BG4" i="2"/>
  <c r="BG22" i="2"/>
  <c r="BG19" i="2"/>
  <c r="BG29" i="2"/>
  <c r="BG31" i="2"/>
  <c r="BG8" i="2"/>
  <c r="K11" i="2"/>
  <c r="E11" i="2"/>
  <c r="BE10" i="2"/>
  <c r="E10" i="2"/>
  <c r="K27" i="2"/>
  <c r="E27" i="2"/>
  <c r="K20" i="2"/>
  <c r="E20" i="2"/>
  <c r="BF20" i="2"/>
  <c r="AC27" i="2"/>
  <c r="BL27" i="2" s="1"/>
  <c r="BE11" i="2"/>
  <c r="BF11" i="2"/>
  <c r="AC16" i="2"/>
  <c r="BL16" i="2" s="1"/>
  <c r="AC19" i="2"/>
  <c r="BL19" i="2" s="1"/>
  <c r="AE16" i="2"/>
  <c r="AC33" i="2"/>
  <c r="BL33" i="2" s="1"/>
  <c r="AC31" i="2"/>
  <c r="BL31" i="2" s="1"/>
  <c r="AC24" i="2"/>
  <c r="BL24" i="2" s="1"/>
  <c r="AK6" i="2"/>
  <c r="AC20" i="2"/>
  <c r="BL20" i="2" s="1"/>
  <c r="AC5" i="2"/>
  <c r="BL5" i="2" s="1"/>
  <c r="AC15" i="2"/>
  <c r="BL15" i="2" s="1"/>
  <c r="AG16" i="2"/>
  <c r="AC25" i="2"/>
  <c r="BL25" i="2" s="1"/>
  <c r="AC10" i="2"/>
  <c r="BL10" i="2" s="1"/>
  <c r="AC29" i="2"/>
  <c r="BL29" i="2" s="1"/>
  <c r="AC9" i="2"/>
  <c r="BL9" i="2" s="1"/>
  <c r="AC3" i="2"/>
  <c r="BL3" i="2" s="1"/>
  <c r="AC11" i="2"/>
  <c r="BL11" i="2" s="1"/>
  <c r="AC8" i="2"/>
  <c r="BL8" i="2" s="1"/>
  <c r="AC13" i="2"/>
  <c r="BL13" i="2" s="1"/>
  <c r="AC7" i="2"/>
  <c r="BL7" i="2" s="1"/>
  <c r="AC14" i="2"/>
  <c r="BL14" i="2" s="1"/>
  <c r="AC17" i="2"/>
  <c r="BL17" i="2" s="1"/>
  <c r="AC32" i="2"/>
  <c r="BL32" i="2" s="1"/>
  <c r="AC30" i="2"/>
  <c r="BL30" i="2" s="1"/>
  <c r="AC21" i="2"/>
  <c r="BL21" i="2" s="1"/>
  <c r="AC26" i="2"/>
  <c r="BL26" i="2" s="1"/>
  <c r="AC6" i="2"/>
  <c r="BL6" i="2" s="1"/>
  <c r="AC23" i="2"/>
  <c r="BL23" i="2" s="1"/>
  <c r="AI16" i="2"/>
  <c r="AL23" i="2"/>
  <c r="AG23" i="2"/>
  <c r="AS23" i="2" s="1"/>
  <c r="AI5" i="2"/>
  <c r="AK17" i="2"/>
  <c r="AI17" i="2"/>
  <c r="AS17" i="2" s="1"/>
  <c r="AC18" i="2"/>
  <c r="BL18" i="2" s="1"/>
  <c r="AK21" i="2"/>
  <c r="AI21" i="2"/>
  <c r="AJ21" i="2" s="1"/>
  <c r="AI2" i="2"/>
  <c r="AC2" i="2"/>
  <c r="BL2" i="2" s="1"/>
  <c r="AI6" i="2"/>
  <c r="AC4" i="2"/>
  <c r="BL4" i="2" s="1"/>
  <c r="AG32" i="2"/>
  <c r="AJ32" i="2" s="1"/>
  <c r="BE20" i="2"/>
  <c r="BS26" i="2"/>
  <c r="BS14" i="2"/>
  <c r="BF27" i="2"/>
  <c r="BE27" i="2"/>
  <c r="BE30" i="2"/>
  <c r="K30" i="2"/>
  <c r="BE9" i="2"/>
  <c r="K9" i="2"/>
  <c r="BF18" i="2"/>
  <c r="K18" i="2"/>
  <c r="BF15" i="2"/>
  <c r="K15" i="2"/>
  <c r="BF14" i="2"/>
  <c r="K14" i="2"/>
  <c r="BE4" i="2"/>
  <c r="K4" i="2"/>
  <c r="BE32" i="2"/>
  <c r="K32" i="2"/>
  <c r="BE25" i="2"/>
  <c r="K25" i="2"/>
  <c r="BE26" i="2"/>
  <c r="K26" i="2"/>
  <c r="BF26" i="2"/>
  <c r="BE19" i="2"/>
  <c r="K19" i="2"/>
  <c r="BF24" i="2"/>
  <c r="K24" i="2"/>
  <c r="BE7" i="2"/>
  <c r="K7" i="2"/>
  <c r="BF12" i="2"/>
  <c r="K12" i="2"/>
  <c r="BE31" i="2"/>
  <c r="K31" i="2"/>
  <c r="BF22" i="2"/>
  <c r="K22" i="2"/>
  <c r="BF5" i="2"/>
  <c r="K5" i="2"/>
  <c r="BF8" i="2"/>
  <c r="K8" i="2"/>
  <c r="BF10" i="2"/>
  <c r="K10" i="2"/>
  <c r="BF2" i="2"/>
  <c r="K2" i="2"/>
  <c r="BE3" i="2"/>
  <c r="K3" i="2"/>
  <c r="BF17" i="2"/>
  <c r="K17" i="2"/>
  <c r="BF6" i="2"/>
  <c r="K6" i="2"/>
  <c r="BF23" i="2"/>
  <c r="K23" i="2"/>
  <c r="BE33" i="2"/>
  <c r="K33" i="2"/>
  <c r="BF16" i="2"/>
  <c r="K16" i="2"/>
  <c r="BF21" i="2"/>
  <c r="K21" i="2"/>
  <c r="BE29" i="2"/>
  <c r="K29" i="2"/>
  <c r="BF13" i="2"/>
  <c r="K13" i="2"/>
  <c r="BE13" i="2"/>
  <c r="BS19" i="2"/>
  <c r="BS8" i="2"/>
  <c r="BS6" i="2"/>
  <c r="BE8" i="2"/>
  <c r="BS17" i="2"/>
  <c r="AL7" i="2"/>
  <c r="BS33" i="2"/>
  <c r="BS32" i="2"/>
  <c r="BS7" i="2"/>
  <c r="AL29" i="2"/>
  <c r="AK29" i="2"/>
  <c r="BS24" i="2"/>
  <c r="AL2" i="2"/>
  <c r="BS15" i="2"/>
  <c r="BF29" i="2"/>
  <c r="AL11" i="2"/>
  <c r="BS18" i="2"/>
  <c r="AK31" i="2"/>
  <c r="AK11" i="2"/>
  <c r="BS30" i="2"/>
  <c r="AL17" i="2"/>
  <c r="BS11" i="2"/>
  <c r="BS31" i="2"/>
  <c r="BS5" i="2"/>
  <c r="AL21" i="2"/>
  <c r="BS21" i="2"/>
  <c r="BS3" i="2"/>
  <c r="BS27" i="2"/>
  <c r="BS10" i="2"/>
  <c r="BS25" i="2"/>
  <c r="BS29" i="2"/>
  <c r="BS20" i="2"/>
  <c r="BS23" i="2"/>
  <c r="BE5" i="2"/>
  <c r="BS22" i="2"/>
  <c r="AK30" i="2"/>
  <c r="AL5" i="2"/>
  <c r="AK16" i="2"/>
  <c r="AL12" i="2"/>
  <c r="AK12" i="2"/>
  <c r="AK26" i="2"/>
  <c r="BS2" i="2"/>
  <c r="AL30" i="2"/>
  <c r="BS4" i="2"/>
  <c r="AL31" i="2"/>
  <c r="AK32" i="2"/>
  <c r="AK7" i="2"/>
  <c r="AK23" i="2"/>
  <c r="AL15" i="2"/>
  <c r="AL28" i="2"/>
  <c r="AL6" i="2"/>
  <c r="AL26" i="2"/>
  <c r="AL16" i="2"/>
  <c r="BF25" i="2"/>
  <c r="BF4" i="2"/>
  <c r="BS13" i="2"/>
  <c r="BF3" i="2"/>
  <c r="AK15" i="2"/>
  <c r="BS9" i="2"/>
  <c r="BS12" i="2"/>
  <c r="BE6" i="2"/>
  <c r="BE22" i="2"/>
  <c r="BE16" i="2"/>
  <c r="BE12" i="2"/>
  <c r="BF9" i="2"/>
  <c r="BF30" i="2"/>
  <c r="BS16" i="2"/>
  <c r="BE17" i="2"/>
  <c r="AK28" i="2"/>
  <c r="BE14" i="2"/>
  <c r="BF31" i="2"/>
  <c r="BF32" i="2"/>
  <c r="BE21" i="2"/>
  <c r="BE24" i="2"/>
  <c r="BE15" i="2"/>
  <c r="BF19" i="2"/>
  <c r="BF33" i="2"/>
  <c r="BF7" i="2"/>
  <c r="BE2" i="2"/>
  <c r="BE18" i="2"/>
  <c r="BE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BZ2" i="2" s="1"/>
  <c r="BC28" i="2"/>
  <c r="X28" i="2"/>
  <c r="X36" i="2" s="1"/>
  <c r="BQ28" i="2"/>
  <c r="BT28" i="2" s="1"/>
  <c r="BP28" i="2"/>
  <c r="BP37" i="2" s="1"/>
  <c r="BR28" i="2"/>
  <c r="BR36" i="2" s="1"/>
  <c r="AJ3" i="2" l="1"/>
  <c r="AJ14" i="2"/>
  <c r="AJ5" i="2"/>
  <c r="AJ30" i="2"/>
  <c r="AJ2" i="2"/>
  <c r="AJ7" i="2"/>
  <c r="AJ11" i="2"/>
  <c r="AJ6" i="2"/>
  <c r="AJ20" i="2"/>
  <c r="AJ31" i="2"/>
  <c r="AJ16" i="2"/>
  <c r="AJ27" i="2"/>
  <c r="AJ17" i="2"/>
  <c r="AJ23" i="2"/>
  <c r="BQ3" i="10"/>
  <c r="BQ67" i="10" s="1"/>
  <c r="BQ68" i="10" s="1"/>
  <c r="BP67" i="10"/>
  <c r="BQ67" i="8"/>
  <c r="BQ68" i="8" s="1"/>
  <c r="BP67" i="8"/>
  <c r="BP68" i="8" s="1"/>
  <c r="BR37" i="2"/>
  <c r="AG37" i="2"/>
  <c r="AG35" i="2"/>
  <c r="BA37" i="2"/>
  <c r="BA36" i="2"/>
  <c r="BA35" i="2"/>
  <c r="AW37" i="2"/>
  <c r="AW36" i="2"/>
  <c r="AW35" i="2"/>
  <c r="AK37" i="2"/>
  <c r="AK36" i="2"/>
  <c r="AK35" i="2"/>
  <c r="BZ5" i="2"/>
  <c r="BZ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BZ14" i="2"/>
  <c r="BZ15" i="2" s="1"/>
  <c r="AN2" i="2"/>
  <c r="AR2" i="2" s="1"/>
  <c r="AN19" i="2"/>
  <c r="AR19" i="2" s="1"/>
  <c r="AM9" i="2"/>
  <c r="AM32" i="2"/>
  <c r="AN14" i="2"/>
  <c r="AR14" i="2" s="1"/>
  <c r="AM25" i="2"/>
  <c r="AN10" i="2"/>
  <c r="AR10" i="2" s="1"/>
  <c r="AN30" i="2"/>
  <c r="AR30" i="2" s="1"/>
  <c r="AM29" i="2"/>
  <c r="AM21" i="2"/>
  <c r="AM19" i="2"/>
  <c r="AN3" i="2"/>
  <c r="AR3" i="2" s="1"/>
  <c r="AM6" i="2"/>
  <c r="AN9" i="2"/>
  <c r="AR9" i="2" s="1"/>
  <c r="AN31" i="2"/>
  <c r="AR31" i="2" s="1"/>
  <c r="AN29" i="2"/>
  <c r="AR29" i="2" s="1"/>
  <c r="AM2" i="2"/>
  <c r="AN22" i="2"/>
  <c r="AR22" i="2" s="1"/>
  <c r="AN4" i="2"/>
  <c r="AM15" i="2"/>
  <c r="AM26" i="2"/>
  <c r="AN21" i="2"/>
  <c r="AR21" i="2" s="1"/>
  <c r="AN20" i="2"/>
  <c r="AR20" i="2" s="1"/>
  <c r="AM13" i="2"/>
  <c r="AM22" i="2"/>
  <c r="AM33" i="2"/>
  <c r="AM24" i="2"/>
  <c r="AM27" i="2"/>
  <c r="AM18" i="2"/>
  <c r="AM17" i="2"/>
  <c r="AM3" i="2"/>
  <c r="AM20" i="2"/>
  <c r="AN8" i="2"/>
  <c r="AR8" i="2" s="1"/>
  <c r="AN16" i="2"/>
  <c r="AR16" i="2" s="1"/>
  <c r="AN5" i="2"/>
  <c r="AR5" i="2" s="1"/>
  <c r="AN17" i="2"/>
  <c r="AR17" i="2" s="1"/>
  <c r="AN23" i="2"/>
  <c r="AR23" i="2" s="1"/>
  <c r="AN32" i="2"/>
  <c r="AR32" i="2" s="1"/>
  <c r="AM16" i="2"/>
  <c r="AM30" i="2"/>
  <c r="AM5" i="2"/>
  <c r="AN6" i="2"/>
  <c r="AR6" i="2" s="1"/>
  <c r="AM14" i="2"/>
  <c r="AM8" i="2"/>
  <c r="AN13" i="2"/>
  <c r="AR13" i="2" s="1"/>
  <c r="AN27" i="2"/>
  <c r="AR27" i="2" s="1"/>
  <c r="AN33" i="2"/>
  <c r="AR33" i="2" s="1"/>
  <c r="AM12" i="2"/>
  <c r="AN12" i="2"/>
  <c r="AR12" i="2" s="1"/>
  <c r="AN7" i="2"/>
  <c r="AR7" i="2" s="1"/>
  <c r="AN26" i="2"/>
  <c r="AR26" i="2" s="1"/>
  <c r="AM4" i="2"/>
  <c r="BM4" i="2" s="1"/>
  <c r="AM11" i="2"/>
  <c r="AM31" i="2"/>
  <c r="AN15" i="2"/>
  <c r="AR15" i="2" s="1"/>
  <c r="AN24" i="2"/>
  <c r="AR24" i="2" s="1"/>
  <c r="AM23" i="2"/>
  <c r="AN11" i="2"/>
  <c r="AR11" i="2" s="1"/>
  <c r="AM7" i="2"/>
  <c r="AN18" i="2"/>
  <c r="AR18" i="2" s="1"/>
  <c r="AN25" i="2"/>
  <c r="AR25" i="2" s="1"/>
  <c r="AM10" i="2"/>
  <c r="AS4" i="2"/>
  <c r="AN28" i="2"/>
  <c r="AS15" i="2"/>
  <c r="AS25" i="2"/>
  <c r="AS9" i="2"/>
  <c r="AS5" i="2"/>
  <c r="AS24" i="2"/>
  <c r="AS20" i="2"/>
  <c r="AS29" i="2"/>
  <c r="AP32" i="2"/>
  <c r="AO20" i="2"/>
  <c r="AS32" i="2"/>
  <c r="AS14" i="2"/>
  <c r="AS3" i="2"/>
  <c r="AS22" i="2"/>
  <c r="AS31" i="2"/>
  <c r="AS7" i="2"/>
  <c r="AS16" i="2"/>
  <c r="AS11" i="2"/>
  <c r="AS18" i="2"/>
  <c r="AS6" i="2"/>
  <c r="AS19" i="2"/>
  <c r="AS2" i="2"/>
  <c r="AS21" i="2"/>
  <c r="AS12" i="2"/>
  <c r="AS30" i="2"/>
  <c r="BY18" i="2"/>
  <c r="CG6" i="2"/>
  <c r="CF4" i="2"/>
  <c r="CH4" i="2" s="1"/>
  <c r="BZ4" i="2"/>
  <c r="BZ11" i="2"/>
  <c r="AO27" i="2"/>
  <c r="BQ67" i="5"/>
  <c r="BP67" i="5"/>
  <c r="AP11" i="2"/>
  <c r="AP20" i="2"/>
  <c r="BG28" i="2"/>
  <c r="BG36" i="2" s="1"/>
  <c r="AP27" i="2"/>
  <c r="K28" i="2"/>
  <c r="AP28" i="2" s="1"/>
  <c r="E28" i="2"/>
  <c r="E35" i="2" s="1"/>
  <c r="AP23" i="2"/>
  <c r="AC28" i="2"/>
  <c r="BL28" i="2" s="1"/>
  <c r="AO11" i="2"/>
  <c r="AM28" i="2"/>
  <c r="AP12" i="2"/>
  <c r="AP15" i="2"/>
  <c r="AP30" i="2"/>
  <c r="AO14" i="2"/>
  <c r="AP14" i="2"/>
  <c r="AO13" i="2"/>
  <c r="AP13" i="2"/>
  <c r="AO6" i="2"/>
  <c r="AP6" i="2"/>
  <c r="AO5" i="2"/>
  <c r="AP5" i="2"/>
  <c r="AO19" i="2"/>
  <c r="AP19" i="2"/>
  <c r="AO33" i="2"/>
  <c r="AP33" i="2"/>
  <c r="AO10" i="2"/>
  <c r="AP10" i="2"/>
  <c r="AP7" i="2"/>
  <c r="AP26" i="2"/>
  <c r="AO4" i="2"/>
  <c r="AP4" i="2"/>
  <c r="AO18" i="2"/>
  <c r="AP18" i="2"/>
  <c r="AO25" i="2"/>
  <c r="AP25" i="2"/>
  <c r="AO9" i="2"/>
  <c r="AP9" i="2"/>
  <c r="AP16" i="2"/>
  <c r="AO2" i="2"/>
  <c r="AP2" i="2"/>
  <c r="AP29" i="2"/>
  <c r="AO17" i="2"/>
  <c r="AP17" i="2"/>
  <c r="AO22" i="2"/>
  <c r="AP22" i="2"/>
  <c r="AO21" i="2"/>
  <c r="AP21" i="2"/>
  <c r="AO3" i="2"/>
  <c r="AP3" i="2"/>
  <c r="AO8" i="2"/>
  <c r="AP8" i="2"/>
  <c r="AP31" i="2"/>
  <c r="AO24" i="2"/>
  <c r="AP24" i="2"/>
  <c r="AO15" i="2"/>
  <c r="AO30" i="2"/>
  <c r="AO29" i="2"/>
  <c r="AO7" i="2"/>
  <c r="AO26" i="2"/>
  <c r="AO32" i="2"/>
  <c r="AO23" i="2"/>
  <c r="AO31" i="2"/>
  <c r="AO16" i="2"/>
  <c r="AO12" i="2"/>
  <c r="BE28" i="2"/>
  <c r="BE35" i="2" s="1"/>
  <c r="BF28" i="2"/>
  <c r="BF36" i="2" s="1"/>
  <c r="BQ67" i="4"/>
  <c r="BQ68" i="4" s="1"/>
  <c r="BP67" i="4"/>
  <c r="BP68" i="4" s="1"/>
  <c r="BS28" i="2"/>
  <c r="BS37" i="2" s="1"/>
  <c r="BD28" i="2"/>
  <c r="BP68" i="10" l="1"/>
  <c r="BM28" i="2"/>
  <c r="AQ12" i="2"/>
  <c r="BM12" i="2"/>
  <c r="AQ20" i="2"/>
  <c r="BM20" i="2"/>
  <c r="AQ10" i="2"/>
  <c r="BM10" i="2"/>
  <c r="AQ17" i="2"/>
  <c r="BM17" i="2"/>
  <c r="AQ8" i="2"/>
  <c r="BM8" i="2"/>
  <c r="AQ27" i="2"/>
  <c r="BM27" i="2"/>
  <c r="AQ7" i="2"/>
  <c r="BM7" i="2"/>
  <c r="AQ14" i="2"/>
  <c r="BM14" i="2"/>
  <c r="AQ24" i="2"/>
  <c r="BM24" i="2"/>
  <c r="AQ19" i="2"/>
  <c r="BM19" i="2"/>
  <c r="AQ33" i="2"/>
  <c r="BM33" i="2"/>
  <c r="AQ21" i="2"/>
  <c r="BM21" i="2"/>
  <c r="AQ23" i="2"/>
  <c r="BM23" i="2"/>
  <c r="AQ5" i="2"/>
  <c r="BM5" i="2"/>
  <c r="AQ22" i="2"/>
  <c r="BM22" i="2"/>
  <c r="AQ29" i="2"/>
  <c r="BM29" i="2"/>
  <c r="AQ30" i="2"/>
  <c r="BM30" i="2"/>
  <c r="AQ13" i="2"/>
  <c r="BM13" i="2"/>
  <c r="AQ16" i="2"/>
  <c r="BM16" i="2"/>
  <c r="AQ6" i="2"/>
  <c r="BM6" i="2"/>
  <c r="AQ31" i="2"/>
  <c r="BM31" i="2"/>
  <c r="AQ25" i="2"/>
  <c r="BM25" i="2"/>
  <c r="AQ11" i="2"/>
  <c r="BM11" i="2"/>
  <c r="AQ26" i="2"/>
  <c r="BM26" i="2"/>
  <c r="AQ15" i="2"/>
  <c r="BM15" i="2"/>
  <c r="AQ32" i="2"/>
  <c r="BM32" i="2"/>
  <c r="AQ18" i="2"/>
  <c r="BM18" i="2"/>
  <c r="AQ9" i="2"/>
  <c r="BM9" i="2"/>
  <c r="AQ3" i="2"/>
  <c r="BM3" i="2"/>
  <c r="AQ2" i="2"/>
  <c r="BM2" i="2"/>
  <c r="AC37" i="2"/>
  <c r="BS35" i="2"/>
  <c r="K37" i="2"/>
  <c r="AC35" i="2"/>
  <c r="BF37" i="2"/>
  <c r="BF35" i="2"/>
  <c r="BE36" i="2"/>
  <c r="BE37" i="2"/>
  <c r="BS36" i="2"/>
  <c r="AP36" i="2"/>
  <c r="AP35" i="2"/>
  <c r="AP37" i="2"/>
  <c r="K36" i="2"/>
  <c r="BD35" i="2"/>
  <c r="BD37" i="2"/>
  <c r="BD36" i="2"/>
  <c r="BG37" i="2"/>
  <c r="E36" i="2"/>
  <c r="AC36" i="2"/>
  <c r="BG35" i="2"/>
  <c r="E37" i="2"/>
  <c r="AR4" i="2"/>
  <c r="AN35" i="2"/>
  <c r="AN37" i="2"/>
  <c r="AN36" i="2"/>
  <c r="AQ4" i="2"/>
  <c r="AM35" i="2"/>
  <c r="AM37" i="2"/>
  <c r="AM36" i="2"/>
  <c r="K35" i="2"/>
  <c r="CG7" i="2"/>
  <c r="CG8" i="2" s="1"/>
  <c r="AR28" i="2"/>
  <c r="AQ28" i="2"/>
  <c r="CH7" i="2"/>
  <c r="CI4" i="2" s="1"/>
  <c r="AO28" i="2"/>
  <c r="AO37" i="2" s="1"/>
  <c r="BL35" i="2" l="1"/>
  <c r="BL37" i="2"/>
  <c r="BL36" i="2"/>
  <c r="AO35" i="2"/>
  <c r="AO36" i="2"/>
  <c r="AR37" i="2"/>
  <c r="AR36" i="2"/>
  <c r="AR35" i="2"/>
  <c r="AQ36" i="2"/>
  <c r="AQ35" i="2"/>
  <c r="AQ37" i="2"/>
  <c r="CH8" i="2"/>
  <c r="CI3" i="2"/>
  <c r="CI6" i="2"/>
  <c r="CI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<sst xmlns="http://schemas.openxmlformats.org/spreadsheetml/2006/main" count="7221" uniqueCount="1845">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</sst>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xf numFmtId="0" fontId="0" fillId="0" borderId="0" xfId="0" applyAlignment="1">
      <alignment horizontal="center" vertical="top" textRotation="90"/>
    </xf>
  </cellXfs>
  <cellStyles count="2">
    <cellStyle name="Normal" xfId="0" builtinId="0"/>
    <cellStyle name="Output" xfId="1" builtinId="21"/>
  </cellStyles>
  <dxfs count="472">
    <dxf>
      <numFmt numFmtId="0" formatCode="General"/>
      <alignment horizontal="center" wrapText="0" indent="0" justifyLastLine="0" shrinkToFit="0" readingOrder="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-5</c:v>
                </c:pt>
                <c:pt idx="693">
                  <c:v>-3</c:v>
                </c:pt>
                <c:pt idx="694">
                  <c:v>-2</c:v>
                </c:pt>
                <c:pt idx="695">
                  <c:v>-3</c:v>
                </c:pt>
                <c:pt idx="696">
                  <c:v>-3</c:v>
                </c:pt>
                <c:pt idx="697">
                  <c:v>-2</c:v>
                </c:pt>
                <c:pt idx="698">
                  <c:v>-2</c:v>
                </c:pt>
                <c:pt idx="699">
                  <c:v>-1</c:v>
                </c:pt>
                <c:pt idx="700">
                  <c:v>-3</c:v>
                </c:pt>
                <c:pt idx="701">
                  <c:v>-4</c:v>
                </c:pt>
                <c:pt idx="702">
                  <c:v>-1</c:v>
                </c:pt>
                <c:pt idx="703">
                  <c:v>-2</c:v>
                </c:pt>
                <c:pt idx="704">
                  <c:v>1</c:v>
                </c:pt>
                <c:pt idx="705">
                  <c:v>-4</c:v>
                </c:pt>
                <c:pt idx="706">
                  <c:v>-5</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-1</c:v>
                </c:pt>
                <c:pt idx="693">
                  <c:v>-4</c:v>
                </c:pt>
                <c:pt idx="694">
                  <c:v>-4</c:v>
                </c:pt>
                <c:pt idx="695">
                  <c:v>-4</c:v>
                </c:pt>
                <c:pt idx="696">
                  <c:v>-4</c:v>
                </c:pt>
                <c:pt idx="697">
                  <c:v>-3</c:v>
                </c:pt>
                <c:pt idx="698">
                  <c:v>-4</c:v>
                </c:pt>
                <c:pt idx="699">
                  <c:v>-2</c:v>
                </c:pt>
                <c:pt idx="700">
                  <c:v>-2</c:v>
                </c:pt>
                <c:pt idx="701">
                  <c:v>-2</c:v>
                </c:pt>
                <c:pt idx="702">
                  <c:v>-3</c:v>
                </c:pt>
                <c:pt idx="703">
                  <c:v>-4</c:v>
                </c:pt>
                <c:pt idx="704">
                  <c:v>0</c:v>
                </c:pt>
                <c:pt idx="705">
                  <c:v>-2</c:v>
                </c:pt>
                <c:pt idx="706">
                  <c:v>-3</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-30</c:v>
                </c:pt>
                <c:pt idx="693">
                  <c:v>-30</c:v>
                </c:pt>
                <c:pt idx="694">
                  <c:v>-30</c:v>
                </c:pt>
                <c:pt idx="695">
                  <c:v>-30</c:v>
                </c:pt>
                <c:pt idx="696">
                  <c:v>-30</c:v>
                </c:pt>
                <c:pt idx="697">
                  <c:v>-30</c:v>
                </c:pt>
                <c:pt idx="698">
                  <c:v>-30</c:v>
                </c:pt>
                <c:pt idx="699">
                  <c:v>-30</c:v>
                </c:pt>
                <c:pt idx="700">
                  <c:v>-30</c:v>
                </c:pt>
                <c:pt idx="701">
                  <c:v>-30</c:v>
                </c:pt>
                <c:pt idx="702">
                  <c:v>-30</c:v>
                </c:pt>
                <c:pt idx="703">
                  <c:v>-30</c:v>
                </c:pt>
                <c:pt idx="704">
                  <c:v>-30</c:v>
                </c:pt>
                <c:pt idx="705">
                  <c:v>-9</c:v>
                </c:pt>
                <c:pt idx="706">
                  <c:v>-9</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-37</c:v>
                </c:pt>
                <c:pt idx="693">
                  <c:v>-37</c:v>
                </c:pt>
                <c:pt idx="694">
                  <c:v>-37</c:v>
                </c:pt>
                <c:pt idx="695">
                  <c:v>-37</c:v>
                </c:pt>
                <c:pt idx="696">
                  <c:v>-37</c:v>
                </c:pt>
                <c:pt idx="697">
                  <c:v>-37</c:v>
                </c:pt>
                <c:pt idx="698">
                  <c:v>-37</c:v>
                </c:pt>
                <c:pt idx="699">
                  <c:v>-37</c:v>
                </c:pt>
                <c:pt idx="700">
                  <c:v>-37</c:v>
                </c:pt>
                <c:pt idx="701">
                  <c:v>-37</c:v>
                </c:pt>
                <c:pt idx="702">
                  <c:v>-37</c:v>
                </c:pt>
                <c:pt idx="703">
                  <c:v>-37</c:v>
                </c:pt>
                <c:pt idx="704">
                  <c:v>-37</c:v>
                </c:pt>
                <c:pt idx="705">
                  <c:v>-5</c:v>
                </c:pt>
                <c:pt idx="706">
                  <c:v>-5</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1" dataDxfId="469" headerRowBorderDxfId="470">
  <autoFilter ref="A2:AN1314" xr:uid="{5B054025-4CD5-437B-A2B1-4953810278F9}"/>
  <tableColumns count="40">
    <tableColumn id="1" xr3:uid="{4F0EF3E3-5ED2-413B-9486-9498BEF02C85}" name="DatePickMade" totalsRowLabel="Total" dataDxfId="468" totalsRowDxfId="467"/>
    <tableColumn id="2" xr3:uid="{39F623AD-0A71-404E-ACB2-FF5C232C4B60}" name="GameDate" dataDxfId="466" totalsRowDxfId="465"/>
    <tableColumn id="3" xr3:uid="{F9CBDD2B-6977-478D-B9B1-48132BC29B8D}" name="GameID" dataDxfId="464" totalsRowDxfId="463"/>
    <tableColumn id="4" xr3:uid="{2B6D103E-CF04-4221-A032-6566D087A240}" name="AwayTeam" totalsRowFunction="count" dataDxfId="462" totalsRowDxfId="461"/>
    <tableColumn id="5" xr3:uid="{E9B83039-5C7E-45B4-A5F1-F54DF85D8DB5}" name="HomeTeam" totalsRowFunction="count" dataDxfId="460" totalsRowDxfId="459"/>
    <tableColumn id="6" xr3:uid="{CA60FB2E-C878-4F57-9486-8FFAB21268D1}" name="PredictedAwayScore" totalsRowFunction="count" dataDxfId="458" totalsRowDxfId="457"/>
    <tableColumn id="7" xr3:uid="{BDE84EDC-079B-4057-84F6-42C28780CF56}" name="PredictedHomeScore" totalsRowFunction="count" dataDxfId="456" totalsRowDxfId="455"/>
    <tableColumn id="8" xr3:uid="{AB1145B6-73D2-4952-891E-2532100229DC}" name="PredictedWinner" totalsRowFunction="count" dataDxfId="454" totalsRowDxfId="453"/>
    <tableColumn id="9" xr3:uid="{0FDA5C85-1339-41A1-AEB6-455F4E077F46}" name="PredictedResult" totalsRowFunction="count" dataDxfId="452" totalsRowDxfId="451"/>
    <tableColumn id="10" xr3:uid="{6C6A6DF0-F9AE-4DAF-8957-8621DF7520A2}" name="ActualAwayScore" totalsRowFunction="count" dataDxfId="450"/>
    <tableColumn id="11" xr3:uid="{B8B678E5-1823-43AE-95CC-BEE79D908CEE}" name="ActualHomeScore" totalsRowFunction="count" dataDxfId="449" totalsRowDxfId="448"/>
    <tableColumn id="12" xr3:uid="{C650F2F7-7978-49EE-8737-DCE1A6311E23}" name="ActualWinner" totalsRowFunction="count" dataDxfId="447" totalsRowDxfId="446">
      <calculatedColumnFormula>IF(OR($J3=$K3,AND(ISBLANK($J3),ISBLANK($K3))),"_",IF($J3&gt;$K3,$D3,$E3))</calculatedColumnFormula>
    </tableColumn>
    <tableColumn id="13" xr3:uid="{C3C777BB-B7C0-4722-9240-DAC37612029E}" name="ActualResult" totalsRowFunction="count" dataDxfId="445" totalsRowDxfId="444"/>
    <tableColumn id="17" xr3:uid="{239B68C2-07A2-4506-9EC8-00E52DD7178A}" name="GameIsOver" totalsRowFunction="count" dataDxfId="443" totalsRowDxfId="442">
      <calculatedColumnFormula>IF(ISBLANK(Table2[[#This Row],[ActualResult]]), 0, 1)</calculatedColumnFormula>
    </tableColumn>
    <tableColumn id="14" xr3:uid="{C40BC093-C7BF-4F78-9D28-E8E87FFCAD46}" name="CorrectWinnerPrediction" totalsRowFunction="count" dataDxfId="441" totalsRowDxfId="440">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9" totalsRowDxfId="438">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7" totalsRowDxfId="436">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5" totalsRowDxfId="434"/>
    <tableColumn id="19" xr3:uid="{665B4234-0C9B-451F-996C-0671FAEA8ED7}" name="LosingTeam" totalsRowFunction="count" dataDxfId="433" totalsRowDxfId="432">
      <calculatedColumnFormula>IF($L3="_", "_", IF($L3=$D3,$E3,$D3))</calculatedColumnFormula>
    </tableColumn>
    <tableColumn id="20" xr3:uid="{44E37CA6-669F-47CA-95D2-B831EB8B3628}" name="InterConf" totalsRowFunction="count" dataDxfId="431" totalsRowDxfId="430">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9" totalsRowDxfId="428">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7" totalsRowDxfId="426">
      <calculatedColumnFormula>IF(Table2[[#This Row],[InterConf]]=1,IF(Table2[[#This Row],[InterDiv]]=0, 1, 0), 0)</calculatedColumnFormula>
    </tableColumn>
    <tableColumn id="22" xr3:uid="{CF57AF56-FFCF-4952-BAB8-36DAD7FDF03B}" name="CrossConf" totalsRowFunction="count" dataDxfId="425" totalsRowDxfId="424">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3" totalsRowDxfId="422"/>
    <tableColumn id="25" xr3:uid="{5D6968E6-45CE-4B45-818F-1A4B201A39D4}" name="PostGameNotes" totalsRowFunction="count" dataDxfId="421" totalsRowDxfId="420"/>
    <tableColumn id="26" xr3:uid="{4CC012EB-DB6C-4853-A5B9-75650FDCD78B}" name="GameHasShutOut" dataDxfId="419" totalsRowDxfId="418">
      <calculatedColumnFormula>IF(AND(Table2[[#This Row],[GameIsOver]]=1,Table2[[#This Row],[ActualHomeScore]]*Table2[[#This Row],[ActualAwayScore]]=0), 1,0)</calculatedColumnFormula>
    </tableColumn>
    <tableColumn id="30" xr3:uid="{9F2BC698-979E-418D-A635-D09045DEAC35}" name="NewPointsAway" dataDxfId="417" totalsRowDxfId="416">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5" totalsRowDxfId="414">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3" totalsRowDxfId="412">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1" totalsRowDxfId="410">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9" totalsRowDxfId="408">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7" totalsRowDxfId="406">
      <calculatedColumnFormula>Table2[[#This Row],[ActualAwayScore]]-Table2[[#This Row],[PredictedAwayScore]]</calculatedColumnFormula>
    </tableColumn>
    <tableColumn id="33" xr3:uid="{6DAB8D33-9AC0-4212-9CC7-EE429158576E}" name="PredictedHomeScorePlusMinus" dataDxfId="405" totalsRowDxfId="404">
      <calculatedColumnFormula>Table2[[#This Row],[ActualHomeScore]]-Table2[[#This Row],[PredictedHomeScore]]</calculatedColumnFormula>
    </tableColumn>
    <tableColumn id="34" xr3:uid="{A99B5A7F-1537-4AAF-9568-8B0736364400}" name="PredictedAwayScorePlusMinusByDate" dataDxfId="403" totalsRowDxfId="402">
      <calculatedColumnFormula>SUMIF($B$3:$B$1315, $B3, $AF$3:$AF$1315)</calculatedColumnFormula>
    </tableColumn>
    <tableColumn id="35" xr3:uid="{438B3C73-5C9F-4061-9177-ADA21EB41F1F}" name="PredictedHomeScorePlusMinusByDate" dataDxfId="401" totalsRowDxfId="400">
      <calculatedColumnFormula>SUMIF($B$3:$B$1315, $B3, $AG$3:$AG$1315)</calculatedColumnFormula>
    </tableColumn>
    <tableColumn id="36" xr3:uid="{4D822B59-35DC-4091-9231-8369AB949EE5}" name="WatchOrder" dataDxfId="399" totalsRowDxfId="398"/>
    <tableColumn id="37" xr3:uid="{B77EE501-1744-4AD0-B258-0585548DBA89}" name="WatchDate" dataDxfId="397" totalsRowDxfId="396"/>
    <tableColumn id="38" xr3:uid="{6E91C3FB-94AE-4E5D-952D-6DEEE0AE52C5}" name="AwayWon" dataDxfId="395" totalsRowDxfId="394">
      <calculatedColumnFormula>IF(Table2[[#This Row],[GameIsOver]]=0,0,IF(Table2[[#This Row],[ActualWinner]]=Table2[[#This Row],[AwayTeam]], 1, 0))</calculatedColumnFormula>
    </tableColumn>
    <tableColumn id="39" xr3:uid="{8C5EB50B-6F82-4CA5-B10D-C226C8E2B357}" name="HomeWon_" dataDxfId="393" totalsRowDxfId="392">
      <calculatedColumnFormula>IF(Table2[[#This Row],[GameIsOver]]=0,0,IF(Table2[[#This Row],[ActualWinner]]=Table2[[#This Row],[HomeTeam]], 1, 0))</calculatedColumnFormula>
    </tableColumn>
    <tableColumn id="40" xr3:uid="{A42264ED-7176-47E8-841D-E620963E19E8}" name="SearchTeamPlays" dataDxfId="391" totalsRowDxfId="390">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9" dataDxfId="388">
  <autoFilter ref="A1:AG273" xr:uid="{74EEDFCB-ED7A-4BB1-A2EE-67F4F56372D2}"/>
  <tableColumns count="33">
    <tableColumn id="1" xr3:uid="{A49AAD1C-7D7D-45B8-A139-0779BA31A77E}" name="Date" dataDxfId="387"/>
    <tableColumn id="2" xr3:uid="{730CD6D2-246F-432B-8EEB-0203EE317A26}" name="ANA" dataDxfId="38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5"/>
    <tableColumn id="4" xr3:uid="{87F00FE4-13FE-4967-9AA3-C167D9305BF9}" name="BUF" dataDxfId="384"/>
    <tableColumn id="5" xr3:uid="{E4871159-5731-4550-8344-84BE83ED01F0}" name="CAR" dataDxfId="383"/>
    <tableColumn id="6" xr3:uid="{5725D175-4124-4B24-993F-7A6EFE1491AC}" name="CBJ" dataDxfId="382"/>
    <tableColumn id="7" xr3:uid="{C13EFE5D-116B-45F1-A9D9-40B119CB0AD5}" name="CGY" dataDxfId="381"/>
    <tableColumn id="8" xr3:uid="{64E13E1C-E642-404F-86A4-5519B5259476}" name="CHI" dataDxfId="380"/>
    <tableColumn id="9" xr3:uid="{36E64709-D15B-46B3-A7DE-B98D6486B271}" name="COL" dataDxfId="379"/>
    <tableColumn id="10" xr3:uid="{1CD1FEAC-B353-4165-A857-F8E64B61D6BA}" name="DAL" dataDxfId="378"/>
    <tableColumn id="11" xr3:uid="{23CC1A05-CF3C-41D9-ADFE-F115BEFC985F}" name="DET" dataDxfId="377"/>
    <tableColumn id="12" xr3:uid="{1C5CEC72-E9F1-43F8-A2AB-965A58C697FF}" name="EDM" dataDxfId="376"/>
    <tableColumn id="13" xr3:uid="{CC6E7C18-A903-499F-B324-61FD69F457D3}" name="FLA" dataDxfId="375"/>
    <tableColumn id="14" xr3:uid="{EA30EDB7-6072-42F9-B2C0-5015D88CD405}" name="LAK" dataDxfId="374"/>
    <tableColumn id="15" xr3:uid="{43F59676-0F92-4F04-B89B-D52DE8300412}" name="MIN" dataDxfId="373"/>
    <tableColumn id="16" xr3:uid="{74052D50-F767-4835-96C3-D812137B6B78}" name="MTL" dataDxfId="372"/>
    <tableColumn id="17" xr3:uid="{090B024D-8AC7-4C1B-9B31-4454C3F37CB3}" name="NJD" dataDxfId="371"/>
    <tableColumn id="18" xr3:uid="{526C0944-F465-462A-8ECA-BF074D7EB1DE}" name="NSH" dataDxfId="370"/>
    <tableColumn id="19" xr3:uid="{7C20E30B-1AA1-48BD-A65C-DE528BA72FE6}" name="NYI" dataDxfId="369"/>
    <tableColumn id="20" xr3:uid="{27A2F177-CC7A-4B19-977F-CEA1C51D6C0E}" name="NYR" dataDxfId="368"/>
    <tableColumn id="21" xr3:uid="{073FE83E-0AF1-44C3-AE3C-5BD26992F7D5}" name="OTT" dataDxfId="367"/>
    <tableColumn id="22" xr3:uid="{6370A811-7903-4DD2-9DE8-8D7B816BE146}" name="PHI" dataDxfId="366"/>
    <tableColumn id="23" xr3:uid="{37BEE05D-28D8-4538-8285-29B64599DD4E}" name="PIT" dataDxfId="365"/>
    <tableColumn id="24" xr3:uid="{132755F5-4605-4136-9380-5C1921B33212}" name="SEA" dataDxfId="364"/>
    <tableColumn id="25" xr3:uid="{0468EE05-8CDF-4319-BE9D-D89F14C8E183}" name="SJS" dataDxfId="363"/>
    <tableColumn id="26" xr3:uid="{C0A1252B-B678-413D-B72A-E409CAA4D568}" name="STL" dataDxfId="362"/>
    <tableColumn id="27" xr3:uid="{2FCCA5C4-ADEA-43B2-980E-C95A408B8B92}" name="TBL" dataDxfId="361"/>
    <tableColumn id="28" xr3:uid="{399BA29B-CDF9-4FB4-9C8F-90EF3231D634}" name="TOR" dataDxfId="360"/>
    <tableColumn id="29" xr3:uid="{3FD60A86-C15C-4F59-96BA-7D808B5C7AF7}" name="UTA" dataDxfId="359"/>
    <tableColumn id="30" xr3:uid="{E95E1BF9-F880-45B8-BABE-2E3FFD2EB59F}" name="VAN" dataDxfId="358"/>
    <tableColumn id="31" xr3:uid="{14971F10-0533-4026-A0C3-1CD757193D21}" name="VGK" dataDxfId="357"/>
    <tableColumn id="32" xr3:uid="{78F9574A-44B1-4063-8869-88AD0333E712}" name="WPG" dataDxfId="356"/>
    <tableColumn id="33" xr3:uid="{E013F70D-43E1-4AE8-99B8-77027202A8A5}" name="WSH" dataDxfId="3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4" dataDxfId="353">
  <autoFilter ref="A1:JO33" xr:uid="{2A4A11DC-9405-4D6C-9F97-FDF0CCB41A11}"/>
  <sortState xmlns:xlrd2="http://schemas.microsoft.com/office/spreadsheetml/2017/richdata2" ref="A2:JO33">
    <sortCondition ref="B2:B33"/>
    <sortCondition ref="C2:C33"/>
    <sortCondition descending="1" ref="DE2:DE33"/>
  </sortState>
  <tableColumns count="275">
    <tableColumn id="1" xr3:uid="{6A7086D0-711A-41B7-A4B8-9D377B70EC26}" name="Team" totalsRowLabel="Total" dataDxfId="352"/>
    <tableColumn id="274" xr3:uid="{010ED52E-0419-4863-94F8-9AF3356A2738}" name="Conf" dataDxfId="351"/>
    <tableColumn id="275" xr3:uid="{72531E18-55CF-4588-B22F-9093ECF8BF1A}" name="Div" dataDxfId="350"/>
    <tableColumn id="2" xr3:uid="{BD7886D5-3240-48F9-AD10-972D3E8FE85B}" name="2024-10-03" totalsRowFunction="average" dataDxfId="34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6">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4">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3">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2">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1">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0">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6">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4">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3">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2">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1">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0">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9">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8">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4">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2">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1">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0">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9">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8">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4">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2">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1">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0">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9">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8">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4">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2">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1">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0">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9">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8">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4">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2">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1">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0">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9">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8">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4">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2">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1">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0">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9">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8">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4">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2">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1">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0">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9">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8">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4">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2">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1">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0">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9">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8">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4">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2">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1">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0">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9">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8">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4">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2">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1">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0">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9">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8">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4">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2">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1">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0">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9">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8">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4">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2">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1">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0">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9">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8">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4">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2">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1">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0">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9">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8">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4">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2">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1">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0">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9">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8">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4">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2">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1">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0">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9">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8">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4">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2">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1">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0">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9">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8">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4">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2">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1">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0">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9">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8">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4">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2">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1">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0">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9">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8">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4">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2">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1">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0">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9"/>
    <tableColumn id="203" xr3:uid="{EF04B5B5-9142-4C44-8A69-7BDEC74C0F2F}" name="2025-04-22" dataDxfId="148"/>
    <tableColumn id="204" xr3:uid="{82B364E6-C40F-4EA4-B27D-9C321844B44D}" name="2025-04-23" dataDxfId="147"/>
    <tableColumn id="205" xr3:uid="{A3EE5B43-B6BC-40EA-85FF-398957E3EC07}" name="2025-04-24" dataDxfId="146"/>
    <tableColumn id="206" xr3:uid="{8772AE8A-933D-46C1-B9C1-60B6C8185E8A}" name="2025-04-25" dataDxfId="145"/>
    <tableColumn id="207" xr3:uid="{484C07C8-EBA2-453D-B583-F930911565C0}" name="2025-04-26" dataDxfId="144"/>
    <tableColumn id="208" xr3:uid="{B52D8603-B5B2-488C-A433-34FD2A683C6B}" name="2025-04-27" dataDxfId="143"/>
    <tableColumn id="209" xr3:uid="{169BF9D8-EE52-429B-B28E-9B5C27822A41}" name="2025-04-28" dataDxfId="142"/>
    <tableColumn id="210" xr3:uid="{84174DF3-C71A-4E90-8847-B6C7B782A654}" name="2025-04-29" dataDxfId="141"/>
    <tableColumn id="211" xr3:uid="{206EDDC5-46BB-4D3A-9BE0-E0197053913D}" name="2025-04-30" dataDxfId="140"/>
    <tableColumn id="212" xr3:uid="{366CA1C4-A2DF-4B3E-A696-C1F3BBAD987A}" name="2025-05-01" dataDxfId="139"/>
    <tableColumn id="213" xr3:uid="{77111EA0-AC60-4806-8C9E-118542B3A239}" name="2025-05-02" dataDxfId="138"/>
    <tableColumn id="214" xr3:uid="{5F31DB5D-F68F-497F-A3C0-14D09C735B50}" name="2025-05-03" dataDxfId="137"/>
    <tableColumn id="215" xr3:uid="{053478A4-6AB5-46FA-AB15-755FCEDA366B}" name="2025-05-04" dataDxfId="136"/>
    <tableColumn id="216" xr3:uid="{E63F8AFE-33C8-44CE-ABD5-87AFA2B2DEE5}" name="2025-05-05" dataDxfId="135"/>
    <tableColumn id="217" xr3:uid="{0F704A9A-705A-4A63-A5CB-2E2030610C2C}" name="2025-05-06" dataDxfId="134"/>
    <tableColumn id="218" xr3:uid="{5C606A6D-1C96-4494-A223-4347F237E33C}" name="2025-05-07" dataDxfId="133"/>
    <tableColumn id="219" xr3:uid="{28C842CB-95E9-41FC-9A54-6285101CA2E4}" name="2025-05-08" dataDxfId="132"/>
    <tableColumn id="220" xr3:uid="{A5ED12A3-494D-4396-97B2-620410EAB47C}" name="2025-05-09" dataDxfId="131"/>
    <tableColumn id="221" xr3:uid="{0A5ABB48-A153-4B93-9AF3-A6C216F7B6FC}" name="2025-05-10" dataDxfId="130"/>
    <tableColumn id="222" xr3:uid="{0405F07C-691E-4156-B1AB-789FB58D118D}" name="2025-05-11" dataDxfId="129"/>
    <tableColumn id="223" xr3:uid="{246E8105-028E-4D2B-A83D-CB77EA9C86B5}" name="2025-05-12" dataDxfId="128"/>
    <tableColumn id="224" xr3:uid="{D81920D6-A5AC-4A82-B2FA-98E67E362CE3}" name="2025-05-13" dataDxfId="127"/>
    <tableColumn id="225" xr3:uid="{CC727698-0496-467C-971F-D75A82A7EBDF}" name="2025-05-14" dataDxfId="126"/>
    <tableColumn id="226" xr3:uid="{339361FD-67CC-4E23-9ACB-B74553C52593}" name="2025-05-15" dataDxfId="125"/>
    <tableColumn id="227" xr3:uid="{4DE55659-72B2-4210-9353-7D9C4CCCE733}" name="2025-05-16" dataDxfId="124"/>
    <tableColumn id="228" xr3:uid="{6215F3BA-5DFF-4976-BC80-78E30D01889D}" name="2025-05-17" dataDxfId="123"/>
    <tableColumn id="229" xr3:uid="{50DA08D7-FC7B-49B0-B3F4-1C4635DE3032}" name="2025-05-18" dataDxfId="122"/>
    <tableColumn id="230" xr3:uid="{30BC1EC6-2069-4300-8391-810C9EC04511}" name="2025-05-19" dataDxfId="121"/>
    <tableColumn id="231" xr3:uid="{3043D2FE-95E0-48AF-ACD8-B5634AE3E9D5}" name="2025-05-20" dataDxfId="120"/>
    <tableColumn id="232" xr3:uid="{A1EAF0F2-FC84-4670-AAF9-B5A7CCF2C92A}" name="2025-05-21" dataDxfId="119"/>
    <tableColumn id="233" xr3:uid="{777586C1-D3DF-470E-B1DC-EF50B354B885}" name="2025-05-22" dataDxfId="118"/>
    <tableColumn id="234" xr3:uid="{F9D2BEE5-0C9C-4591-9625-B5A40D8C6987}" name="2025-05-23" dataDxfId="117"/>
    <tableColumn id="235" xr3:uid="{D5CB1CD3-1B56-4F97-9378-63F4D461B94D}" name="2025-05-24" dataDxfId="116"/>
    <tableColumn id="236" xr3:uid="{4474AF3B-88F1-40B9-B58F-5CC8F0AAE000}" name="2025-05-25" dataDxfId="115"/>
    <tableColumn id="237" xr3:uid="{DD6FFB66-C370-442C-9825-05FDB743FE00}" name="2025-05-26" dataDxfId="114"/>
    <tableColumn id="238" xr3:uid="{9BE32098-E719-426B-8143-7E12C6A3F46A}" name="2025-05-27" dataDxfId="113"/>
    <tableColumn id="239" xr3:uid="{F5D1C276-6464-4D7F-BCBD-5336B596A903}" name="2025-05-28" dataDxfId="112"/>
    <tableColumn id="240" xr3:uid="{31B515AE-008A-4669-8CEE-771E1638A518}" name="2025-05-29" dataDxfId="111"/>
    <tableColumn id="241" xr3:uid="{3200C033-4974-4D1B-A44C-3F837D42D2DC}" name="2025-05-30" dataDxfId="110"/>
    <tableColumn id="242" xr3:uid="{4D4CDA41-067D-4DA0-95F0-4823FC08D4E5}" name="2025-05-31" dataDxfId="109"/>
    <tableColumn id="243" xr3:uid="{3DBF5A2B-0E33-4E1C-9DC2-18CA4F0A1493}" name="2025-06-01" dataDxfId="108"/>
    <tableColumn id="244" xr3:uid="{9D3D72D9-161F-4909-8971-6C5C7D46BAA7}" name="2025-06-02" dataDxfId="107"/>
    <tableColumn id="245" xr3:uid="{232663AE-B137-4CF8-A170-52E93C00C65D}" name="2025-06-03" dataDxfId="106"/>
    <tableColumn id="246" xr3:uid="{BD7A6004-6162-4AC8-9110-BA5E6A9D1049}" name="2025-06-04" dataDxfId="105"/>
    <tableColumn id="247" xr3:uid="{C0AA2183-97B0-473E-8388-F06F8164380F}" name="2025-06-05" dataDxfId="104"/>
    <tableColumn id="248" xr3:uid="{F84BC399-3949-4C18-ABAA-64C17BEA5CE0}" name="2025-06-06" dataDxfId="103"/>
    <tableColumn id="249" xr3:uid="{4A9CC113-874C-4FC8-A1A6-63A95A893D95}" name="2025-06-07" dataDxfId="102"/>
    <tableColumn id="250" xr3:uid="{6A253FC8-C38B-4237-BE92-22BD7FDA4D1D}" name="2025-06-08" dataDxfId="101"/>
    <tableColumn id="251" xr3:uid="{ABD1D9B8-A62F-43C7-8867-D07F901B294B}" name="2025-06-09" dataDxfId="100"/>
    <tableColumn id="252" xr3:uid="{FF84CAE4-B5B3-4E8C-ACD5-281ECE9DA5EB}" name="2025-06-10" dataDxfId="99"/>
    <tableColumn id="253" xr3:uid="{06E2F1E1-34E4-442D-91B3-36F14418A6DD}" name="2025-06-11" dataDxfId="98"/>
    <tableColumn id="254" xr3:uid="{00DD0F40-05DE-4EF1-9263-6F11B02C8F66}" name="2025-06-12" dataDxfId="97"/>
    <tableColumn id="255" xr3:uid="{B3BC126B-C9C6-4541-B7BF-8E0A8AF13283}" name="2025-06-13" dataDxfId="96"/>
    <tableColumn id="256" xr3:uid="{58A93E20-2E09-42D6-83C4-3187C52FC2C9}" name="2025-06-14" dataDxfId="95"/>
    <tableColumn id="257" xr3:uid="{99B8A1B1-1594-47C1-A779-5AE979AC6886}" name="2025-06-15" dataDxfId="94"/>
    <tableColumn id="258" xr3:uid="{DB9B71D0-083F-40C9-99EC-EA2500168DB1}" name="2025-06-16" dataDxfId="93"/>
    <tableColumn id="259" xr3:uid="{F368A8EF-CA23-49A5-84B6-E087A332E315}" name="2025-06-17" dataDxfId="92"/>
    <tableColumn id="260" xr3:uid="{F2B11177-CB50-47EB-87ED-A437D4F32F8E}" name="2025-06-18" dataDxfId="91"/>
    <tableColumn id="261" xr3:uid="{F21EDA7F-2C76-45F1-AB9D-D35BEE4425F3}" name="2025-06-19" dataDxfId="90"/>
    <tableColumn id="262" xr3:uid="{527A99F6-045E-4293-955B-C68E4AD9052A}" name="2025-06-20" dataDxfId="89"/>
    <tableColumn id="263" xr3:uid="{99DC238A-A4C6-4EAE-82AC-FCA02043D4EA}" name="2025-06-21" dataDxfId="88"/>
    <tableColumn id="264" xr3:uid="{43477D6D-E749-4FFF-9062-9F92408792BE}" name="2025-06-22" dataDxfId="87"/>
    <tableColumn id="265" xr3:uid="{13D87D26-AA45-4778-8BD5-BDB665171820}" name="2025-06-23" dataDxfId="86"/>
    <tableColumn id="266" xr3:uid="{3DF15EBF-5CB5-4787-8409-9F983729C815}" name="2025-06-24" dataDxfId="85"/>
    <tableColumn id="267" xr3:uid="{71F1B423-DE3D-4704-B52D-D6660BE9B52F}" name="2025-06-25" dataDxfId="84"/>
    <tableColumn id="268" xr3:uid="{E9D496DF-4D64-42C9-9857-E5FCB3FF66F8}" name="2025-06-26" dataDxfId="83"/>
    <tableColumn id="269" xr3:uid="{21A1EEB8-CF48-4BFB-9EB7-3E5069338279}" name="2025-06-27" dataDxfId="82"/>
    <tableColumn id="270" xr3:uid="{05C6922F-BFAD-40A6-BF87-21B77F0394F1}" name="2025-06-28" dataDxfId="81"/>
    <tableColumn id="271" xr3:uid="{8929460E-C610-4A2C-A152-7ADD44E2FE12}" name="2025-06-29" dataDxfId="80"/>
    <tableColumn id="272" xr3:uid="{4C8830FB-F1D3-4D12-BD25-337AA191C58D}" name="2025-06-30" dataDxfId="79"/>
    <tableColumn id="273" xr3:uid="{AC1A3332-3064-4E0E-BA13-DA3DA202B941}" name="2025-07-01" totalsRowFunction="count" dataDxfId="7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V33" totalsRowShown="0" headerRowDxfId="77">
  <autoFilter ref="A1:BV33" xr:uid="{A403E24F-C71A-433A-846A-0616DE78145D}"/>
  <sortState xmlns:xlrd2="http://schemas.microsoft.com/office/spreadsheetml/2017/richdata2" ref="A2:BV33">
    <sortCondition descending="1" ref="AQ1:AQ33"/>
  </sortState>
  <tableColumns count="74">
    <tableColumn id="1" xr3:uid="{985AE516-C8BB-498C-ABE1-5BF054EDACAF}" name="Teams"/>
    <tableColumn id="2" xr3:uid="{57EB51AE-5D41-451D-B2B5-FCE487AC5014}" name="C"/>
    <tableColumn id="3" xr3:uid="{F09AC7BA-CE60-4AA6-AFDB-3C9145AFF369}" name="D"/>
    <tableColumn id="4" xr3:uid="{2B211923-BCE3-40CA-84EF-718013E18BDC}" name="Watched" dataDxfId="7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3">
      <calculatedColumnFormula>41-Table3[[#This Row],[GP_H]]</calculatedColumnFormula>
    </tableColumn>
    <tableColumn id="7" xr3:uid="{3A0C0FDF-351B-4E2E-8967-A04CE845123C}" name="GP">
      <calculatedColumnFormula>F2+H2</calculatedColumnFormula>
    </tableColumn>
    <tableColumn id="45" xr3:uid="{D1D5702E-1A9D-40A6-B2AB-C603E28FF624}" name="GR" dataDxfId="7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7">
      <calculatedColumnFormula>COUNTIFS(DataRegularSeason20242025!$E$3:$E$1315,$A2, DataRegularSeason20242025!$L$3:$L$1315, $A2, DataRegularSeason20242025!$N$3:$N$1315,1)</calculatedColumnFormula>
    </tableColumn>
    <tableColumn id="43" xr3:uid="{080CA1AA-BE46-4D92-85F9-CB14E09F42A9}" name="RW_H" dataDxfId="6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3">
      <calculatedColumnFormula>COUNTIFS(DataRegularSeason20242025!$E$3:$E$1315,$A2, DataRegularSeason20242025!$S$3:$S$1315, $A2,DataRegularSeason20242025!$M$3:$M$1315,"REG")</calculatedColumnFormula>
    </tableColumn>
    <tableColumn id="35" xr3:uid="{9E9FAC75-9E40-4447-8D44-C5EA7137197A}" name="OTL_H" dataDxfId="62">
      <calculatedColumnFormula>COUNTIFS(DataRegularSeason20242025!$E$3:$E$1315,$A2, DataRegularSeason20242025!$S$3:$S$1315, $A2,DataRegularSeason20242025!$M$3:$M$1315,"OT")</calculatedColumnFormula>
    </tableColumn>
    <tableColumn id="34" xr3:uid="{0BE27D3D-4AFA-42CE-BE44-914976589EB9}" name="SOL_H" dataDxfId="61">
      <calculatedColumnFormula>COUNTIFS(DataRegularSeason20242025!$E$3:$E$1315,$A2, DataRegularSeason20242025!$S$3:$S$1315, $A2,DataRegularSeason20242025!$M$3:$M$1315,"SO")</calculatedColumnFormula>
    </tableColumn>
    <tableColumn id="52" xr3:uid="{835E8B4B-1B56-4988-ADA0-E6D362F4CA4D}" name="W" dataDxfId="60">
      <calculatedColumnFormula>Table3[[#This Row],[W_A]]+Table3[[#This Row],[W_H]]</calculatedColumnFormula>
    </tableColumn>
    <tableColumn id="53" xr3:uid="{88446FA8-50DC-4FD7-ADED-80F797D341F2}" name="L" dataDxfId="59">
      <calculatedColumnFormula>Table3[[#This Row],[L_A]]+Table3[[#This Row],[L_H]]</calculatedColumnFormula>
    </tableColumn>
    <tableColumn id="54" xr3:uid="{8B16E8B3-A102-413E-9653-CF701CEEB9C9}" name="RW" dataDxfId="58">
      <calculatedColumnFormula>Table3[[#This Row],[RW_A]]+Table3[[#This Row],[RW_H]]</calculatedColumnFormula>
    </tableColumn>
    <tableColumn id="56" xr3:uid="{8CC6F779-2722-4557-A481-A8ECBA4EC611}" name="RL" dataDxfId="57">
      <calculatedColumnFormula>Table3[[#This Row],[RL_A]]+Table3[[#This Row],[RL_H]]</calculatedColumnFormula>
    </tableColumn>
    <tableColumn id="55" xr3:uid="{B5F893C5-62B6-4BD4-A363-58006E427EB4}" name="OTW" dataDxfId="56">
      <calculatedColumnFormula>Table3[[#This Row],[OTW_A]]+Table3[[#This Row],[OTW_H]]</calculatedColumnFormula>
    </tableColumn>
    <tableColumn id="57" xr3:uid="{65CBB9B0-79F9-4697-BF9E-46D8F8199661}" name="OTL" dataDxfId="55">
      <calculatedColumnFormula>Table3[[#This Row],[OTL_A]]+Table3[[#This Row],[OTL_H]]</calculatedColumnFormula>
    </tableColumn>
    <tableColumn id="58" xr3:uid="{935B18B6-6EE9-4AB7-96D2-5CC21B3091F1}" name="SOW" dataDxfId="54">
      <calculatedColumnFormula>Table3[[#This Row],[SOW_A]]+Table3[[#This Row],[SOW_H]]</calculatedColumnFormula>
    </tableColumn>
    <tableColumn id="59" xr3:uid="{72AA5675-42CA-4646-9D56-F903019CA984}" name="SOL" dataDxfId="53">
      <calculatedColumnFormula>Table3[[#This Row],[SOL_A]]+Table3[[#This Row],[SOL_H]]</calculatedColumnFormula>
    </tableColumn>
    <tableColumn id="74" xr3:uid="{2189042C-91CF-4BD8-82AF-C8C409607107}" name="OT_SO_Record" dataDxfId="0" dataCellStyle="Output">
      <calculatedColumnFormula>_xlfn.CONCAT(TEXT(Table3[[#This Row],[OTW]]+Table3[[#This Row],[SOW]], "0"), "-", TEXT(Table3[[#This Row],[OTL]]+Table3[[#This Row],[SOL]],"0"))</calculatedColumnFormula>
    </tableColumn>
    <tableColumn id="36" xr3:uid="{963D35F6-3613-4CF0-B60C-81F6AC38687D}" name="PTS" dataDxfId="52">
      <calculatedColumnFormula>(2*(Table3[[#This Row],[W_A]]+Table3[[#This Row],[W_H]]))+Table3[[#This Row],[OTL_A]]+Table3[[#This Row],[SOL_A]]+Table3[[#This Row],[OTL_H]]+Table3[[#This Row],[SOL_H]]</calculatedColumnFormula>
    </tableColumn>
    <tableColumn id="37" xr3:uid="{6F978067-DE25-4A50-B909-B8AE9A09B806}" name="PTS2" dataDxfId="5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0">
      <calculatedColumnFormula>Table3[[#This Row],[PTS]]/(2*Table3[[#This Row],[GP]])</calculatedColumnFormula>
    </tableColumn>
    <tableColumn id="64" xr3:uid="{C4462842-CB72-4A45-8AE0-F1C2F1896F3C}" name="PTS%2" dataDxfId="49">
      <calculatedColumnFormula>Table3[[#This Row],[PTS2]]/(3*Table3[[#This Row],[GP]])</calculatedColumnFormula>
    </tableColumn>
    <tableColumn id="49" xr3:uid="{A615DA94-4BB4-4863-8FB3-13B2512D6354}" name="MAX_PTS" dataDxfId="48">
      <calculatedColumnFormula>(2*Table3[[#This Row],[GR]])+Table3[[#This Row],[PTS]]</calculatedColumnFormula>
    </tableColumn>
    <tableColumn id="50" xr3:uid="{8E72A434-A9EA-4A87-9B77-6458DC51D3DD}" name="MAX_PTS2" dataDxfId="47">
      <calculatedColumnFormula>(3*Table3[[#This Row],[GR]])+Table3[[#This Row],[PTS2]]</calculatedColumnFormula>
    </tableColumn>
    <tableColumn id="67" xr3:uid="{685476C7-AB55-4647-B9F7-7860AABCA2A3}" name="PROJ_PTS" dataDxfId="46">
      <calculatedColumnFormula>Table3[[#This Row],[PTS]]+(2 * Table3[[#This Row],[GR]] * Table3[[#This Row],[PTS%]])</calculatedColumnFormula>
    </tableColumn>
    <tableColumn id="68" xr3:uid="{B82889C2-551D-43DB-AD0C-EA626770F09C}" name="PROJ_PTS2" dataDxfId="45">
      <calculatedColumnFormula>Table3[[#This Row],[PTS2]]+(3 * Table3[[#This Row],[GR]] * Table3[[#This Row],[PTS%2]])</calculatedColumnFormula>
    </tableColumn>
    <tableColumn id="60" xr3:uid="{EE4931FD-ADC7-49F3-98DE-CE48D4109732}" name="RECORD" dataDxfId="44" dataCellStyle="Output">
      <calculatedColumnFormula>_xlfn.CONCAT(TEXT(Table3[[#This Row],[W]], "0"), "-", TEXT(Table3[[#This Row],[RL]],"0"), "-", TEXT(Table3[[#This Row],[OTL]]+Table3[[#This Row],[SOL]], "0"))</calculatedColumnFormula>
    </tableColumn>
    <tableColumn id="62" xr3:uid="{9681B520-186F-4C7F-AC8C-33F85BD04A16}" name="SHTO_A" dataDxfId="43"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2">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1">
      <calculatedColumnFormula>Table3[[#This Row],[GF]]/Table3[[#This Row],[GP]]</calculatedColumnFormula>
    </tableColumn>
    <tableColumn id="32" xr3:uid="{F1CD7542-6690-4276-B0F0-95BFD01CFF0B}" name="GAPG" dataDxfId="40">
      <calculatedColumnFormula>Table3[[#This Row],[GA]]/Table3[[#This Row],[GP]]</calculatedColumnFormula>
    </tableColumn>
    <tableColumn id="31" xr3:uid="{39B39AC6-8EA7-4628-BDD5-D00B1BD609DA}" name="GDPG" dataDxfId="39">
      <calculatedColumnFormula>(Table3[[#This Row],[GF]]-Table3[[#This Row],[GA]])/Table3[[#This Row],[GP]]</calculatedColumnFormula>
    </tableColumn>
    <tableColumn id="66" xr3:uid="{507DA38A-B238-41CE-9C18-7D9B525AE471}" name="HOME_RECORD" dataDxfId="38" dataCellStyle="Output">
      <calculatedColumnFormula>_xlfn.CONCAT(TEXT(Table3[[#This Row],[W_H]], "0"), "-", TEXT(Table3[[#This Row],[RL_H]],"0"), "-", TEXT(Table3[[#This Row],[OTL_H]]+Table3[[#This Row],[SOL_H]], "0"))</calculatedColumnFormula>
    </tableColumn>
    <tableColumn id="65" xr3:uid="{B3131FFF-7021-4EC7-B116-3182EFFBD440}" name="AWAY_RECORD" dataDxfId="37" dataCellStyle="Output">
      <calculatedColumnFormula>_xlfn.CONCAT(TEXT(Table3[[#This Row],[W_A]], "0"), "-", TEXT(Table3[[#This Row],[RL_A]],"0"), "-", TEXT(Table3[[#This Row],[OTL_A]]+Table3[[#This Row],[SOL_A]], "0"))</calculatedColumnFormula>
    </tableColumn>
    <tableColumn id="70" xr3:uid="{608A0CE6-BF7A-47C8-BB3D-2973557593E1}" name="PTS%_H" dataDxfId="36" dataCellStyle="Output">
      <calculatedColumnFormula>((2*(Table3[[#This Row],[W_H]]))+Table3[[#This Row],[OTL_H]]+Table3[[#This Row],[SOL_H]])/(2*Table3[[#This Row],[GP_H]])</calculatedColumnFormula>
    </tableColumn>
    <tableColumn id="69" xr3:uid="{6B2AD131-677B-40C4-A34C-E0F53EA8F426}" name="PTS%_A" dataDxfId="35" dataCellStyle="Output">
      <calculatedColumnFormula>((2*(Table3[[#This Row],[W_A]]))+Table3[[#This Row],[OTL_A]]+Table3[[#This Row],[SOL_A]])/(2*Table3[[#This Row],[GP_A]])</calculatedColumnFormula>
    </tableColumn>
    <tableColumn id="71" xr3:uid="{77BF7C52-DA9B-4327-94A7-FAD43A4E3D5C}" name="TeamCost" dataDxfId="34" dataCellStyle="Normal">
      <calculatedColumnFormula>(Table3[[#This Row],[W]]*$CE$3)+(Table3[[#This Row],[L]]*$CE$4)+(Table3[[#This Row],[GF]]*$CE$5)+(Table3[[#This Row],[GA]]*$CE$6)</calculatedColumnFormula>
    </tableColumn>
    <tableColumn id="72" xr3:uid="{76376EFE-FC79-42EB-BC15-AC3060F6D2DE}" name="TeamCost82" dataDxfId="33">
      <calculatedColumnFormula>(82*(((Table3[[#This Row],[PTS%]]*$CE$3)+((1-Table3[[#This Row],[PTS%]])*$CE$4)+(Table3[[#This Row],[GF]]*$CE$5)+(Table3[[#This Row],[GA]]*$CE$6))/Table3[[#This Row],[GP]])) + (Table3[[#This Row],[W]]*$CE$3)+(Table3[[#This Row],[L]]*$CE$4)+(Table3[[#This Row],[GF]]*$CE$5)+(Table3[[#This Row],[GA]]*$CE$6)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82" workbookViewId="0">
      <selection activeCell="K695" sqref="K69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691</v>
      </c>
      <c r="AX4" t="s">
        <v>1442</v>
      </c>
      <c r="AY4">
        <v>50</v>
      </c>
      <c r="BA4" s="67"/>
      <c r="BB4" t="s">
        <v>1433</v>
      </c>
      <c r="BC4">
        <f>COUNTIFS($O$3:$O$1315, "Y", $M$3:$M$1315, "REG")</f>
        <v>315</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385</v>
      </c>
      <c r="AX5" t="s">
        <v>1443</v>
      </c>
      <c r="AY5">
        <v>50</v>
      </c>
      <c r="BA5" s="67"/>
      <c r="BB5" t="s">
        <v>1435</v>
      </c>
      <c r="BC5">
        <f>COUNTIFS($O$3:$O$1315, "N", $M$3:$M$1315, "REG")</f>
        <v>236</v>
      </c>
      <c r="BF5" s="67"/>
      <c r="BH5" s="2">
        <v>0</v>
      </c>
      <c r="BI5" s="2" cm="1">
        <f t="array" ref="BI5">SUM(--(ABS($F$3:$F$1315 - $J$3:$J$1315) = 0)) -(((32*82)/2) - $AT$4)</f>
        <v>111</v>
      </c>
      <c r="BJ5" s="2">
        <f>$BI5/$AT$4</f>
        <v>0.16063675832127353</v>
      </c>
      <c r="BK5" s="2" cm="1">
        <f t="array" ref="BK5">SUM(--(ABS($G$3:$G$1315 - $K$3:$K$1315) = 0)) -(((32*82)/2) - $AT$4)</f>
        <v>117</v>
      </c>
      <c r="BL5" s="2">
        <f>$BK5/$AT$4</f>
        <v>0.16931982633863965</v>
      </c>
      <c r="BM5" s="2">
        <f t="shared" ref="BM5:BM15" si="5">BI5+BK5</f>
        <v>228</v>
      </c>
      <c r="BN5">
        <f t="shared" ref="BN5:BN15" si="6">(BI5+BK5)/($AT$4*2)</f>
        <v>0.16497829232995659</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306</v>
      </c>
      <c r="AX6" t="s">
        <v>1480</v>
      </c>
      <c r="AY6">
        <v>50</v>
      </c>
      <c r="BA6" s="67"/>
      <c r="BB6" t="s">
        <v>1436</v>
      </c>
      <c r="BC6">
        <f>COUNTIFS($O$3:$O$1315, "Y", $M$3:$M$1315, "OT")</f>
        <v>53</v>
      </c>
      <c r="BF6" s="67"/>
      <c r="BH6" s="2">
        <v>1</v>
      </c>
      <c r="BI6" s="2" cm="1">
        <f t="array" ref="BI6">SUM(--(ABS($F$3:$F$1315 - $J$3:$J$1315) = $BH6))</f>
        <v>234</v>
      </c>
      <c r="BJ6" s="2">
        <f t="shared" ref="BJ6:BJ15" si="7">$BI6/$AT$4</f>
        <v>0.3386396526772793</v>
      </c>
      <c r="BK6" s="2" cm="1">
        <f t="array" ref="BK6">SUM(--(ABS($G$3:$G$1315 - $K$3:$K$1315) = $BH6))</f>
        <v>210</v>
      </c>
      <c r="BL6" s="2">
        <f t="shared" ref="BL6:BL15" si="8">$BK6/$AT$4</f>
        <v>0.30390738060781475</v>
      </c>
      <c r="BM6" s="2">
        <f t="shared" si="5"/>
        <v>444</v>
      </c>
      <c r="BN6">
        <f t="shared" si="6"/>
        <v>0.32127351664254705</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0.55716353111432704</v>
      </c>
      <c r="AX7" t="s">
        <v>1444</v>
      </c>
      <c r="AY7">
        <v>50</v>
      </c>
      <c r="BA7" s="67"/>
      <c r="BB7" t="s">
        <v>1437</v>
      </c>
      <c r="BC7">
        <f>COUNTIFS($O$3:$O$1315, "N", $M$3:$M$1315, "OT")</f>
        <v>55</v>
      </c>
      <c r="BF7" s="67"/>
      <c r="BH7" s="2">
        <v>2</v>
      </c>
      <c r="BI7" s="2" cm="1">
        <f t="array" ref="BI7">SUM(--(ABS($F$3:$F$1315 - $J$3:$J$1315) = $BH7))</f>
        <v>174</v>
      </c>
      <c r="BJ7" s="2">
        <f t="shared" si="7"/>
        <v>0.25180897250361794</v>
      </c>
      <c r="BK7" s="2" cm="1">
        <f t="array" ref="BK7">SUM(--(ABS($G$3:$G$1315 - $K$3:$K$1315) = $BH7))</f>
        <v>185</v>
      </c>
      <c r="BL7" s="2">
        <f t="shared" si="8"/>
        <v>0.26772793053545585</v>
      </c>
      <c r="BM7" s="2">
        <f t="shared" si="5"/>
        <v>359</v>
      </c>
      <c r="BN7">
        <f t="shared" si="6"/>
        <v>0.25976845151953692</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100</v>
      </c>
      <c r="BJ8" s="2">
        <f t="shared" si="7"/>
        <v>0.14471780028943559</v>
      </c>
      <c r="BK8" s="2" cm="1">
        <f t="array" ref="BK8">SUM(--(ABS($G$3:$G$1315 - $K$3:$K$1315) = $BH8))</f>
        <v>96</v>
      </c>
      <c r="BL8" s="2">
        <f t="shared" si="8"/>
        <v>0.13892908827785819</v>
      </c>
      <c r="BM8" s="2">
        <f t="shared" si="5"/>
        <v>196</v>
      </c>
      <c r="BN8">
        <f t="shared" si="6"/>
        <v>0.14182344428364688</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333.60000000000116</v>
      </c>
      <c r="AX9" t="s">
        <v>1456</v>
      </c>
      <c r="AY9">
        <v>40</v>
      </c>
      <c r="BA9" s="67"/>
      <c r="BB9" t="s">
        <v>1439</v>
      </c>
      <c r="BC9">
        <f>COUNTIFS($O$3:$O$1315, "N", $M$3:$M$1315, "SO")</f>
        <v>15</v>
      </c>
      <c r="BF9" s="67"/>
      <c r="BH9" s="2">
        <v>4</v>
      </c>
      <c r="BI9" s="2" cm="1">
        <f t="array" ref="BI9">SUM(--(ABS($F$3:$F$1315 - $J$3:$J$1315) = $BH9))</f>
        <v>53</v>
      </c>
      <c r="BJ9" s="2">
        <f t="shared" si="7"/>
        <v>7.6700434153400873E-2</v>
      </c>
      <c r="BK9" s="2" cm="1">
        <f t="array" ref="BK9">SUM(--(ABS($G$3:$G$1315 - $K$3:$K$1315) = $BH9))</f>
        <v>63</v>
      </c>
      <c r="BL9" s="2">
        <f t="shared" si="8"/>
        <v>9.1172214182344433E-2</v>
      </c>
      <c r="BM9" s="2">
        <f t="shared" si="5"/>
        <v>116</v>
      </c>
      <c r="BN9">
        <f t="shared" si="6"/>
        <v>8.3936324167872653E-2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0.48277858176555882</v>
      </c>
      <c r="AX10" t="s">
        <v>1458</v>
      </c>
      <c r="AY10">
        <v>75</v>
      </c>
      <c r="BA10" s="67"/>
      <c r="BF10" s="67"/>
      <c r="BH10" s="2">
        <v>5</v>
      </c>
      <c r="BI10" s="2" cm="1">
        <f t="array" ref="BI10">SUM(--(ABS($F$3:$F$1315 - $J$3:$J$1315) = $BH10))</f>
        <v>15</v>
      </c>
      <c r="BJ10" s="2">
        <f t="shared" si="7"/>
        <v>2.1707670043415339E-2</v>
      </c>
      <c r="BK10" s="2" cm="1">
        <f t="array" ref="BK10">SUM(--(ABS($G$3:$G$1315 - $K$3:$K$1315) = $BH10))</f>
        <v>15</v>
      </c>
      <c r="BL10" s="2">
        <f t="shared" si="8"/>
        <v>2.1707670043415339E-2</v>
      </c>
      <c r="BM10" s="2">
        <f t="shared" si="5"/>
        <v>30</v>
      </c>
      <c r="BN10">
        <f t="shared" si="6"/>
        <v>2.1707670043415339E-2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308</v>
      </c>
      <c r="AV11">
        <f>80/100</f>
        <v>0.8</v>
      </c>
      <c r="AX11" t="s">
        <v>1457</v>
      </c>
      <c r="AY11">
        <v>65</v>
      </c>
      <c r="BA11" s="67"/>
      <c r="BB11" s="87" t="str">
        <f>_xlfn.CONCAT(TEXT(BC4+BC6+BC8, "0"),"-",TEXT(BC5, "0"),"-",TEXT(BC7+BC9, "0"))</f>
        <v>385-236-70</v>
      </c>
      <c r="BC11" s="88"/>
      <c r="BD11" t="s">
        <v>1817</v>
      </c>
      <c r="BF11" s="67"/>
      <c r="BH11" s="2">
        <v>6</v>
      </c>
      <c r="BI11" s="2" cm="1">
        <f t="array" ref="BI11">SUM(--(ABS($F$3:$F$1315 - $J$3:$J$1315) = $BH11))</f>
        <v>5</v>
      </c>
      <c r="BJ11" s="2">
        <f t="shared" si="7"/>
        <v>7.2358900144717797E-3</v>
      </c>
      <c r="BK11" s="2" cm="1">
        <f t="array" ref="BK11">SUM(--(ABS($G$3:$G$1315 - $K$3:$K$1315) = $BH11))</f>
        <v>6</v>
      </c>
      <c r="BL11" s="2">
        <f t="shared" si="8"/>
        <v>8.6830680173661367E-3</v>
      </c>
      <c r="BM11" s="2">
        <f t="shared" si="5"/>
        <v>11</v>
      </c>
      <c r="BN11">
        <f t="shared" si="6"/>
        <v>7.9594790159189573E-3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125</v>
      </c>
      <c r="AV12">
        <f>10/100</f>
        <v>0.1</v>
      </c>
      <c r="BA12" s="67"/>
      <c r="BB12" s="81" t="str">
        <f>_xlfn.CONCAT(TEXT(BC4, "0"),"-",TEXT(BC5, "0"),"-",TEXT(BC7+BC9+BC6+BC8, "0"))</f>
        <v>315-236-140</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13.100000000000001</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1.735166425470333</v>
      </c>
      <c r="BJ16" s="80"/>
      <c r="BK16" s="80">
        <f>((BH5*BL5)+(BL6*BH6)+(BL7*BH7)+(BL8*BH8)+(BL9*BH9)+(BL10*BH10)+(BL11*BH11)+(BL12*BH12)+(BL13*BH13)+(BL14*BH14)+(BL15*BH15))</f>
        <v>1.7814761215629522</v>
      </c>
      <c r="BL16" s="80"/>
      <c r="BN16">
        <f>((BH5*BN5)+(BN6*BH6)+(BN7*BH7)+(BN8*BH8)+(BN9*BH9)+(BN10*BH10)+(BN11*BH11)+(BN12*BH12)+(BN13*BH13)+(BN14*BH14)+(BN15*BH15))</f>
        <v>1.7583212735166425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348.20000000000118</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0.50390738060781648</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1843</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2">
        <f>(($AV$11)*IF(Table2[[#This Row],[CorrectWinnerPrediction]]="Y", 1, 0))+(($AV$12)*IF(Table2[[#This Row],[CorrectAwayScorePrediction]]="Y", 1, 0))+(($AV$13)*IF(Table2[[#This Row],[CorrectHomeScorePrediction]]="Y", 1, 0))</f>
        <v>0.1</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0.8</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2">
        <f>(($AV$11)*IF(Table2[[#This Row],[CorrectWinnerPrediction]]="Y", 1, 0))+(($AV$12)*IF(Table2[[#This Row],[CorrectAwayScorePrediction]]="Y", 1, 0))+(($AV$13)*IF(Table2[[#This Row],[CorrectHomeScorePrediction]]="Y", 1, 0))</f>
        <v>0.8</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v>0</v>
      </c>
      <c r="K694" s="2">
        <v>2</v>
      </c>
      <c r="L694" s="13" t="str">
        <f t="shared" si="55"/>
        <v>BOS</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-5</v>
      </c>
      <c r="AG694" s="2">
        <f>Table2[[#This Row],[ActualHomeScore]]-Table2[[#This Row],[PredictedHomeScore]]</f>
        <v>-1</v>
      </c>
      <c r="AH694" s="2">
        <f t="shared" si="57"/>
        <v>-30</v>
      </c>
      <c r="AI694" s="2">
        <f t="shared" si="58"/>
        <v>-37</v>
      </c>
      <c r="AJ694" s="2">
        <v>3</v>
      </c>
      <c r="AK694" s="4">
        <v>45673</v>
      </c>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-30</v>
      </c>
      <c r="AI695" s="2">
        <f t="shared" si="58"/>
        <v>-37</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-30</v>
      </c>
      <c r="AI696" s="2">
        <f t="shared" si="58"/>
        <v>-37</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-30</v>
      </c>
      <c r="AI697" s="2">
        <f t="shared" si="58"/>
        <v>-37</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-3</v>
      </c>
      <c r="AG698" s="2">
        <f>Table2[[#This Row],[ActualHomeScore]]-Table2[[#This Row],[PredictedHomeScore]]</f>
        <v>-4</v>
      </c>
      <c r="AH698" s="2">
        <f t="shared" si="57"/>
        <v>-30</v>
      </c>
      <c r="AI698" s="2">
        <f t="shared" si="58"/>
        <v>-37</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-30</v>
      </c>
      <c r="AI699" s="2">
        <f t="shared" si="58"/>
        <v>-37</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-30</v>
      </c>
      <c r="AI700" s="2">
        <f t="shared" si="58"/>
        <v>-37</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0.8</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-30</v>
      </c>
      <c r="AI701" s="2">
        <f t="shared" si="58"/>
        <v>-37</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-30</v>
      </c>
      <c r="AI702" s="2">
        <f t="shared" si="58"/>
        <v>-37</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-30</v>
      </c>
      <c r="AI703" s="2">
        <f t="shared" si="58"/>
        <v>-37</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-30</v>
      </c>
      <c r="AI704" s="2">
        <f t="shared" si="58"/>
        <v>-37</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-30</v>
      </c>
      <c r="AI705" s="2">
        <f t="shared" si="58"/>
        <v>-37</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0.9</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-30</v>
      </c>
      <c r="AI706" s="3">
        <f t="shared" si="58"/>
        <v>-37</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-4</v>
      </c>
      <c r="AG707" s="2">
        <f>Table2[[#This Row],[ActualHomeScore]]-Table2[[#This Row],[PredictedHomeScore]]</f>
        <v>-2</v>
      </c>
      <c r="AH707" s="2">
        <f t="shared" ref="AH707:AH770" si="62">SUMIF($B$3:$B$1315, $B707, $AF$3:$AF$1315)</f>
        <v>-9</v>
      </c>
      <c r="AI707" s="2">
        <f t="shared" ref="AI707:AI770" si="63">SUMIF($B$3:$B$1315, $B707, $AG$3:$AG$1315)</f>
        <v>-5</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5">
        <v>45672</v>
      </c>
      <c r="B708" s="5">
        <v>45672</v>
      </c>
      <c r="C708" s="8" t="s">
        <v>817</v>
      </c>
      <c r="D708" s="3" t="s">
        <v>23</v>
      </c>
      <c r="E708" s="3" t="s">
        <v>37</v>
      </c>
      <c r="F708" s="3">
        <v>5</v>
      </c>
      <c r="G708" s="3">
        <v>3</v>
      </c>
      <c r="H708" s="3" t="str">
        <f t="shared" si="59"/>
        <v>EDM</v>
      </c>
      <c r="I708" s="3" t="s">
        <v>40</v>
      </c>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-5</v>
      </c>
      <c r="AG708" s="3">
        <f>Table2[[#This Row],[ActualHomeScore]]-Table2[[#This Row],[PredictedHomeScore]]</f>
        <v>-3</v>
      </c>
      <c r="AH708" s="3">
        <f t="shared" si="62"/>
        <v>-9</v>
      </c>
      <c r="AI708" s="3">
        <f t="shared" si="63"/>
        <v>-5</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D1315:AX1048576 AF1:AW1 AE1:AE1314 A1:B1048576 AR3:AY5 X4:Y7 AR6:AW11 AY6:AY11 AX6:AX12 AQ12:AY16 AQ17:AW17 AQ18:AY22 AO23:AY1314 C664:AM1314">
    <cfRule type="cellIs" dxfId="32" priority="6" operator="equal">
      <formula>"WSH"</formula>
    </cfRule>
    <cfRule type="cellIs" dxfId="31" priority="7" operator="equal">
      <formula>"UTA"</formula>
    </cfRule>
    <cfRule type="cellIs" dxfId="30" priority="8" operator="equal">
      <formula>"TBL"</formula>
    </cfRule>
    <cfRule type="cellIs" dxfId="29" priority="9" operator="equal">
      <formula>"TOR"</formula>
    </cfRule>
    <cfRule type="cellIs" dxfId="28" priority="10" operator="equal">
      <formula>"WPG"</formula>
    </cfRule>
    <cfRule type="cellIs" dxfId="27" priority="11" operator="equal">
      <formula>"VAN"</formula>
    </cfRule>
    <cfRule type="cellIs" dxfId="26" priority="12" operator="equal">
      <formula>"VGK"</formula>
    </cfRule>
    <cfRule type="cellIs" dxfId="25" priority="13" operator="equal">
      <formula>"SEA"</formula>
    </cfRule>
    <cfRule type="cellIs" dxfId="24" priority="14" operator="equal">
      <formula>"STL"</formula>
    </cfRule>
    <cfRule type="cellIs" dxfId="23" priority="15" operator="equal">
      <formula>"SJS"</formula>
    </cfRule>
    <cfRule type="cellIs" dxfId="22" priority="16" operator="equal">
      <formula>"PHI"</formula>
    </cfRule>
    <cfRule type="cellIs" dxfId="21" priority="17" operator="equal">
      <formula>"LAK"</formula>
    </cfRule>
    <cfRule type="cellIs" dxfId="20" priority="18" operator="equal">
      <formula>"PIT"</formula>
    </cfRule>
    <cfRule type="cellIs" dxfId="19" priority="19" operator="equal">
      <formula>"OTT"</formula>
    </cfRule>
    <cfRule type="cellIs" dxfId="18" priority="20" operator="equal">
      <formula>"NSH"</formula>
    </cfRule>
    <cfRule type="cellIs" dxfId="17" priority="21" operator="equal">
      <formula>"MIN"</formula>
    </cfRule>
    <cfRule type="cellIs" dxfId="16" priority="22" operator="equal">
      <formula>"MTL"</formula>
    </cfRule>
    <cfRule type="cellIs" dxfId="15" priority="23" operator="equal">
      <formula>"NYR"</formula>
    </cfRule>
    <cfRule type="cellIs" dxfId="14" priority="24" operator="equal">
      <formula>"NJD"</formula>
    </cfRule>
    <cfRule type="cellIs" dxfId="13" priority="25" operator="equal">
      <formula>"NYI"</formula>
    </cfRule>
    <cfRule type="cellIs" dxfId="12" priority="26" operator="equal">
      <formula>"BOS"</formula>
    </cfRule>
    <cfRule type="cellIs" dxfId="11" priority="27" operator="equal">
      <formula>"FLA"</formula>
    </cfRule>
    <cfRule type="cellIs" dxfId="10" priority="28" operator="equal">
      <formula>"EDM"</formula>
    </cfRule>
    <cfRule type="cellIs" dxfId="9" priority="29" operator="equal">
      <formula>"DAL"</formula>
    </cfRule>
    <cfRule type="cellIs" dxfId="8" priority="30" operator="equal">
      <formula>"DET"</formula>
    </cfRule>
    <cfRule type="cellIs" dxfId="7" priority="31" operator="equal">
      <formula>"CBJ"</formula>
    </cfRule>
    <cfRule type="cellIs" dxfId="6" priority="32" operator="equal">
      <formula>"CGY"</formula>
    </cfRule>
    <cfRule type="cellIs" dxfId="5" priority="33" operator="equal">
      <formula>"COL"</formula>
    </cfRule>
    <cfRule type="cellIs" dxfId="4" priority="34" operator="equal">
      <formula>"CHI"</formula>
    </cfRule>
    <cfRule type="cellIs" dxfId="3" priority="35" operator="equal">
      <formula>"CAR"</formula>
    </cfRule>
    <cfRule type="cellIs" dxfId="2" priority="36" operator="equal">
      <formula>"BUF"</formula>
    </cfRule>
    <cfRule type="cellIs" dxfId="1"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44</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47</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44</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47</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46</v>
      </c>
      <c r="V105" s="2">
        <f>SUMIFS(DataRegularSeason20242025!$AA$3:$AA$1315,DataRegularSeason20242025!$B$3:$B$1315, "&lt;=" &amp; $A105, DataRegularSeason20242025!$D$3:$D$1315, V$1)+SUMIFS(DataRegularSeason20242025!$AB$3:$AB$1315,DataRegularSeason20242025!$B$3:$B$1315, "&lt;=" &amp; $A105, DataRegularSeason20242025!$E$3:$E$1315, V$1)</f>
        <v>43</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47</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57</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46</v>
      </c>
      <c r="V106" s="2">
        <f>SUMIFS(DataRegularSeason20242025!$AA$3:$AA$1315,DataRegularSeason20242025!$B$3:$B$1315, "&lt;=" &amp; $A106, DataRegularSeason20242025!$D$3:$D$1315, V$1)+SUMIFS(DataRegularSeason20242025!$AB$3:$AB$1315,DataRegularSeason20242025!$B$3:$B$1315, "&lt;=" &amp; $A106, DataRegularSeason20242025!$E$3:$E$1315, V$1)</f>
        <v>43</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47</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57</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46</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46</v>
      </c>
      <c r="V107" s="2">
        <f>SUMIFS(DataRegularSeason20242025!$AA$3:$AA$1315,DataRegularSeason20242025!$B$3:$B$1315, "&lt;=" &amp; $A107, DataRegularSeason20242025!$D$3:$D$1315, V$1)+SUMIFS(DataRegularSeason20242025!$AB$3:$AB$1315,DataRegularSeason20242025!$B$3:$B$1315, "&lt;=" &amp; $A107, DataRegularSeason20242025!$E$3:$E$1315, V$1)</f>
        <v>43</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47</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57</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46</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46</v>
      </c>
      <c r="V108" s="2">
        <f>SUMIFS(DataRegularSeason20242025!$AA$3:$AA$1315,DataRegularSeason20242025!$B$3:$B$1315, "&lt;=" &amp; $A108, DataRegularSeason20242025!$D$3:$D$1315, V$1)+SUMIFS(DataRegularSeason20242025!$AB$3:$AB$1315,DataRegularSeason20242025!$B$3:$B$1315, "&lt;=" &amp; $A108, DataRegularSeason20242025!$E$3:$E$1315, V$1)</f>
        <v>43</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47</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49</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57</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46</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46</v>
      </c>
      <c r="V109" s="2">
        <f>SUMIFS(DataRegularSeason20242025!$AA$3:$AA$1315,DataRegularSeason20242025!$B$3:$B$1315, "&lt;=" &amp; $A109, DataRegularSeason20242025!$D$3:$D$1315, V$1)+SUMIFS(DataRegularSeason20242025!$AB$3:$AB$1315,DataRegularSeason20242025!$B$3:$B$1315, "&lt;=" &amp; $A109, DataRegularSeason20242025!$E$3:$E$1315, V$1)</f>
        <v>43</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47</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49</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57</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46</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46</v>
      </c>
      <c r="V110" s="2">
        <f>SUMIFS(DataRegularSeason20242025!$AA$3:$AA$1315,DataRegularSeason20242025!$B$3:$B$1315, "&lt;=" &amp; $A110, DataRegularSeason20242025!$D$3:$D$1315, V$1)+SUMIFS(DataRegularSeason20242025!$AB$3:$AB$1315,DataRegularSeason20242025!$B$3:$B$1315, "&lt;=" &amp; $A110, DataRegularSeason20242025!$E$3:$E$1315, V$1)</f>
        <v>43</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47</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49</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57</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46</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46</v>
      </c>
      <c r="V111" s="2">
        <f>SUMIFS(DataRegularSeason20242025!$AA$3:$AA$1315,DataRegularSeason20242025!$B$3:$B$1315, "&lt;=" &amp; $A111, DataRegularSeason20242025!$D$3:$D$1315, V$1)+SUMIFS(DataRegularSeason20242025!$AB$3:$AB$1315,DataRegularSeason20242025!$B$3:$B$1315, "&lt;=" &amp; $A111, DataRegularSeason20242025!$E$3:$E$1315, V$1)</f>
        <v>43</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47</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49</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57</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46</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46</v>
      </c>
      <c r="V112" s="2">
        <f>SUMIFS(DataRegularSeason20242025!$AA$3:$AA$1315,DataRegularSeason20242025!$B$3:$B$1315, "&lt;=" &amp; $A112, DataRegularSeason20242025!$D$3:$D$1315, V$1)+SUMIFS(DataRegularSeason20242025!$AB$3:$AB$1315,DataRegularSeason20242025!$B$3:$B$1315, "&lt;=" &amp; $A112, DataRegularSeason20242025!$E$3:$E$1315, V$1)</f>
        <v>43</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47</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49</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57</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46</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46</v>
      </c>
      <c r="V113" s="2">
        <f>SUMIFS(DataRegularSeason20242025!$AA$3:$AA$1315,DataRegularSeason20242025!$B$3:$B$1315, "&lt;=" &amp; $A113, DataRegularSeason20242025!$D$3:$D$1315, V$1)+SUMIFS(DataRegularSeason20242025!$AB$3:$AB$1315,DataRegularSeason20242025!$B$3:$B$1315, "&lt;=" &amp; $A113, DataRegularSeason20242025!$E$3:$E$1315, V$1)</f>
        <v>43</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47</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49</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57</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46</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46</v>
      </c>
      <c r="V114" s="2">
        <f>SUMIFS(DataRegularSeason20242025!$AA$3:$AA$1315,DataRegularSeason20242025!$B$3:$B$1315, "&lt;=" &amp; $A114, DataRegularSeason20242025!$D$3:$D$1315, V$1)+SUMIFS(DataRegularSeason20242025!$AB$3:$AB$1315,DataRegularSeason20242025!$B$3:$B$1315, "&lt;=" &amp; $A114, DataRegularSeason20242025!$E$3:$E$1315, V$1)</f>
        <v>43</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47</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49</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57</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46</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46</v>
      </c>
      <c r="V115" s="2">
        <f>SUMIFS(DataRegularSeason20242025!$AA$3:$AA$1315,DataRegularSeason20242025!$B$3:$B$1315, "&lt;=" &amp; $A115, DataRegularSeason20242025!$D$3:$D$1315, V$1)+SUMIFS(DataRegularSeason20242025!$AB$3:$AB$1315,DataRegularSeason20242025!$B$3:$B$1315, "&lt;=" &amp; $A115, DataRegularSeason20242025!$E$3:$E$1315, V$1)</f>
        <v>43</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47</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49</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57</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46</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46</v>
      </c>
      <c r="V116" s="2">
        <f>SUMIFS(DataRegularSeason20242025!$AA$3:$AA$1315,DataRegularSeason20242025!$B$3:$B$1315, "&lt;=" &amp; $A116, DataRegularSeason20242025!$D$3:$D$1315, V$1)+SUMIFS(DataRegularSeason20242025!$AB$3:$AB$1315,DataRegularSeason20242025!$B$3:$B$1315, "&lt;=" &amp; $A116, DataRegularSeason20242025!$E$3:$E$1315, V$1)</f>
        <v>43</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47</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49</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57</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46</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46</v>
      </c>
      <c r="V117" s="2">
        <f>SUMIFS(DataRegularSeason20242025!$AA$3:$AA$1315,DataRegularSeason20242025!$B$3:$B$1315, "&lt;=" &amp; $A117, DataRegularSeason20242025!$D$3:$D$1315, V$1)+SUMIFS(DataRegularSeason20242025!$AB$3:$AB$1315,DataRegularSeason20242025!$B$3:$B$1315, "&lt;=" &amp; $A117, DataRegularSeason20242025!$E$3:$E$1315, V$1)</f>
        <v>43</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47</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49</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57</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46</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46</v>
      </c>
      <c r="V118" s="2">
        <f>SUMIFS(DataRegularSeason20242025!$AA$3:$AA$1315,DataRegularSeason20242025!$B$3:$B$1315, "&lt;=" &amp; $A118, DataRegularSeason20242025!$D$3:$D$1315, V$1)+SUMIFS(DataRegularSeason20242025!$AB$3:$AB$1315,DataRegularSeason20242025!$B$3:$B$1315, "&lt;=" &amp; $A118, DataRegularSeason20242025!$E$3:$E$1315, V$1)</f>
        <v>43</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47</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49</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57</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46</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46</v>
      </c>
      <c r="V119" s="2">
        <f>SUMIFS(DataRegularSeason20242025!$AA$3:$AA$1315,DataRegularSeason20242025!$B$3:$B$1315, "&lt;=" &amp; $A119, DataRegularSeason20242025!$D$3:$D$1315, V$1)+SUMIFS(DataRegularSeason20242025!$AB$3:$AB$1315,DataRegularSeason20242025!$B$3:$B$1315, "&lt;=" &amp; $A119, DataRegularSeason20242025!$E$3:$E$1315, V$1)</f>
        <v>43</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47</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49</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57</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46</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46</v>
      </c>
      <c r="V120" s="2">
        <f>SUMIFS(DataRegularSeason20242025!$AA$3:$AA$1315,DataRegularSeason20242025!$B$3:$B$1315, "&lt;=" &amp; $A120, DataRegularSeason20242025!$D$3:$D$1315, V$1)+SUMIFS(DataRegularSeason20242025!$AB$3:$AB$1315,DataRegularSeason20242025!$B$3:$B$1315, "&lt;=" &amp; $A120, DataRegularSeason20242025!$E$3:$E$1315, V$1)</f>
        <v>43</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47</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49</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57</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46</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46</v>
      </c>
      <c r="V121" s="2">
        <f>SUMIFS(DataRegularSeason20242025!$AA$3:$AA$1315,DataRegularSeason20242025!$B$3:$B$1315, "&lt;=" &amp; $A121, DataRegularSeason20242025!$D$3:$D$1315, V$1)+SUMIFS(DataRegularSeason20242025!$AB$3:$AB$1315,DataRegularSeason20242025!$B$3:$B$1315, "&lt;=" &amp; $A121, DataRegularSeason20242025!$E$3:$E$1315, V$1)</f>
        <v>43</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47</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49</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57</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46</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46</v>
      </c>
      <c r="V122" s="2">
        <f>SUMIFS(DataRegularSeason20242025!$AA$3:$AA$1315,DataRegularSeason20242025!$B$3:$B$1315, "&lt;=" &amp; $A122, DataRegularSeason20242025!$D$3:$D$1315, V$1)+SUMIFS(DataRegularSeason20242025!$AB$3:$AB$1315,DataRegularSeason20242025!$B$3:$B$1315, "&lt;=" &amp; $A122, DataRegularSeason20242025!$E$3:$E$1315, V$1)</f>
        <v>43</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47</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49</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57</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46</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46</v>
      </c>
      <c r="V123" s="2">
        <f>SUMIFS(DataRegularSeason20242025!$AA$3:$AA$1315,DataRegularSeason20242025!$B$3:$B$1315, "&lt;=" &amp; $A123, DataRegularSeason20242025!$D$3:$D$1315, V$1)+SUMIFS(DataRegularSeason20242025!$AB$3:$AB$1315,DataRegularSeason20242025!$B$3:$B$1315, "&lt;=" &amp; $A123, DataRegularSeason20242025!$E$3:$E$1315, V$1)</f>
        <v>43</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47</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49</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57</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46</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46</v>
      </c>
      <c r="V124" s="2">
        <f>SUMIFS(DataRegularSeason20242025!$AA$3:$AA$1315,DataRegularSeason20242025!$B$3:$B$1315, "&lt;=" &amp; $A124, DataRegularSeason20242025!$D$3:$D$1315, V$1)+SUMIFS(DataRegularSeason20242025!$AB$3:$AB$1315,DataRegularSeason20242025!$B$3:$B$1315, "&lt;=" &amp; $A124, DataRegularSeason20242025!$E$3:$E$1315, V$1)</f>
        <v>43</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47</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49</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57</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46</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46</v>
      </c>
      <c r="V125" s="2">
        <f>SUMIFS(DataRegularSeason20242025!$AA$3:$AA$1315,DataRegularSeason20242025!$B$3:$B$1315, "&lt;=" &amp; $A125, DataRegularSeason20242025!$D$3:$D$1315, V$1)+SUMIFS(DataRegularSeason20242025!$AB$3:$AB$1315,DataRegularSeason20242025!$B$3:$B$1315, "&lt;=" &amp; $A125, DataRegularSeason20242025!$E$3:$E$1315, V$1)</f>
        <v>43</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47</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49</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57</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46</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46</v>
      </c>
      <c r="V126" s="2">
        <f>SUMIFS(DataRegularSeason20242025!$AA$3:$AA$1315,DataRegularSeason20242025!$B$3:$B$1315, "&lt;=" &amp; $A126, DataRegularSeason20242025!$D$3:$D$1315, V$1)+SUMIFS(DataRegularSeason20242025!$AB$3:$AB$1315,DataRegularSeason20242025!$B$3:$B$1315, "&lt;=" &amp; $A126, DataRegularSeason20242025!$E$3:$E$1315, V$1)</f>
        <v>43</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47</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49</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57</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46</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46</v>
      </c>
      <c r="V127" s="2">
        <f>SUMIFS(DataRegularSeason20242025!$AA$3:$AA$1315,DataRegularSeason20242025!$B$3:$B$1315, "&lt;=" &amp; $A127, DataRegularSeason20242025!$D$3:$D$1315, V$1)+SUMIFS(DataRegularSeason20242025!$AB$3:$AB$1315,DataRegularSeason20242025!$B$3:$B$1315, "&lt;=" &amp; $A127, DataRegularSeason20242025!$E$3:$E$1315, V$1)</f>
        <v>43</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47</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49</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57</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46</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46</v>
      </c>
      <c r="V128" s="2">
        <f>SUMIFS(DataRegularSeason20242025!$AA$3:$AA$1315,DataRegularSeason20242025!$B$3:$B$1315, "&lt;=" &amp; $A128, DataRegularSeason20242025!$D$3:$D$1315, V$1)+SUMIFS(DataRegularSeason20242025!$AB$3:$AB$1315,DataRegularSeason20242025!$B$3:$B$1315, "&lt;=" &amp; $A128, DataRegularSeason20242025!$E$3:$E$1315, V$1)</f>
        <v>43</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47</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49</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57</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46</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46</v>
      </c>
      <c r="V129" s="2">
        <f>SUMIFS(DataRegularSeason20242025!$AA$3:$AA$1315,DataRegularSeason20242025!$B$3:$B$1315, "&lt;=" &amp; $A129, DataRegularSeason20242025!$D$3:$D$1315, V$1)+SUMIFS(DataRegularSeason20242025!$AB$3:$AB$1315,DataRegularSeason20242025!$B$3:$B$1315, "&lt;=" &amp; $A129, DataRegularSeason20242025!$E$3:$E$1315, V$1)</f>
        <v>43</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47</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49</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57</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46</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46</v>
      </c>
      <c r="V130" s="2">
        <f>SUMIFS(DataRegularSeason20242025!$AA$3:$AA$1315,DataRegularSeason20242025!$B$3:$B$1315, "&lt;=" &amp; $A130, DataRegularSeason20242025!$D$3:$D$1315, V$1)+SUMIFS(DataRegularSeason20242025!$AB$3:$AB$1315,DataRegularSeason20242025!$B$3:$B$1315, "&lt;=" &amp; $A130, DataRegularSeason20242025!$E$3:$E$1315, V$1)</f>
        <v>43</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47</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49</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57</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46</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46</v>
      </c>
      <c r="V131" s="2">
        <f>SUMIFS(DataRegularSeason20242025!$AA$3:$AA$1315,DataRegularSeason20242025!$B$3:$B$1315, "&lt;=" &amp; $A131, DataRegularSeason20242025!$D$3:$D$1315, V$1)+SUMIFS(DataRegularSeason20242025!$AB$3:$AB$1315,DataRegularSeason20242025!$B$3:$B$1315, "&lt;=" &amp; $A131, DataRegularSeason20242025!$E$3:$E$1315, V$1)</f>
        <v>43</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47</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49</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57</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46</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46</v>
      </c>
      <c r="V132" s="2">
        <f>SUMIFS(DataRegularSeason20242025!$AA$3:$AA$1315,DataRegularSeason20242025!$B$3:$B$1315, "&lt;=" &amp; $A132, DataRegularSeason20242025!$D$3:$D$1315, V$1)+SUMIFS(DataRegularSeason20242025!$AB$3:$AB$1315,DataRegularSeason20242025!$B$3:$B$1315, "&lt;=" &amp; $A132, DataRegularSeason20242025!$E$3:$E$1315, V$1)</f>
        <v>43</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47</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49</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57</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46</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46</v>
      </c>
      <c r="V133" s="2">
        <f>SUMIFS(DataRegularSeason20242025!$AA$3:$AA$1315,DataRegularSeason20242025!$B$3:$B$1315, "&lt;=" &amp; $A133, DataRegularSeason20242025!$D$3:$D$1315, V$1)+SUMIFS(DataRegularSeason20242025!$AB$3:$AB$1315,DataRegularSeason20242025!$B$3:$B$1315, "&lt;=" &amp; $A133, DataRegularSeason20242025!$E$3:$E$1315, V$1)</f>
        <v>43</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47</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49</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57</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46</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46</v>
      </c>
      <c r="V134" s="2">
        <f>SUMIFS(DataRegularSeason20242025!$AA$3:$AA$1315,DataRegularSeason20242025!$B$3:$B$1315, "&lt;=" &amp; $A134, DataRegularSeason20242025!$D$3:$D$1315, V$1)+SUMIFS(DataRegularSeason20242025!$AB$3:$AB$1315,DataRegularSeason20242025!$B$3:$B$1315, "&lt;=" &amp; $A134, DataRegularSeason20242025!$E$3:$E$1315, V$1)</f>
        <v>43</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47</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49</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57</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46</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46</v>
      </c>
      <c r="V135" s="2">
        <f>SUMIFS(DataRegularSeason20242025!$AA$3:$AA$1315,DataRegularSeason20242025!$B$3:$B$1315, "&lt;=" &amp; $A135, DataRegularSeason20242025!$D$3:$D$1315, V$1)+SUMIFS(DataRegularSeason20242025!$AB$3:$AB$1315,DataRegularSeason20242025!$B$3:$B$1315, "&lt;=" &amp; $A135, DataRegularSeason20242025!$E$3:$E$1315, V$1)</f>
        <v>43</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47</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49</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57</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46</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46</v>
      </c>
      <c r="V136" s="2">
        <f>SUMIFS(DataRegularSeason20242025!$AA$3:$AA$1315,DataRegularSeason20242025!$B$3:$B$1315, "&lt;=" &amp; $A136, DataRegularSeason20242025!$D$3:$D$1315, V$1)+SUMIFS(DataRegularSeason20242025!$AB$3:$AB$1315,DataRegularSeason20242025!$B$3:$B$1315, "&lt;=" &amp; $A136, DataRegularSeason20242025!$E$3:$E$1315, V$1)</f>
        <v>43</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47</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49</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57</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46</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46</v>
      </c>
      <c r="V137" s="2">
        <f>SUMIFS(DataRegularSeason20242025!$AA$3:$AA$1315,DataRegularSeason20242025!$B$3:$B$1315, "&lt;=" &amp; $A137, DataRegularSeason20242025!$D$3:$D$1315, V$1)+SUMIFS(DataRegularSeason20242025!$AB$3:$AB$1315,DataRegularSeason20242025!$B$3:$B$1315, "&lt;=" &amp; $A137, DataRegularSeason20242025!$E$3:$E$1315, V$1)</f>
        <v>43</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47</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49</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57</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46</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46</v>
      </c>
      <c r="V138" s="2">
        <f>SUMIFS(DataRegularSeason20242025!$AA$3:$AA$1315,DataRegularSeason20242025!$B$3:$B$1315, "&lt;=" &amp; $A138, DataRegularSeason20242025!$D$3:$D$1315, V$1)+SUMIFS(DataRegularSeason20242025!$AB$3:$AB$1315,DataRegularSeason20242025!$B$3:$B$1315, "&lt;=" &amp; $A138, DataRegularSeason20242025!$E$3:$E$1315, V$1)</f>
        <v>43</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47</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49</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57</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46</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46</v>
      </c>
      <c r="V139" s="2">
        <f>SUMIFS(DataRegularSeason20242025!$AA$3:$AA$1315,DataRegularSeason20242025!$B$3:$B$1315, "&lt;=" &amp; $A139, DataRegularSeason20242025!$D$3:$D$1315, V$1)+SUMIFS(DataRegularSeason20242025!$AB$3:$AB$1315,DataRegularSeason20242025!$B$3:$B$1315, "&lt;=" &amp; $A139, DataRegularSeason20242025!$E$3:$E$1315, V$1)</f>
        <v>43</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47</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49</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57</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46</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46</v>
      </c>
      <c r="V140" s="2">
        <f>SUMIFS(DataRegularSeason20242025!$AA$3:$AA$1315,DataRegularSeason20242025!$B$3:$B$1315, "&lt;=" &amp; $A140, DataRegularSeason20242025!$D$3:$D$1315, V$1)+SUMIFS(DataRegularSeason20242025!$AB$3:$AB$1315,DataRegularSeason20242025!$B$3:$B$1315, "&lt;=" &amp; $A140, DataRegularSeason20242025!$E$3:$E$1315, V$1)</f>
        <v>43</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47</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49</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57</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46</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46</v>
      </c>
      <c r="V141" s="2">
        <f>SUMIFS(DataRegularSeason20242025!$AA$3:$AA$1315,DataRegularSeason20242025!$B$3:$B$1315, "&lt;=" &amp; $A141, DataRegularSeason20242025!$D$3:$D$1315, V$1)+SUMIFS(DataRegularSeason20242025!$AB$3:$AB$1315,DataRegularSeason20242025!$B$3:$B$1315, "&lt;=" &amp; $A141, DataRegularSeason20242025!$E$3:$E$1315, V$1)</f>
        <v>43</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47</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49</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57</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46</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46</v>
      </c>
      <c r="V142" s="2">
        <f>SUMIFS(DataRegularSeason20242025!$AA$3:$AA$1315,DataRegularSeason20242025!$B$3:$B$1315, "&lt;=" &amp; $A142, DataRegularSeason20242025!$D$3:$D$1315, V$1)+SUMIFS(DataRegularSeason20242025!$AB$3:$AB$1315,DataRegularSeason20242025!$B$3:$B$1315, "&lt;=" &amp; $A142, DataRegularSeason20242025!$E$3:$E$1315, V$1)</f>
        <v>43</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47</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49</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57</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46</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46</v>
      </c>
      <c r="V143" s="2">
        <f>SUMIFS(DataRegularSeason20242025!$AA$3:$AA$1315,DataRegularSeason20242025!$B$3:$B$1315, "&lt;=" &amp; $A143, DataRegularSeason20242025!$D$3:$D$1315, V$1)+SUMIFS(DataRegularSeason20242025!$AB$3:$AB$1315,DataRegularSeason20242025!$B$3:$B$1315, "&lt;=" &amp; $A143, DataRegularSeason20242025!$E$3:$E$1315, V$1)</f>
        <v>43</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47</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49</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57</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46</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46</v>
      </c>
      <c r="V144" s="2">
        <f>SUMIFS(DataRegularSeason20242025!$AA$3:$AA$1315,DataRegularSeason20242025!$B$3:$B$1315, "&lt;=" &amp; $A144, DataRegularSeason20242025!$D$3:$D$1315, V$1)+SUMIFS(DataRegularSeason20242025!$AB$3:$AB$1315,DataRegularSeason20242025!$B$3:$B$1315, "&lt;=" &amp; $A144, DataRegularSeason20242025!$E$3:$E$1315, V$1)</f>
        <v>43</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47</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49</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57</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46</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46</v>
      </c>
      <c r="V145" s="2">
        <f>SUMIFS(DataRegularSeason20242025!$AA$3:$AA$1315,DataRegularSeason20242025!$B$3:$B$1315, "&lt;=" &amp; $A145, DataRegularSeason20242025!$D$3:$D$1315, V$1)+SUMIFS(DataRegularSeason20242025!$AB$3:$AB$1315,DataRegularSeason20242025!$B$3:$B$1315, "&lt;=" &amp; $A145, DataRegularSeason20242025!$E$3:$E$1315, V$1)</f>
        <v>43</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47</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49</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57</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46</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46</v>
      </c>
      <c r="V146" s="2">
        <f>SUMIFS(DataRegularSeason20242025!$AA$3:$AA$1315,DataRegularSeason20242025!$B$3:$B$1315, "&lt;=" &amp; $A146, DataRegularSeason20242025!$D$3:$D$1315, V$1)+SUMIFS(DataRegularSeason20242025!$AB$3:$AB$1315,DataRegularSeason20242025!$B$3:$B$1315, "&lt;=" &amp; $A146, DataRegularSeason20242025!$E$3:$E$1315, V$1)</f>
        <v>43</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47</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49</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57</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46</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46</v>
      </c>
      <c r="V147" s="2">
        <f>SUMIFS(DataRegularSeason20242025!$AA$3:$AA$1315,DataRegularSeason20242025!$B$3:$B$1315, "&lt;=" &amp; $A147, DataRegularSeason20242025!$D$3:$D$1315, V$1)+SUMIFS(DataRegularSeason20242025!$AB$3:$AB$1315,DataRegularSeason20242025!$B$3:$B$1315, "&lt;=" &amp; $A147, DataRegularSeason20242025!$E$3:$E$1315, V$1)</f>
        <v>43</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47</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49</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57</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46</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46</v>
      </c>
      <c r="V148" s="2">
        <f>SUMIFS(DataRegularSeason20242025!$AA$3:$AA$1315,DataRegularSeason20242025!$B$3:$B$1315, "&lt;=" &amp; $A148, DataRegularSeason20242025!$D$3:$D$1315, V$1)+SUMIFS(DataRegularSeason20242025!$AB$3:$AB$1315,DataRegularSeason20242025!$B$3:$B$1315, "&lt;=" &amp; $A148, DataRegularSeason20242025!$E$3:$E$1315, V$1)</f>
        <v>43</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47</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49</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57</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46</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46</v>
      </c>
      <c r="V149" s="2">
        <f>SUMIFS(DataRegularSeason20242025!$AA$3:$AA$1315,DataRegularSeason20242025!$B$3:$B$1315, "&lt;=" &amp; $A149, DataRegularSeason20242025!$D$3:$D$1315, V$1)+SUMIFS(DataRegularSeason20242025!$AB$3:$AB$1315,DataRegularSeason20242025!$B$3:$B$1315, "&lt;=" &amp; $A149, DataRegularSeason20242025!$E$3:$E$1315, V$1)</f>
        <v>43</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47</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49</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57</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46</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46</v>
      </c>
      <c r="V150" s="2">
        <f>SUMIFS(DataRegularSeason20242025!$AA$3:$AA$1315,DataRegularSeason20242025!$B$3:$B$1315, "&lt;=" &amp; $A150, DataRegularSeason20242025!$D$3:$D$1315, V$1)+SUMIFS(DataRegularSeason20242025!$AB$3:$AB$1315,DataRegularSeason20242025!$B$3:$B$1315, "&lt;=" &amp; $A150, DataRegularSeason20242025!$E$3:$E$1315, V$1)</f>
        <v>43</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47</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49</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57</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46</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46</v>
      </c>
      <c r="V151" s="2">
        <f>SUMIFS(DataRegularSeason20242025!$AA$3:$AA$1315,DataRegularSeason20242025!$B$3:$B$1315, "&lt;=" &amp; $A151, DataRegularSeason20242025!$D$3:$D$1315, V$1)+SUMIFS(DataRegularSeason20242025!$AB$3:$AB$1315,DataRegularSeason20242025!$B$3:$B$1315, "&lt;=" &amp; $A151, DataRegularSeason20242025!$E$3:$E$1315, V$1)</f>
        <v>43</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47</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49</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57</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46</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46</v>
      </c>
      <c r="V152" s="2">
        <f>SUMIFS(DataRegularSeason20242025!$AA$3:$AA$1315,DataRegularSeason20242025!$B$3:$B$1315, "&lt;=" &amp; $A152, DataRegularSeason20242025!$D$3:$D$1315, V$1)+SUMIFS(DataRegularSeason20242025!$AB$3:$AB$1315,DataRegularSeason20242025!$B$3:$B$1315, "&lt;=" &amp; $A152, DataRegularSeason20242025!$E$3:$E$1315, V$1)</f>
        <v>43</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47</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49</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57</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46</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46</v>
      </c>
      <c r="V153" s="2">
        <f>SUMIFS(DataRegularSeason20242025!$AA$3:$AA$1315,DataRegularSeason20242025!$B$3:$B$1315, "&lt;=" &amp; $A153, DataRegularSeason20242025!$D$3:$D$1315, V$1)+SUMIFS(DataRegularSeason20242025!$AB$3:$AB$1315,DataRegularSeason20242025!$B$3:$B$1315, "&lt;=" &amp; $A153, DataRegularSeason20242025!$E$3:$E$1315, V$1)</f>
        <v>43</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47</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49</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57</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46</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46</v>
      </c>
      <c r="V154" s="2">
        <f>SUMIFS(DataRegularSeason20242025!$AA$3:$AA$1315,DataRegularSeason20242025!$B$3:$B$1315, "&lt;=" &amp; $A154, DataRegularSeason20242025!$D$3:$D$1315, V$1)+SUMIFS(DataRegularSeason20242025!$AB$3:$AB$1315,DataRegularSeason20242025!$B$3:$B$1315, "&lt;=" &amp; $A154, DataRegularSeason20242025!$E$3:$E$1315, V$1)</f>
        <v>43</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47</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49</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57</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46</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46</v>
      </c>
      <c r="V155" s="2">
        <f>SUMIFS(DataRegularSeason20242025!$AA$3:$AA$1315,DataRegularSeason20242025!$B$3:$B$1315, "&lt;=" &amp; $A155, DataRegularSeason20242025!$D$3:$D$1315, V$1)+SUMIFS(DataRegularSeason20242025!$AB$3:$AB$1315,DataRegularSeason20242025!$B$3:$B$1315, "&lt;=" &amp; $A155, DataRegularSeason20242025!$E$3:$E$1315, V$1)</f>
        <v>43</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47</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49</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57</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46</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46</v>
      </c>
      <c r="V156" s="2">
        <f>SUMIFS(DataRegularSeason20242025!$AA$3:$AA$1315,DataRegularSeason20242025!$B$3:$B$1315, "&lt;=" &amp; $A156, DataRegularSeason20242025!$D$3:$D$1315, V$1)+SUMIFS(DataRegularSeason20242025!$AB$3:$AB$1315,DataRegularSeason20242025!$B$3:$B$1315, "&lt;=" &amp; $A156, DataRegularSeason20242025!$E$3:$E$1315, V$1)</f>
        <v>43</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47</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49</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57</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46</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46</v>
      </c>
      <c r="V157" s="2">
        <f>SUMIFS(DataRegularSeason20242025!$AA$3:$AA$1315,DataRegularSeason20242025!$B$3:$B$1315, "&lt;=" &amp; $A157, DataRegularSeason20242025!$D$3:$D$1315, V$1)+SUMIFS(DataRegularSeason20242025!$AB$3:$AB$1315,DataRegularSeason20242025!$B$3:$B$1315, "&lt;=" &amp; $A157, DataRegularSeason20242025!$E$3:$E$1315, V$1)</f>
        <v>43</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47</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49</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57</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46</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46</v>
      </c>
      <c r="V158" s="2">
        <f>SUMIFS(DataRegularSeason20242025!$AA$3:$AA$1315,DataRegularSeason20242025!$B$3:$B$1315, "&lt;=" &amp; $A158, DataRegularSeason20242025!$D$3:$D$1315, V$1)+SUMIFS(DataRegularSeason20242025!$AB$3:$AB$1315,DataRegularSeason20242025!$B$3:$B$1315, "&lt;=" &amp; $A158, DataRegularSeason20242025!$E$3:$E$1315, V$1)</f>
        <v>43</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47</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49</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57</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46</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46</v>
      </c>
      <c r="V159" s="2">
        <f>SUMIFS(DataRegularSeason20242025!$AA$3:$AA$1315,DataRegularSeason20242025!$B$3:$B$1315, "&lt;=" &amp; $A159, DataRegularSeason20242025!$D$3:$D$1315, V$1)+SUMIFS(DataRegularSeason20242025!$AB$3:$AB$1315,DataRegularSeason20242025!$B$3:$B$1315, "&lt;=" &amp; $A159, DataRegularSeason20242025!$E$3:$E$1315, V$1)</f>
        <v>43</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47</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49</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57</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46</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46</v>
      </c>
      <c r="V160" s="2">
        <f>SUMIFS(DataRegularSeason20242025!$AA$3:$AA$1315,DataRegularSeason20242025!$B$3:$B$1315, "&lt;=" &amp; $A160, DataRegularSeason20242025!$D$3:$D$1315, V$1)+SUMIFS(DataRegularSeason20242025!$AB$3:$AB$1315,DataRegularSeason20242025!$B$3:$B$1315, "&lt;=" &amp; $A160, DataRegularSeason20242025!$E$3:$E$1315, V$1)</f>
        <v>43</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47</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49</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57</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46</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46</v>
      </c>
      <c r="V161" s="2">
        <f>SUMIFS(DataRegularSeason20242025!$AA$3:$AA$1315,DataRegularSeason20242025!$B$3:$B$1315, "&lt;=" &amp; $A161, DataRegularSeason20242025!$D$3:$D$1315, V$1)+SUMIFS(DataRegularSeason20242025!$AB$3:$AB$1315,DataRegularSeason20242025!$B$3:$B$1315, "&lt;=" &amp; $A161, DataRegularSeason20242025!$E$3:$E$1315, V$1)</f>
        <v>43</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47</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49</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57</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46</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46</v>
      </c>
      <c r="V162" s="2">
        <f>SUMIFS(DataRegularSeason20242025!$AA$3:$AA$1315,DataRegularSeason20242025!$B$3:$B$1315, "&lt;=" &amp; $A162, DataRegularSeason20242025!$D$3:$D$1315, V$1)+SUMIFS(DataRegularSeason20242025!$AB$3:$AB$1315,DataRegularSeason20242025!$B$3:$B$1315, "&lt;=" &amp; $A162, DataRegularSeason20242025!$E$3:$E$1315, V$1)</f>
        <v>43</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47</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49</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57</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46</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46</v>
      </c>
      <c r="V163" s="2">
        <f>SUMIFS(DataRegularSeason20242025!$AA$3:$AA$1315,DataRegularSeason20242025!$B$3:$B$1315, "&lt;=" &amp; $A163, DataRegularSeason20242025!$D$3:$D$1315, V$1)+SUMIFS(DataRegularSeason20242025!$AB$3:$AB$1315,DataRegularSeason20242025!$B$3:$B$1315, "&lt;=" &amp; $A163, DataRegularSeason20242025!$E$3:$E$1315, V$1)</f>
        <v>43</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47</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49</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57</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46</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46</v>
      </c>
      <c r="V164" s="2">
        <f>SUMIFS(DataRegularSeason20242025!$AA$3:$AA$1315,DataRegularSeason20242025!$B$3:$B$1315, "&lt;=" &amp; $A164, DataRegularSeason20242025!$D$3:$D$1315, V$1)+SUMIFS(DataRegularSeason20242025!$AB$3:$AB$1315,DataRegularSeason20242025!$B$3:$B$1315, "&lt;=" &amp; $A164, DataRegularSeason20242025!$E$3:$E$1315, V$1)</f>
        <v>43</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47</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49</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57</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46</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46</v>
      </c>
      <c r="V165" s="2">
        <f>SUMIFS(DataRegularSeason20242025!$AA$3:$AA$1315,DataRegularSeason20242025!$B$3:$B$1315, "&lt;=" &amp; $A165, DataRegularSeason20242025!$D$3:$D$1315, V$1)+SUMIFS(DataRegularSeason20242025!$AB$3:$AB$1315,DataRegularSeason20242025!$B$3:$B$1315, "&lt;=" &amp; $A165, DataRegularSeason20242025!$E$3:$E$1315, V$1)</f>
        <v>43</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47</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49</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57</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46</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46</v>
      </c>
      <c r="V166" s="2">
        <f>SUMIFS(DataRegularSeason20242025!$AA$3:$AA$1315,DataRegularSeason20242025!$B$3:$B$1315, "&lt;=" &amp; $A166, DataRegularSeason20242025!$D$3:$D$1315, V$1)+SUMIFS(DataRegularSeason20242025!$AB$3:$AB$1315,DataRegularSeason20242025!$B$3:$B$1315, "&lt;=" &amp; $A166, DataRegularSeason20242025!$E$3:$E$1315, V$1)</f>
        <v>43</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47</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49</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57</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46</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46</v>
      </c>
      <c r="V167" s="2">
        <f>SUMIFS(DataRegularSeason20242025!$AA$3:$AA$1315,DataRegularSeason20242025!$B$3:$B$1315, "&lt;=" &amp; $A167, DataRegularSeason20242025!$D$3:$D$1315, V$1)+SUMIFS(DataRegularSeason20242025!$AB$3:$AB$1315,DataRegularSeason20242025!$B$3:$B$1315, "&lt;=" &amp; $A167, DataRegularSeason20242025!$E$3:$E$1315, V$1)</f>
        <v>43</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47</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49</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57</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46</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46</v>
      </c>
      <c r="V168" s="2">
        <f>SUMIFS(DataRegularSeason20242025!$AA$3:$AA$1315,DataRegularSeason20242025!$B$3:$B$1315, "&lt;=" &amp; $A168, DataRegularSeason20242025!$D$3:$D$1315, V$1)+SUMIFS(DataRegularSeason20242025!$AB$3:$AB$1315,DataRegularSeason20242025!$B$3:$B$1315, "&lt;=" &amp; $A168, DataRegularSeason20242025!$E$3:$E$1315, V$1)</f>
        <v>43</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47</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49</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57</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46</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46</v>
      </c>
      <c r="V169" s="2">
        <f>SUMIFS(DataRegularSeason20242025!$AA$3:$AA$1315,DataRegularSeason20242025!$B$3:$B$1315, "&lt;=" &amp; $A169, DataRegularSeason20242025!$D$3:$D$1315, V$1)+SUMIFS(DataRegularSeason20242025!$AB$3:$AB$1315,DataRegularSeason20242025!$B$3:$B$1315, "&lt;=" &amp; $A169, DataRegularSeason20242025!$E$3:$E$1315, V$1)</f>
        <v>43</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47</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49</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57</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46</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46</v>
      </c>
      <c r="V170" s="2">
        <f>SUMIFS(DataRegularSeason20242025!$AA$3:$AA$1315,DataRegularSeason20242025!$B$3:$B$1315, "&lt;=" &amp; $A170, DataRegularSeason20242025!$D$3:$D$1315, V$1)+SUMIFS(DataRegularSeason20242025!$AB$3:$AB$1315,DataRegularSeason20242025!$B$3:$B$1315, "&lt;=" &amp; $A170, DataRegularSeason20242025!$E$3:$E$1315, V$1)</f>
        <v>43</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47</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49</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57</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46</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46</v>
      </c>
      <c r="V171" s="2">
        <f>SUMIFS(DataRegularSeason20242025!$AA$3:$AA$1315,DataRegularSeason20242025!$B$3:$B$1315, "&lt;=" &amp; $A171, DataRegularSeason20242025!$D$3:$D$1315, V$1)+SUMIFS(DataRegularSeason20242025!$AB$3:$AB$1315,DataRegularSeason20242025!$B$3:$B$1315, "&lt;=" &amp; $A171, DataRegularSeason20242025!$E$3:$E$1315, V$1)</f>
        <v>43</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47</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49</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57</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46</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46</v>
      </c>
      <c r="V172" s="2">
        <f>SUMIFS(DataRegularSeason20242025!$AA$3:$AA$1315,DataRegularSeason20242025!$B$3:$B$1315, "&lt;=" &amp; $A172, DataRegularSeason20242025!$D$3:$D$1315, V$1)+SUMIFS(DataRegularSeason20242025!$AB$3:$AB$1315,DataRegularSeason20242025!$B$3:$B$1315, "&lt;=" &amp; $A172, DataRegularSeason20242025!$E$3:$E$1315, V$1)</f>
        <v>43</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47</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49</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57</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46</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46</v>
      </c>
      <c r="V173" s="2">
        <f>SUMIFS(DataRegularSeason20242025!$AA$3:$AA$1315,DataRegularSeason20242025!$B$3:$B$1315, "&lt;=" &amp; $A173, DataRegularSeason20242025!$D$3:$D$1315, V$1)+SUMIFS(DataRegularSeason20242025!$AB$3:$AB$1315,DataRegularSeason20242025!$B$3:$B$1315, "&lt;=" &amp; $A173, DataRegularSeason20242025!$E$3:$E$1315, V$1)</f>
        <v>43</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47</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49</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57</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46</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46</v>
      </c>
      <c r="V174" s="2">
        <f>SUMIFS(DataRegularSeason20242025!$AA$3:$AA$1315,DataRegularSeason20242025!$B$3:$B$1315, "&lt;=" &amp; $A174, DataRegularSeason20242025!$D$3:$D$1315, V$1)+SUMIFS(DataRegularSeason20242025!$AB$3:$AB$1315,DataRegularSeason20242025!$B$3:$B$1315, "&lt;=" &amp; $A174, DataRegularSeason20242025!$E$3:$E$1315, V$1)</f>
        <v>43</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47</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49</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57</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46</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46</v>
      </c>
      <c r="V175" s="2">
        <f>SUMIFS(DataRegularSeason20242025!$AA$3:$AA$1315,DataRegularSeason20242025!$B$3:$B$1315, "&lt;=" &amp; $A175, DataRegularSeason20242025!$D$3:$D$1315, V$1)+SUMIFS(DataRegularSeason20242025!$AB$3:$AB$1315,DataRegularSeason20242025!$B$3:$B$1315, "&lt;=" &amp; $A175, DataRegularSeason20242025!$E$3:$E$1315, V$1)</f>
        <v>43</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47</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49</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57</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46</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46</v>
      </c>
      <c r="V176" s="2">
        <f>SUMIFS(DataRegularSeason20242025!$AA$3:$AA$1315,DataRegularSeason20242025!$B$3:$B$1315, "&lt;=" &amp; $A176, DataRegularSeason20242025!$D$3:$D$1315, V$1)+SUMIFS(DataRegularSeason20242025!$AB$3:$AB$1315,DataRegularSeason20242025!$B$3:$B$1315, "&lt;=" &amp; $A176, DataRegularSeason20242025!$E$3:$E$1315, V$1)</f>
        <v>43</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47</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49</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57</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46</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46</v>
      </c>
      <c r="V177" s="2">
        <f>SUMIFS(DataRegularSeason20242025!$AA$3:$AA$1315,DataRegularSeason20242025!$B$3:$B$1315, "&lt;=" &amp; $A177, DataRegularSeason20242025!$D$3:$D$1315, V$1)+SUMIFS(DataRegularSeason20242025!$AB$3:$AB$1315,DataRegularSeason20242025!$B$3:$B$1315, "&lt;=" &amp; $A177, DataRegularSeason20242025!$E$3:$E$1315, V$1)</f>
        <v>43</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47</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49</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57</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46</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46</v>
      </c>
      <c r="V178" s="2">
        <f>SUMIFS(DataRegularSeason20242025!$AA$3:$AA$1315,DataRegularSeason20242025!$B$3:$B$1315, "&lt;=" &amp; $A178, DataRegularSeason20242025!$D$3:$D$1315, V$1)+SUMIFS(DataRegularSeason20242025!$AB$3:$AB$1315,DataRegularSeason20242025!$B$3:$B$1315, "&lt;=" &amp; $A178, DataRegularSeason20242025!$E$3:$E$1315, V$1)</f>
        <v>43</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47</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49</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57</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46</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46</v>
      </c>
      <c r="V179" s="2">
        <f>SUMIFS(DataRegularSeason20242025!$AA$3:$AA$1315,DataRegularSeason20242025!$B$3:$B$1315, "&lt;=" &amp; $A179, DataRegularSeason20242025!$D$3:$D$1315, V$1)+SUMIFS(DataRegularSeason20242025!$AB$3:$AB$1315,DataRegularSeason20242025!$B$3:$B$1315, "&lt;=" &amp; $A179, DataRegularSeason20242025!$E$3:$E$1315, V$1)</f>
        <v>43</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47</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49</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57</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46</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46</v>
      </c>
      <c r="V180" s="2">
        <f>SUMIFS(DataRegularSeason20242025!$AA$3:$AA$1315,DataRegularSeason20242025!$B$3:$B$1315, "&lt;=" &amp; $A180, DataRegularSeason20242025!$D$3:$D$1315, V$1)+SUMIFS(DataRegularSeason20242025!$AB$3:$AB$1315,DataRegularSeason20242025!$B$3:$B$1315, "&lt;=" &amp; $A180, DataRegularSeason20242025!$E$3:$E$1315, V$1)</f>
        <v>43</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47</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49</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57</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46</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46</v>
      </c>
      <c r="V181" s="2">
        <f>SUMIFS(DataRegularSeason20242025!$AA$3:$AA$1315,DataRegularSeason20242025!$B$3:$B$1315, "&lt;=" &amp; $A181, DataRegularSeason20242025!$D$3:$D$1315, V$1)+SUMIFS(DataRegularSeason20242025!$AB$3:$AB$1315,DataRegularSeason20242025!$B$3:$B$1315, "&lt;=" &amp; $A181, DataRegularSeason20242025!$E$3:$E$1315, V$1)</f>
        <v>43</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47</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49</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57</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46</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46</v>
      </c>
      <c r="V182" s="2">
        <f>SUMIFS(DataRegularSeason20242025!$AA$3:$AA$1315,DataRegularSeason20242025!$B$3:$B$1315, "&lt;=" &amp; $A182, DataRegularSeason20242025!$D$3:$D$1315, V$1)+SUMIFS(DataRegularSeason20242025!$AB$3:$AB$1315,DataRegularSeason20242025!$B$3:$B$1315, "&lt;=" &amp; $A182, DataRegularSeason20242025!$E$3:$E$1315, V$1)</f>
        <v>43</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47</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49</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57</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46</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46</v>
      </c>
      <c r="V183" s="2">
        <f>SUMIFS(DataRegularSeason20242025!$AA$3:$AA$1315,DataRegularSeason20242025!$B$3:$B$1315, "&lt;=" &amp; $A183, DataRegularSeason20242025!$D$3:$D$1315, V$1)+SUMIFS(DataRegularSeason20242025!$AB$3:$AB$1315,DataRegularSeason20242025!$B$3:$B$1315, "&lt;=" &amp; $A183, DataRegularSeason20242025!$E$3:$E$1315, V$1)</f>
        <v>43</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47</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49</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57</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46</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46</v>
      </c>
      <c r="V184" s="2">
        <f>SUMIFS(DataRegularSeason20242025!$AA$3:$AA$1315,DataRegularSeason20242025!$B$3:$B$1315, "&lt;=" &amp; $A184, DataRegularSeason20242025!$D$3:$D$1315, V$1)+SUMIFS(DataRegularSeason20242025!$AB$3:$AB$1315,DataRegularSeason20242025!$B$3:$B$1315, "&lt;=" &amp; $A184, DataRegularSeason20242025!$E$3:$E$1315, V$1)</f>
        <v>43</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47</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49</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57</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46</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46</v>
      </c>
      <c r="V185" s="2">
        <f>SUMIFS(DataRegularSeason20242025!$AA$3:$AA$1315,DataRegularSeason20242025!$B$3:$B$1315, "&lt;=" &amp; $A185, DataRegularSeason20242025!$D$3:$D$1315, V$1)+SUMIFS(DataRegularSeason20242025!$AB$3:$AB$1315,DataRegularSeason20242025!$B$3:$B$1315, "&lt;=" &amp; $A185, DataRegularSeason20242025!$E$3:$E$1315, V$1)</f>
        <v>43</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47</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49</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57</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46</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46</v>
      </c>
      <c r="V186" s="2">
        <f>SUMIFS(DataRegularSeason20242025!$AA$3:$AA$1315,DataRegularSeason20242025!$B$3:$B$1315, "&lt;=" &amp; $A186, DataRegularSeason20242025!$D$3:$D$1315, V$1)+SUMIFS(DataRegularSeason20242025!$AB$3:$AB$1315,DataRegularSeason20242025!$B$3:$B$1315, "&lt;=" &amp; $A186, DataRegularSeason20242025!$E$3:$E$1315, V$1)</f>
        <v>43</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47</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49</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57</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46</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46</v>
      </c>
      <c r="V187" s="2">
        <f>SUMIFS(DataRegularSeason20242025!$AA$3:$AA$1315,DataRegularSeason20242025!$B$3:$B$1315, "&lt;=" &amp; $A187, DataRegularSeason20242025!$D$3:$D$1315, V$1)+SUMIFS(DataRegularSeason20242025!$AB$3:$AB$1315,DataRegularSeason20242025!$B$3:$B$1315, "&lt;=" &amp; $A187, DataRegularSeason20242025!$E$3:$E$1315, V$1)</f>
        <v>43</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47</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49</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57</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46</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46</v>
      </c>
      <c r="V188" s="2">
        <f>SUMIFS(DataRegularSeason20242025!$AA$3:$AA$1315,DataRegularSeason20242025!$B$3:$B$1315, "&lt;=" &amp; $A188, DataRegularSeason20242025!$D$3:$D$1315, V$1)+SUMIFS(DataRegularSeason20242025!$AB$3:$AB$1315,DataRegularSeason20242025!$B$3:$B$1315, "&lt;=" &amp; $A188, DataRegularSeason20242025!$E$3:$E$1315, V$1)</f>
        <v>43</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47</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49</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57</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46</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46</v>
      </c>
      <c r="V189" s="2">
        <f>SUMIFS(DataRegularSeason20242025!$AA$3:$AA$1315,DataRegularSeason20242025!$B$3:$B$1315, "&lt;=" &amp; $A189, DataRegularSeason20242025!$D$3:$D$1315, V$1)+SUMIFS(DataRegularSeason20242025!$AB$3:$AB$1315,DataRegularSeason20242025!$B$3:$B$1315, "&lt;=" &amp; $A189, DataRegularSeason20242025!$E$3:$E$1315, V$1)</f>
        <v>43</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47</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49</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57</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46</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46</v>
      </c>
      <c r="V190" s="2">
        <f>SUMIFS(DataRegularSeason20242025!$AA$3:$AA$1315,DataRegularSeason20242025!$B$3:$B$1315, "&lt;=" &amp; $A190, DataRegularSeason20242025!$D$3:$D$1315, V$1)+SUMIFS(DataRegularSeason20242025!$AB$3:$AB$1315,DataRegularSeason20242025!$B$3:$B$1315, "&lt;=" &amp; $A190, DataRegularSeason20242025!$E$3:$E$1315, V$1)</f>
        <v>43</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47</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49</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57</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46</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46</v>
      </c>
      <c r="V191" s="2">
        <f>SUMIFS(DataRegularSeason20242025!$AA$3:$AA$1315,DataRegularSeason20242025!$B$3:$B$1315, "&lt;=" &amp; $A191, DataRegularSeason20242025!$D$3:$D$1315, V$1)+SUMIFS(DataRegularSeason20242025!$AB$3:$AB$1315,DataRegularSeason20242025!$B$3:$B$1315, "&lt;=" &amp; $A191, DataRegularSeason20242025!$E$3:$E$1315, V$1)</f>
        <v>43</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47</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49</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57</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46</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46</v>
      </c>
      <c r="V192" s="2">
        <f>SUMIFS(DataRegularSeason20242025!$AA$3:$AA$1315,DataRegularSeason20242025!$B$3:$B$1315, "&lt;=" &amp; $A192, DataRegularSeason20242025!$D$3:$D$1315, V$1)+SUMIFS(DataRegularSeason20242025!$AB$3:$AB$1315,DataRegularSeason20242025!$B$3:$B$1315, "&lt;=" &amp; $A192, DataRegularSeason20242025!$E$3:$E$1315, V$1)</f>
        <v>43</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47</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49</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57</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46</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46</v>
      </c>
      <c r="V193" s="2">
        <f>SUMIFS(DataRegularSeason20242025!$AA$3:$AA$1315,DataRegularSeason20242025!$B$3:$B$1315, "&lt;=" &amp; $A193, DataRegularSeason20242025!$D$3:$D$1315, V$1)+SUMIFS(DataRegularSeason20242025!$AB$3:$AB$1315,DataRegularSeason20242025!$B$3:$B$1315, "&lt;=" &amp; $A193, DataRegularSeason20242025!$E$3:$E$1315, V$1)</f>
        <v>43</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47</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49</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57</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46</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46</v>
      </c>
      <c r="V194" s="2">
        <f>SUMIFS(DataRegularSeason20242025!$AA$3:$AA$1315,DataRegularSeason20242025!$B$3:$B$1315, "&lt;=" &amp; $A194, DataRegularSeason20242025!$D$3:$D$1315, V$1)+SUMIFS(DataRegularSeason20242025!$AB$3:$AB$1315,DataRegularSeason20242025!$B$3:$B$1315, "&lt;=" &amp; $A194, DataRegularSeason20242025!$E$3:$E$1315, V$1)</f>
        <v>43</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47</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49</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57</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46</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46</v>
      </c>
      <c r="V195" s="2">
        <f>SUMIFS(DataRegularSeason20242025!$AA$3:$AA$1315,DataRegularSeason20242025!$B$3:$B$1315, "&lt;=" &amp; $A195, DataRegularSeason20242025!$D$3:$D$1315, V$1)+SUMIFS(DataRegularSeason20242025!$AB$3:$AB$1315,DataRegularSeason20242025!$B$3:$B$1315, "&lt;=" &amp; $A195, DataRegularSeason20242025!$E$3:$E$1315, V$1)</f>
        <v>43</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47</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49</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57</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46</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46</v>
      </c>
      <c r="V196" s="2">
        <f>SUMIFS(DataRegularSeason20242025!$AA$3:$AA$1315,DataRegularSeason20242025!$B$3:$B$1315, "&lt;=" &amp; $A196, DataRegularSeason20242025!$D$3:$D$1315, V$1)+SUMIFS(DataRegularSeason20242025!$AB$3:$AB$1315,DataRegularSeason20242025!$B$3:$B$1315, "&lt;=" &amp; $A196, DataRegularSeason20242025!$E$3:$E$1315, V$1)</f>
        <v>43</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47</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49</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57</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46</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46</v>
      </c>
      <c r="V197" s="2">
        <f>SUMIFS(DataRegularSeason20242025!$AA$3:$AA$1315,DataRegularSeason20242025!$B$3:$B$1315, "&lt;=" &amp; $A197, DataRegularSeason20242025!$D$3:$D$1315, V$1)+SUMIFS(DataRegularSeason20242025!$AB$3:$AB$1315,DataRegularSeason20242025!$B$3:$B$1315, "&lt;=" &amp; $A197, DataRegularSeason20242025!$E$3:$E$1315, V$1)</f>
        <v>43</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47</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49</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57</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46</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46</v>
      </c>
      <c r="V198" s="2">
        <f>SUMIFS(DataRegularSeason20242025!$AA$3:$AA$1315,DataRegularSeason20242025!$B$3:$B$1315, "&lt;=" &amp; $A198, DataRegularSeason20242025!$D$3:$D$1315, V$1)+SUMIFS(DataRegularSeason20242025!$AB$3:$AB$1315,DataRegularSeason20242025!$B$3:$B$1315, "&lt;=" &amp; $A198, DataRegularSeason20242025!$E$3:$E$1315, V$1)</f>
        <v>43</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47</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49</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57</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46</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46</v>
      </c>
      <c r="V199" s="2">
        <f>SUMIFS(DataRegularSeason20242025!$AA$3:$AA$1315,DataRegularSeason20242025!$B$3:$B$1315, "&lt;=" &amp; $A199, DataRegularSeason20242025!$D$3:$D$1315, V$1)+SUMIFS(DataRegularSeason20242025!$AB$3:$AB$1315,DataRegularSeason20242025!$B$3:$B$1315, "&lt;=" &amp; $A199, DataRegularSeason20242025!$E$3:$E$1315, V$1)</f>
        <v>43</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47</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49</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57</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46</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46</v>
      </c>
      <c r="V200" s="2">
        <f>SUMIFS(DataRegularSeason20242025!$AA$3:$AA$1315,DataRegularSeason20242025!$B$3:$B$1315, "&lt;=" &amp; $A200, DataRegularSeason20242025!$D$3:$D$1315, V$1)+SUMIFS(DataRegularSeason20242025!$AB$3:$AB$1315,DataRegularSeason20242025!$B$3:$B$1315, "&lt;=" &amp; $A200, DataRegularSeason20242025!$E$3:$E$1315, V$1)</f>
        <v>43</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47</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49</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57</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46</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46</v>
      </c>
      <c r="V201" s="2">
        <f>SUMIFS(DataRegularSeason20242025!$AA$3:$AA$1315,DataRegularSeason20242025!$B$3:$B$1315, "&lt;=" &amp; $A201, DataRegularSeason20242025!$D$3:$D$1315, V$1)+SUMIFS(DataRegularSeason20242025!$AB$3:$AB$1315,DataRegularSeason20242025!$B$3:$B$1315, "&lt;=" &amp; $A201, DataRegularSeason20242025!$E$3:$E$1315, V$1)</f>
        <v>43</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47</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DE6" sqref="DE6:DE7"/>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47</v>
      </c>
      <c r="DF5">
        <f>SUMIFS(DataRegularSeason20242025!$AA$3:$AA$1315,DataRegularSeason20242025!$B$3:$B$1315, "&lt;=" &amp; DF$1, DataRegularSeason20242025!$D$3:$D$1315, $A5)+SUMIFS(DataRegularSeason20242025!$AB$3:$AB$1315,DataRegularSeason20242025!$B$3:$B$1315, "&lt;=" &amp; DF$1, DataRegularSeason20242025!$E$3:$E$1315, $A5)</f>
        <v>47</v>
      </c>
      <c r="DG5">
        <f>SUMIFS(DataRegularSeason20242025!$AA$3:$AA$1315,DataRegularSeason20242025!$B$3:$B$1315, "&lt;=" &amp; DG$1, DataRegularSeason20242025!$D$3:$D$1315, $A5)+SUMIFS(DataRegularSeason20242025!$AB$3:$AB$1315,DataRegularSeason20242025!$B$3:$B$1315, "&lt;=" &amp; DG$1, DataRegularSeason20242025!$E$3:$E$1315, $A5)</f>
        <v>47</v>
      </c>
      <c r="DH5">
        <f>SUMIFS(DataRegularSeason20242025!$AA$3:$AA$1315,DataRegularSeason20242025!$B$3:$B$1315, "&lt;=" &amp; DH$1, DataRegularSeason20242025!$D$3:$D$1315, $A5)+SUMIFS(DataRegularSeason20242025!$AB$3:$AB$1315,DataRegularSeason20242025!$B$3:$B$1315, "&lt;=" &amp; DH$1, DataRegularSeason20242025!$E$3:$E$1315, $A5)</f>
        <v>47</v>
      </c>
      <c r="DI5">
        <f>SUMIFS(DataRegularSeason20242025!$AA$3:$AA$1315,DataRegularSeason20242025!$B$3:$B$1315, "&lt;=" &amp; DI$1, DataRegularSeason20242025!$D$3:$D$1315, $A5)+SUMIFS(DataRegularSeason20242025!$AB$3:$AB$1315,DataRegularSeason20242025!$B$3:$B$1315, "&lt;=" &amp; DI$1, DataRegularSeason20242025!$E$3:$E$1315, $A5)</f>
        <v>47</v>
      </c>
      <c r="DJ5">
        <f>SUMIFS(DataRegularSeason20242025!$AA$3:$AA$1315,DataRegularSeason20242025!$B$3:$B$1315, "&lt;=" &amp; DJ$1, DataRegularSeason20242025!$D$3:$D$1315, $A5)+SUMIFS(DataRegularSeason20242025!$AB$3:$AB$1315,DataRegularSeason20242025!$B$3:$B$1315, "&lt;=" &amp; DJ$1, DataRegularSeason20242025!$E$3:$E$1315, $A5)</f>
        <v>47</v>
      </c>
      <c r="DK5">
        <f>SUMIFS(DataRegularSeason20242025!$AA$3:$AA$1315,DataRegularSeason20242025!$B$3:$B$1315, "&lt;=" &amp; DK$1, DataRegularSeason20242025!$D$3:$D$1315, $A5)+SUMIFS(DataRegularSeason20242025!$AB$3:$AB$1315,DataRegularSeason20242025!$B$3:$B$1315, "&lt;=" &amp; DK$1, DataRegularSeason20242025!$E$3:$E$1315, $A5)</f>
        <v>47</v>
      </c>
      <c r="DL5">
        <f>SUMIFS(DataRegularSeason20242025!$AA$3:$AA$1315,DataRegularSeason20242025!$B$3:$B$1315, "&lt;=" &amp; DL$1, DataRegularSeason20242025!$D$3:$D$1315, $A5)+SUMIFS(DataRegularSeason20242025!$AB$3:$AB$1315,DataRegularSeason20242025!$B$3:$B$1315, "&lt;=" &amp; DL$1, DataRegularSeason20242025!$E$3:$E$1315, $A5)</f>
        <v>47</v>
      </c>
      <c r="DM5">
        <f>SUMIFS(DataRegularSeason20242025!$AA$3:$AA$1315,DataRegularSeason20242025!$B$3:$B$1315, "&lt;=" &amp; DM$1, DataRegularSeason20242025!$D$3:$D$1315, $A5)+SUMIFS(DataRegularSeason20242025!$AB$3:$AB$1315,DataRegularSeason20242025!$B$3:$B$1315, "&lt;=" &amp; DM$1, DataRegularSeason20242025!$E$3:$E$1315, $A5)</f>
        <v>47</v>
      </c>
      <c r="DN5">
        <f>SUMIFS(DataRegularSeason20242025!$AA$3:$AA$1315,DataRegularSeason20242025!$B$3:$B$1315, "&lt;=" &amp; DN$1, DataRegularSeason20242025!$D$3:$D$1315, $A5)+SUMIFS(DataRegularSeason20242025!$AB$3:$AB$1315,DataRegularSeason20242025!$B$3:$B$1315, "&lt;=" &amp; DN$1, DataRegularSeason20242025!$E$3:$E$1315, $A5)</f>
        <v>47</v>
      </c>
      <c r="DO5">
        <f>SUMIFS(DataRegularSeason20242025!$AA$3:$AA$1315,DataRegularSeason20242025!$B$3:$B$1315, "&lt;=" &amp; DO$1, DataRegularSeason20242025!$D$3:$D$1315, $A5)+SUMIFS(DataRegularSeason20242025!$AB$3:$AB$1315,DataRegularSeason20242025!$B$3:$B$1315, "&lt;=" &amp; DO$1, DataRegularSeason20242025!$E$3:$E$1315, $A5)</f>
        <v>47</v>
      </c>
      <c r="DP5">
        <f>SUMIFS(DataRegularSeason20242025!$AA$3:$AA$1315,DataRegularSeason20242025!$B$3:$B$1315, "&lt;=" &amp; DP$1, DataRegularSeason20242025!$D$3:$D$1315, $A5)+SUMIFS(DataRegularSeason20242025!$AB$3:$AB$1315,DataRegularSeason20242025!$B$3:$B$1315, "&lt;=" &amp; DP$1, DataRegularSeason20242025!$E$3:$E$1315, $A5)</f>
        <v>47</v>
      </c>
      <c r="DQ5">
        <f>SUMIFS(DataRegularSeason20242025!$AA$3:$AA$1315,DataRegularSeason20242025!$B$3:$B$1315, "&lt;=" &amp; DQ$1, DataRegularSeason20242025!$D$3:$D$1315, $A5)+SUMIFS(DataRegularSeason20242025!$AB$3:$AB$1315,DataRegularSeason20242025!$B$3:$B$1315, "&lt;=" &amp; DQ$1, DataRegularSeason20242025!$E$3:$E$1315, $A5)</f>
        <v>47</v>
      </c>
      <c r="DR5">
        <f>SUMIFS(DataRegularSeason20242025!$AA$3:$AA$1315,DataRegularSeason20242025!$B$3:$B$1315, "&lt;=" &amp; DR$1, DataRegularSeason20242025!$D$3:$D$1315, $A5)+SUMIFS(DataRegularSeason20242025!$AB$3:$AB$1315,DataRegularSeason20242025!$B$3:$B$1315, "&lt;=" &amp; DR$1, DataRegularSeason20242025!$E$3:$E$1315, $A5)</f>
        <v>47</v>
      </c>
      <c r="DS5">
        <f>SUMIFS(DataRegularSeason20242025!$AA$3:$AA$1315,DataRegularSeason20242025!$B$3:$B$1315, "&lt;=" &amp; DS$1, DataRegularSeason20242025!$D$3:$D$1315, $A5)+SUMIFS(DataRegularSeason20242025!$AB$3:$AB$1315,DataRegularSeason20242025!$B$3:$B$1315, "&lt;=" &amp; DS$1, DataRegularSeason20242025!$E$3:$E$1315, $A5)</f>
        <v>47</v>
      </c>
      <c r="DT5">
        <f>SUMIFS(DataRegularSeason20242025!$AA$3:$AA$1315,DataRegularSeason20242025!$B$3:$B$1315, "&lt;=" &amp; DT$1, DataRegularSeason20242025!$D$3:$D$1315, $A5)+SUMIFS(DataRegularSeason20242025!$AB$3:$AB$1315,DataRegularSeason20242025!$B$3:$B$1315, "&lt;=" &amp; DT$1, DataRegularSeason20242025!$E$3:$E$1315, $A5)</f>
        <v>47</v>
      </c>
      <c r="DU5">
        <f>SUMIFS(DataRegularSeason20242025!$AA$3:$AA$1315,DataRegularSeason20242025!$B$3:$B$1315, "&lt;=" &amp; DU$1, DataRegularSeason20242025!$D$3:$D$1315, $A5)+SUMIFS(DataRegularSeason20242025!$AB$3:$AB$1315,DataRegularSeason20242025!$B$3:$B$1315, "&lt;=" &amp; DU$1, DataRegularSeason20242025!$E$3:$E$1315, $A5)</f>
        <v>47</v>
      </c>
      <c r="DV5">
        <f>SUMIFS(DataRegularSeason20242025!$AA$3:$AA$1315,DataRegularSeason20242025!$B$3:$B$1315, "&lt;=" &amp; DV$1, DataRegularSeason20242025!$D$3:$D$1315, $A5)+SUMIFS(DataRegularSeason20242025!$AB$3:$AB$1315,DataRegularSeason20242025!$B$3:$B$1315, "&lt;=" &amp; DV$1, DataRegularSeason20242025!$E$3:$E$1315, $A5)</f>
        <v>47</v>
      </c>
      <c r="DW5">
        <f>SUMIFS(DataRegularSeason20242025!$AA$3:$AA$1315,DataRegularSeason20242025!$B$3:$B$1315, "&lt;=" &amp; DW$1, DataRegularSeason20242025!$D$3:$D$1315, $A5)+SUMIFS(DataRegularSeason20242025!$AB$3:$AB$1315,DataRegularSeason20242025!$B$3:$B$1315, "&lt;=" &amp; DW$1, DataRegularSeason20242025!$E$3:$E$1315, $A5)</f>
        <v>47</v>
      </c>
      <c r="DX5">
        <f>SUMIFS(DataRegularSeason20242025!$AA$3:$AA$1315,DataRegularSeason20242025!$B$3:$B$1315, "&lt;=" &amp; DX$1, DataRegularSeason20242025!$D$3:$D$1315, $A5)+SUMIFS(DataRegularSeason20242025!$AB$3:$AB$1315,DataRegularSeason20242025!$B$3:$B$1315, "&lt;=" &amp; DX$1, DataRegularSeason20242025!$E$3:$E$1315, $A5)</f>
        <v>47</v>
      </c>
      <c r="DY5">
        <f>SUMIFS(DataRegularSeason20242025!$AA$3:$AA$1315,DataRegularSeason20242025!$B$3:$B$1315, "&lt;=" &amp; DY$1, DataRegularSeason20242025!$D$3:$D$1315, $A5)+SUMIFS(DataRegularSeason20242025!$AB$3:$AB$1315,DataRegularSeason20242025!$B$3:$B$1315, "&lt;=" &amp; DY$1, DataRegularSeason20242025!$E$3:$E$1315, $A5)</f>
        <v>47</v>
      </c>
      <c r="DZ5">
        <f>SUMIFS(DataRegularSeason20242025!$AA$3:$AA$1315,DataRegularSeason20242025!$B$3:$B$1315, "&lt;=" &amp; DZ$1, DataRegularSeason20242025!$D$3:$D$1315, $A5)+SUMIFS(DataRegularSeason20242025!$AB$3:$AB$1315,DataRegularSeason20242025!$B$3:$B$1315, "&lt;=" &amp; DZ$1, DataRegularSeason20242025!$E$3:$E$1315, $A5)</f>
        <v>47</v>
      </c>
      <c r="EA5">
        <f>SUMIFS(DataRegularSeason20242025!$AA$3:$AA$1315,DataRegularSeason20242025!$B$3:$B$1315, "&lt;=" &amp; EA$1, DataRegularSeason20242025!$D$3:$D$1315, $A5)+SUMIFS(DataRegularSeason20242025!$AB$3:$AB$1315,DataRegularSeason20242025!$B$3:$B$1315, "&lt;=" &amp; EA$1, DataRegularSeason20242025!$E$3:$E$1315, $A5)</f>
        <v>47</v>
      </c>
      <c r="EB5">
        <f>SUMIFS(DataRegularSeason20242025!$AA$3:$AA$1315,DataRegularSeason20242025!$B$3:$B$1315, "&lt;=" &amp; EB$1, DataRegularSeason20242025!$D$3:$D$1315, $A5)+SUMIFS(DataRegularSeason20242025!$AB$3:$AB$1315,DataRegularSeason20242025!$B$3:$B$1315, "&lt;=" &amp; EB$1, DataRegularSeason20242025!$E$3:$E$1315, $A5)</f>
        <v>47</v>
      </c>
      <c r="EC5">
        <f>SUMIFS(DataRegularSeason20242025!$AA$3:$AA$1315,DataRegularSeason20242025!$B$3:$B$1315, "&lt;=" &amp; EC$1, DataRegularSeason20242025!$D$3:$D$1315, $A5)+SUMIFS(DataRegularSeason20242025!$AB$3:$AB$1315,DataRegularSeason20242025!$B$3:$B$1315, "&lt;=" &amp; EC$1, DataRegularSeason20242025!$E$3:$E$1315, $A5)</f>
        <v>47</v>
      </c>
      <c r="ED5">
        <f>SUMIFS(DataRegularSeason20242025!$AA$3:$AA$1315,DataRegularSeason20242025!$B$3:$B$1315, "&lt;=" &amp; ED$1, DataRegularSeason20242025!$D$3:$D$1315, $A5)+SUMIFS(DataRegularSeason20242025!$AB$3:$AB$1315,DataRegularSeason20242025!$B$3:$B$1315, "&lt;=" &amp; ED$1, DataRegularSeason20242025!$E$3:$E$1315, $A5)</f>
        <v>47</v>
      </c>
      <c r="EE5">
        <f>SUMIFS(DataRegularSeason20242025!$AA$3:$AA$1315,DataRegularSeason20242025!$B$3:$B$1315, "&lt;=" &amp; EE$1, DataRegularSeason20242025!$D$3:$D$1315, $A5)+SUMIFS(DataRegularSeason20242025!$AB$3:$AB$1315,DataRegularSeason20242025!$B$3:$B$1315, "&lt;=" &amp; EE$1, DataRegularSeason20242025!$E$3:$E$1315, $A5)</f>
        <v>47</v>
      </c>
      <c r="EF5">
        <f>SUMIFS(DataRegularSeason20242025!$AA$3:$AA$1315,DataRegularSeason20242025!$B$3:$B$1315, "&lt;=" &amp; EF$1, DataRegularSeason20242025!$D$3:$D$1315, $A5)+SUMIFS(DataRegularSeason20242025!$AB$3:$AB$1315,DataRegularSeason20242025!$B$3:$B$1315, "&lt;=" &amp; EF$1, DataRegularSeason20242025!$E$3:$E$1315, $A5)</f>
        <v>47</v>
      </c>
      <c r="EG5">
        <f>SUMIFS(DataRegularSeason20242025!$AA$3:$AA$1315,DataRegularSeason20242025!$B$3:$B$1315, "&lt;=" &amp; EG$1, DataRegularSeason20242025!$D$3:$D$1315, $A5)+SUMIFS(DataRegularSeason20242025!$AB$3:$AB$1315,DataRegularSeason20242025!$B$3:$B$1315, "&lt;=" &amp; EG$1, DataRegularSeason20242025!$E$3:$E$1315, $A5)</f>
        <v>47</v>
      </c>
      <c r="EH5">
        <f>SUMIFS(DataRegularSeason20242025!$AA$3:$AA$1315,DataRegularSeason20242025!$B$3:$B$1315, "&lt;=" &amp; EH$1, DataRegularSeason20242025!$D$3:$D$1315, $A5)+SUMIFS(DataRegularSeason20242025!$AB$3:$AB$1315,DataRegularSeason20242025!$B$3:$B$1315, "&lt;=" &amp; EH$1, DataRegularSeason20242025!$E$3:$E$1315, $A5)</f>
        <v>47</v>
      </c>
      <c r="EI5">
        <f>SUMIFS(DataRegularSeason20242025!$AA$3:$AA$1315,DataRegularSeason20242025!$B$3:$B$1315, "&lt;=" &amp; EI$1, DataRegularSeason20242025!$D$3:$D$1315, $A5)+SUMIFS(DataRegularSeason20242025!$AB$3:$AB$1315,DataRegularSeason20242025!$B$3:$B$1315, "&lt;=" &amp; EI$1, DataRegularSeason20242025!$E$3:$E$1315, $A5)</f>
        <v>47</v>
      </c>
      <c r="EJ5">
        <f>SUMIFS(DataRegularSeason20242025!$AA$3:$AA$1315,DataRegularSeason20242025!$B$3:$B$1315, "&lt;=" &amp; EJ$1, DataRegularSeason20242025!$D$3:$D$1315, $A5)+SUMIFS(DataRegularSeason20242025!$AB$3:$AB$1315,DataRegularSeason20242025!$B$3:$B$1315, "&lt;=" &amp; EJ$1, DataRegularSeason20242025!$E$3:$E$1315, $A5)</f>
        <v>47</v>
      </c>
      <c r="EK5">
        <f>SUMIFS(DataRegularSeason20242025!$AA$3:$AA$1315,DataRegularSeason20242025!$B$3:$B$1315, "&lt;=" &amp; EK$1, DataRegularSeason20242025!$D$3:$D$1315, $A5)+SUMIFS(DataRegularSeason20242025!$AB$3:$AB$1315,DataRegularSeason20242025!$B$3:$B$1315, "&lt;=" &amp; EK$1, DataRegularSeason20242025!$E$3:$E$1315, $A5)</f>
        <v>47</v>
      </c>
      <c r="EL5">
        <f>SUMIFS(DataRegularSeason20242025!$AA$3:$AA$1315,DataRegularSeason20242025!$B$3:$B$1315, "&lt;=" &amp; EL$1, DataRegularSeason20242025!$D$3:$D$1315, $A5)+SUMIFS(DataRegularSeason20242025!$AB$3:$AB$1315,DataRegularSeason20242025!$B$3:$B$1315, "&lt;=" &amp; EL$1, DataRegularSeason20242025!$E$3:$E$1315, $A5)</f>
        <v>47</v>
      </c>
      <c r="EM5">
        <f>SUMIFS(DataRegularSeason20242025!$AA$3:$AA$1315,DataRegularSeason20242025!$B$3:$B$1315, "&lt;=" &amp; EM$1, DataRegularSeason20242025!$D$3:$D$1315, $A5)+SUMIFS(DataRegularSeason20242025!$AB$3:$AB$1315,DataRegularSeason20242025!$B$3:$B$1315, "&lt;=" &amp; EM$1, DataRegularSeason20242025!$E$3:$E$1315, $A5)</f>
        <v>47</v>
      </c>
      <c r="EN5">
        <f>SUMIFS(DataRegularSeason20242025!$AA$3:$AA$1315,DataRegularSeason20242025!$B$3:$B$1315, "&lt;=" &amp; EN$1, DataRegularSeason20242025!$D$3:$D$1315, $A5)+SUMIFS(DataRegularSeason20242025!$AB$3:$AB$1315,DataRegularSeason20242025!$B$3:$B$1315, "&lt;=" &amp; EN$1, DataRegularSeason20242025!$E$3:$E$1315, $A5)</f>
        <v>47</v>
      </c>
      <c r="EO5">
        <f>SUMIFS(DataRegularSeason20242025!$AA$3:$AA$1315,DataRegularSeason20242025!$B$3:$B$1315, "&lt;=" &amp; EO$1, DataRegularSeason20242025!$D$3:$D$1315, $A5)+SUMIFS(DataRegularSeason20242025!$AB$3:$AB$1315,DataRegularSeason20242025!$B$3:$B$1315, "&lt;=" &amp; EO$1, DataRegularSeason20242025!$E$3:$E$1315, $A5)</f>
        <v>47</v>
      </c>
      <c r="EP5">
        <f>SUMIFS(DataRegularSeason20242025!$AA$3:$AA$1315,DataRegularSeason20242025!$B$3:$B$1315, "&lt;=" &amp; EP$1, DataRegularSeason20242025!$D$3:$D$1315, $A5)+SUMIFS(DataRegularSeason20242025!$AB$3:$AB$1315,DataRegularSeason20242025!$B$3:$B$1315, "&lt;=" &amp; EP$1, DataRegularSeason20242025!$E$3:$E$1315, $A5)</f>
        <v>47</v>
      </c>
      <c r="EQ5">
        <f>SUMIFS(DataRegularSeason20242025!$AA$3:$AA$1315,DataRegularSeason20242025!$B$3:$B$1315, "&lt;=" &amp; EQ$1, DataRegularSeason20242025!$D$3:$D$1315, $A5)+SUMIFS(DataRegularSeason20242025!$AB$3:$AB$1315,DataRegularSeason20242025!$B$3:$B$1315, "&lt;=" &amp; EQ$1, DataRegularSeason20242025!$E$3:$E$1315, $A5)</f>
        <v>47</v>
      </c>
      <c r="ER5">
        <f>SUMIFS(DataRegularSeason20242025!$AA$3:$AA$1315,DataRegularSeason20242025!$B$3:$B$1315, "&lt;=" &amp; ER$1, DataRegularSeason20242025!$D$3:$D$1315, $A5)+SUMIFS(DataRegularSeason20242025!$AB$3:$AB$1315,DataRegularSeason20242025!$B$3:$B$1315, "&lt;=" &amp; ER$1, DataRegularSeason20242025!$E$3:$E$1315, $A5)</f>
        <v>47</v>
      </c>
      <c r="ES5">
        <f>SUMIFS(DataRegularSeason20242025!$AA$3:$AA$1315,DataRegularSeason20242025!$B$3:$B$1315, "&lt;=" &amp; ES$1, DataRegularSeason20242025!$D$3:$D$1315, $A5)+SUMIFS(DataRegularSeason20242025!$AB$3:$AB$1315,DataRegularSeason20242025!$B$3:$B$1315, "&lt;=" &amp; ES$1, DataRegularSeason20242025!$E$3:$E$1315, $A5)</f>
        <v>47</v>
      </c>
      <c r="ET5">
        <f>SUMIFS(DataRegularSeason20242025!$AA$3:$AA$1315,DataRegularSeason20242025!$B$3:$B$1315, "&lt;=" &amp; ET$1, DataRegularSeason20242025!$D$3:$D$1315, $A5)+SUMIFS(DataRegularSeason20242025!$AB$3:$AB$1315,DataRegularSeason20242025!$B$3:$B$1315, "&lt;=" &amp; ET$1, DataRegularSeason20242025!$E$3:$E$1315, $A5)</f>
        <v>47</v>
      </c>
      <c r="EU5">
        <f>SUMIFS(DataRegularSeason20242025!$AA$3:$AA$1315,DataRegularSeason20242025!$B$3:$B$1315, "&lt;=" &amp; EU$1, DataRegularSeason20242025!$D$3:$D$1315, $A5)+SUMIFS(DataRegularSeason20242025!$AB$3:$AB$1315,DataRegularSeason20242025!$B$3:$B$1315, "&lt;=" &amp; EU$1, DataRegularSeason20242025!$E$3:$E$1315, $A5)</f>
        <v>47</v>
      </c>
      <c r="EV5">
        <f>SUMIFS(DataRegularSeason20242025!$AA$3:$AA$1315,DataRegularSeason20242025!$B$3:$B$1315, "&lt;=" &amp; EV$1, DataRegularSeason20242025!$D$3:$D$1315, $A5)+SUMIFS(DataRegularSeason20242025!$AB$3:$AB$1315,DataRegularSeason20242025!$B$3:$B$1315, "&lt;=" &amp; EV$1, DataRegularSeason20242025!$E$3:$E$1315, $A5)</f>
        <v>47</v>
      </c>
      <c r="EW5">
        <f>SUMIFS(DataRegularSeason20242025!$AA$3:$AA$1315,DataRegularSeason20242025!$B$3:$B$1315, "&lt;=" &amp; EW$1, DataRegularSeason20242025!$D$3:$D$1315, $A5)+SUMIFS(DataRegularSeason20242025!$AB$3:$AB$1315,DataRegularSeason20242025!$B$3:$B$1315, "&lt;=" &amp; EW$1, DataRegularSeason20242025!$E$3:$E$1315, $A5)</f>
        <v>47</v>
      </c>
      <c r="EX5">
        <f>SUMIFS(DataRegularSeason20242025!$AA$3:$AA$1315,DataRegularSeason20242025!$B$3:$B$1315, "&lt;=" &amp; EX$1, DataRegularSeason20242025!$D$3:$D$1315, $A5)+SUMIFS(DataRegularSeason20242025!$AB$3:$AB$1315,DataRegularSeason20242025!$B$3:$B$1315, "&lt;=" &amp; EX$1, DataRegularSeason20242025!$E$3:$E$1315, $A5)</f>
        <v>47</v>
      </c>
      <c r="EY5">
        <f>SUMIFS(DataRegularSeason20242025!$AA$3:$AA$1315,DataRegularSeason20242025!$B$3:$B$1315, "&lt;=" &amp; EY$1, DataRegularSeason20242025!$D$3:$D$1315, $A5)+SUMIFS(DataRegularSeason20242025!$AB$3:$AB$1315,DataRegularSeason20242025!$B$3:$B$1315, "&lt;=" &amp; EY$1, DataRegularSeason20242025!$E$3:$E$1315, $A5)</f>
        <v>47</v>
      </c>
      <c r="EZ5">
        <f>SUMIFS(DataRegularSeason20242025!$AA$3:$AA$1315,DataRegularSeason20242025!$B$3:$B$1315, "&lt;=" &amp; EZ$1, DataRegularSeason20242025!$D$3:$D$1315, $A5)+SUMIFS(DataRegularSeason20242025!$AB$3:$AB$1315,DataRegularSeason20242025!$B$3:$B$1315, "&lt;=" &amp; EZ$1, DataRegularSeason20242025!$E$3:$E$1315, $A5)</f>
        <v>47</v>
      </c>
      <c r="FA5">
        <f>SUMIFS(DataRegularSeason20242025!$AA$3:$AA$1315,DataRegularSeason20242025!$B$3:$B$1315, "&lt;=" &amp; FA$1, DataRegularSeason20242025!$D$3:$D$1315, $A5)+SUMIFS(DataRegularSeason20242025!$AB$3:$AB$1315,DataRegularSeason20242025!$B$3:$B$1315, "&lt;=" &amp; FA$1, DataRegularSeason20242025!$E$3:$E$1315, $A5)</f>
        <v>47</v>
      </c>
      <c r="FB5">
        <f>SUMIFS(DataRegularSeason20242025!$AA$3:$AA$1315,DataRegularSeason20242025!$B$3:$B$1315, "&lt;=" &amp; FB$1, DataRegularSeason20242025!$D$3:$D$1315, $A5)+SUMIFS(DataRegularSeason20242025!$AB$3:$AB$1315,DataRegularSeason20242025!$B$3:$B$1315, "&lt;=" &amp; FB$1, DataRegularSeason20242025!$E$3:$E$1315, $A5)</f>
        <v>47</v>
      </c>
      <c r="FC5">
        <f>SUMIFS(DataRegularSeason20242025!$AA$3:$AA$1315,DataRegularSeason20242025!$B$3:$B$1315, "&lt;=" &amp; FC$1, DataRegularSeason20242025!$D$3:$D$1315, $A5)+SUMIFS(DataRegularSeason20242025!$AB$3:$AB$1315,DataRegularSeason20242025!$B$3:$B$1315, "&lt;=" &amp; FC$1, DataRegularSeason20242025!$E$3:$E$1315, $A5)</f>
        <v>47</v>
      </c>
      <c r="FD5">
        <f>SUMIFS(DataRegularSeason20242025!$AA$3:$AA$1315,DataRegularSeason20242025!$B$3:$B$1315, "&lt;=" &amp; FD$1, DataRegularSeason20242025!$D$3:$D$1315, $A5)+SUMIFS(DataRegularSeason20242025!$AB$3:$AB$1315,DataRegularSeason20242025!$B$3:$B$1315, "&lt;=" &amp; FD$1, DataRegularSeason20242025!$E$3:$E$1315, $A5)</f>
        <v>47</v>
      </c>
      <c r="FE5">
        <f>SUMIFS(DataRegularSeason20242025!$AA$3:$AA$1315,DataRegularSeason20242025!$B$3:$B$1315, "&lt;=" &amp; FE$1, DataRegularSeason20242025!$D$3:$D$1315, $A5)+SUMIFS(DataRegularSeason20242025!$AB$3:$AB$1315,DataRegularSeason20242025!$B$3:$B$1315, "&lt;=" &amp; FE$1, DataRegularSeason20242025!$E$3:$E$1315, $A5)</f>
        <v>47</v>
      </c>
      <c r="FF5">
        <f>SUMIFS(DataRegularSeason20242025!$AA$3:$AA$1315,DataRegularSeason20242025!$B$3:$B$1315, "&lt;=" &amp; FF$1, DataRegularSeason20242025!$D$3:$D$1315, $A5)+SUMIFS(DataRegularSeason20242025!$AB$3:$AB$1315,DataRegularSeason20242025!$B$3:$B$1315, "&lt;=" &amp; FF$1, DataRegularSeason20242025!$E$3:$E$1315, $A5)</f>
        <v>47</v>
      </c>
      <c r="FG5">
        <f>SUMIFS(DataRegularSeason20242025!$AA$3:$AA$1315,DataRegularSeason20242025!$B$3:$B$1315, "&lt;=" &amp; FG$1, DataRegularSeason20242025!$D$3:$D$1315, $A5)+SUMIFS(DataRegularSeason20242025!$AB$3:$AB$1315,DataRegularSeason20242025!$B$3:$B$1315, "&lt;=" &amp; FG$1, DataRegularSeason20242025!$E$3:$E$1315, $A5)</f>
        <v>47</v>
      </c>
      <c r="FH5">
        <f>SUMIFS(DataRegularSeason20242025!$AA$3:$AA$1315,DataRegularSeason20242025!$B$3:$B$1315, "&lt;=" &amp; FH$1, DataRegularSeason20242025!$D$3:$D$1315, $A5)+SUMIFS(DataRegularSeason20242025!$AB$3:$AB$1315,DataRegularSeason20242025!$B$3:$B$1315, "&lt;=" &amp; FH$1, DataRegularSeason20242025!$E$3:$E$1315, $A5)</f>
        <v>47</v>
      </c>
      <c r="FI5">
        <f>SUMIFS(DataRegularSeason20242025!$AA$3:$AA$1315,DataRegularSeason20242025!$B$3:$B$1315, "&lt;=" &amp; FI$1, DataRegularSeason20242025!$D$3:$D$1315, $A5)+SUMIFS(DataRegularSeason20242025!$AB$3:$AB$1315,DataRegularSeason20242025!$B$3:$B$1315, "&lt;=" &amp; FI$1, DataRegularSeason20242025!$E$3:$E$1315, $A5)</f>
        <v>47</v>
      </c>
      <c r="FJ5">
        <f>SUMIFS(DataRegularSeason20242025!$AA$3:$AA$1315,DataRegularSeason20242025!$B$3:$B$1315, "&lt;=" &amp; FJ$1, DataRegularSeason20242025!$D$3:$D$1315, $A5)+SUMIFS(DataRegularSeason20242025!$AB$3:$AB$1315,DataRegularSeason20242025!$B$3:$B$1315, "&lt;=" &amp; FJ$1, DataRegularSeason20242025!$E$3:$E$1315, $A5)</f>
        <v>47</v>
      </c>
      <c r="FK5">
        <f>SUMIFS(DataRegularSeason20242025!$AA$3:$AA$1315,DataRegularSeason20242025!$B$3:$B$1315, "&lt;=" &amp; FK$1, DataRegularSeason20242025!$D$3:$D$1315, $A5)+SUMIFS(DataRegularSeason20242025!$AB$3:$AB$1315,DataRegularSeason20242025!$B$3:$B$1315, "&lt;=" &amp; FK$1, DataRegularSeason20242025!$E$3:$E$1315, $A5)</f>
        <v>47</v>
      </c>
      <c r="FL5">
        <f>SUMIFS(DataRegularSeason20242025!$AA$3:$AA$1315,DataRegularSeason20242025!$B$3:$B$1315, "&lt;=" &amp; FL$1, DataRegularSeason20242025!$D$3:$D$1315, $A5)+SUMIFS(DataRegularSeason20242025!$AB$3:$AB$1315,DataRegularSeason20242025!$B$3:$B$1315, "&lt;=" &amp; FL$1, DataRegularSeason20242025!$E$3:$E$1315, $A5)</f>
        <v>47</v>
      </c>
      <c r="FM5">
        <f>SUMIFS(DataRegularSeason20242025!$AA$3:$AA$1315,DataRegularSeason20242025!$B$3:$B$1315, "&lt;=" &amp; FM$1, DataRegularSeason20242025!$D$3:$D$1315, $A5)+SUMIFS(DataRegularSeason20242025!$AB$3:$AB$1315,DataRegularSeason20242025!$B$3:$B$1315, "&lt;=" &amp; FM$1, DataRegularSeason20242025!$E$3:$E$1315, $A5)</f>
        <v>47</v>
      </c>
      <c r="FN5">
        <f>SUMIFS(DataRegularSeason20242025!$AA$3:$AA$1315,DataRegularSeason20242025!$B$3:$B$1315, "&lt;=" &amp; FN$1, DataRegularSeason20242025!$D$3:$D$1315, $A5)+SUMIFS(DataRegularSeason20242025!$AB$3:$AB$1315,DataRegularSeason20242025!$B$3:$B$1315, "&lt;=" &amp; FN$1, DataRegularSeason20242025!$E$3:$E$1315, $A5)</f>
        <v>47</v>
      </c>
      <c r="FO5">
        <f>SUMIFS(DataRegularSeason20242025!$AA$3:$AA$1315,DataRegularSeason20242025!$B$3:$B$1315, "&lt;=" &amp; FO$1, DataRegularSeason20242025!$D$3:$D$1315, $A5)+SUMIFS(DataRegularSeason20242025!$AB$3:$AB$1315,DataRegularSeason20242025!$B$3:$B$1315, "&lt;=" &amp; FO$1, DataRegularSeason20242025!$E$3:$E$1315, $A5)</f>
        <v>47</v>
      </c>
      <c r="FP5">
        <f>SUMIFS(DataRegularSeason20242025!$AA$3:$AA$1315,DataRegularSeason20242025!$B$3:$B$1315, "&lt;=" &amp; FP$1, DataRegularSeason20242025!$D$3:$D$1315, $A5)+SUMIFS(DataRegularSeason20242025!$AB$3:$AB$1315,DataRegularSeason20242025!$B$3:$B$1315, "&lt;=" &amp; FP$1, DataRegularSeason20242025!$E$3:$E$1315, $A5)</f>
        <v>47</v>
      </c>
      <c r="FQ5">
        <f>SUMIFS(DataRegularSeason20242025!$AA$3:$AA$1315,DataRegularSeason20242025!$B$3:$B$1315, "&lt;=" &amp; FQ$1, DataRegularSeason20242025!$D$3:$D$1315, $A5)+SUMIFS(DataRegularSeason20242025!$AB$3:$AB$1315,DataRegularSeason20242025!$B$3:$B$1315, "&lt;=" &amp; FQ$1, DataRegularSeason20242025!$E$3:$E$1315, $A5)</f>
        <v>47</v>
      </c>
      <c r="FR5">
        <f>SUMIFS(DataRegularSeason20242025!$AA$3:$AA$1315,DataRegularSeason20242025!$B$3:$B$1315, "&lt;=" &amp; FR$1, DataRegularSeason20242025!$D$3:$D$1315, $A5)+SUMIFS(DataRegularSeason20242025!$AB$3:$AB$1315,DataRegularSeason20242025!$B$3:$B$1315, "&lt;=" &amp; FR$1, DataRegularSeason20242025!$E$3:$E$1315, $A5)</f>
        <v>47</v>
      </c>
      <c r="FS5">
        <f>SUMIFS(DataRegularSeason20242025!$AA$3:$AA$1315,DataRegularSeason20242025!$B$3:$B$1315, "&lt;=" &amp; FS$1, DataRegularSeason20242025!$D$3:$D$1315, $A5)+SUMIFS(DataRegularSeason20242025!$AB$3:$AB$1315,DataRegularSeason20242025!$B$3:$B$1315, "&lt;=" &amp; FS$1, DataRegularSeason20242025!$E$3:$E$1315, $A5)</f>
        <v>47</v>
      </c>
      <c r="FT5">
        <f>SUMIFS(DataRegularSeason20242025!$AA$3:$AA$1315,DataRegularSeason20242025!$B$3:$B$1315, "&lt;=" &amp; FT$1, DataRegularSeason20242025!$D$3:$D$1315, $A5)+SUMIFS(DataRegularSeason20242025!$AB$3:$AB$1315,DataRegularSeason20242025!$B$3:$B$1315, "&lt;=" &amp; FT$1, DataRegularSeason20242025!$E$3:$E$1315, $A5)</f>
        <v>47</v>
      </c>
      <c r="FU5">
        <f>SUMIFS(DataRegularSeason20242025!$AA$3:$AA$1315,DataRegularSeason20242025!$B$3:$B$1315, "&lt;=" &amp; FU$1, DataRegularSeason20242025!$D$3:$D$1315, $A5)+SUMIFS(DataRegularSeason20242025!$AB$3:$AB$1315,DataRegularSeason20242025!$B$3:$B$1315, "&lt;=" &amp; FU$1, DataRegularSeason20242025!$E$3:$E$1315, $A5)</f>
        <v>47</v>
      </c>
      <c r="FV5">
        <f>SUMIFS(DataRegularSeason20242025!$AA$3:$AA$1315,DataRegularSeason20242025!$B$3:$B$1315, "&lt;=" &amp; FV$1, DataRegularSeason20242025!$D$3:$D$1315, $A5)+SUMIFS(DataRegularSeason20242025!$AB$3:$AB$1315,DataRegularSeason20242025!$B$3:$B$1315, "&lt;=" &amp; FV$1, DataRegularSeason20242025!$E$3:$E$1315, $A5)</f>
        <v>47</v>
      </c>
      <c r="FW5">
        <f>SUMIFS(DataRegularSeason20242025!$AA$3:$AA$1315,DataRegularSeason20242025!$B$3:$B$1315, "&lt;=" &amp; FW$1, DataRegularSeason20242025!$D$3:$D$1315, $A5)+SUMIFS(DataRegularSeason20242025!$AB$3:$AB$1315,DataRegularSeason20242025!$B$3:$B$1315, "&lt;=" &amp; FW$1, DataRegularSeason20242025!$E$3:$E$1315, $A5)</f>
        <v>47</v>
      </c>
      <c r="FX5">
        <f>SUMIFS(DataRegularSeason20242025!$AA$3:$AA$1315,DataRegularSeason20242025!$B$3:$B$1315, "&lt;=" &amp; FX$1, DataRegularSeason20242025!$D$3:$D$1315, $A5)+SUMIFS(DataRegularSeason20242025!$AB$3:$AB$1315,DataRegularSeason20242025!$B$3:$B$1315, "&lt;=" &amp; FX$1, DataRegularSeason20242025!$E$3:$E$1315, $A5)</f>
        <v>47</v>
      </c>
      <c r="FY5">
        <f>SUMIFS(DataRegularSeason20242025!$AA$3:$AA$1315,DataRegularSeason20242025!$B$3:$B$1315, "&lt;=" &amp; FY$1, DataRegularSeason20242025!$D$3:$D$1315, $A5)+SUMIFS(DataRegularSeason20242025!$AB$3:$AB$1315,DataRegularSeason20242025!$B$3:$B$1315, "&lt;=" &amp; FY$1, DataRegularSeason20242025!$E$3:$E$1315, $A5)</f>
        <v>47</v>
      </c>
      <c r="FZ5">
        <f>SUMIFS(DataRegularSeason20242025!$AA$3:$AA$1315,DataRegularSeason20242025!$B$3:$B$1315, "&lt;=" &amp; FZ$1, DataRegularSeason20242025!$D$3:$D$1315, $A5)+SUMIFS(DataRegularSeason20242025!$AB$3:$AB$1315,DataRegularSeason20242025!$B$3:$B$1315, "&lt;=" &amp; FZ$1, DataRegularSeason20242025!$E$3:$E$1315, $A5)</f>
        <v>47</v>
      </c>
      <c r="GA5">
        <f>SUMIFS(DataRegularSeason20242025!$AA$3:$AA$1315,DataRegularSeason20242025!$B$3:$B$1315, "&lt;=" &amp; GA$1, DataRegularSeason20242025!$D$3:$D$1315, $A5)+SUMIFS(DataRegularSeason20242025!$AB$3:$AB$1315,DataRegularSeason20242025!$B$3:$B$1315, "&lt;=" &amp; GA$1, DataRegularSeason20242025!$E$3:$E$1315, $A5)</f>
        <v>47</v>
      </c>
      <c r="GB5">
        <f>SUMIFS(DataRegularSeason20242025!$AA$3:$AA$1315,DataRegularSeason20242025!$B$3:$B$1315, "&lt;=" &amp; GB$1, DataRegularSeason20242025!$D$3:$D$1315, $A5)+SUMIFS(DataRegularSeason20242025!$AB$3:$AB$1315,DataRegularSeason20242025!$B$3:$B$1315, "&lt;=" &amp; GB$1, DataRegularSeason20242025!$E$3:$E$1315, $A5)</f>
        <v>47</v>
      </c>
      <c r="GC5">
        <f>SUMIFS(DataRegularSeason20242025!$AA$3:$AA$1315,DataRegularSeason20242025!$B$3:$B$1315, "&lt;=" &amp; GC$1, DataRegularSeason20242025!$D$3:$D$1315, $A5)+SUMIFS(DataRegularSeason20242025!$AB$3:$AB$1315,DataRegularSeason20242025!$B$3:$B$1315, "&lt;=" &amp; GC$1, DataRegularSeason20242025!$E$3:$E$1315, $A5)</f>
        <v>47</v>
      </c>
      <c r="GD5">
        <f>SUMIFS(DataRegularSeason20242025!$AA$3:$AA$1315,DataRegularSeason20242025!$B$3:$B$1315, "&lt;=" &amp; GD$1, DataRegularSeason20242025!$D$3:$D$1315, $A5)+SUMIFS(DataRegularSeason20242025!$AB$3:$AB$1315,DataRegularSeason20242025!$B$3:$B$1315, "&lt;=" &amp; GD$1, DataRegularSeason20242025!$E$3:$E$1315, $A5)</f>
        <v>47</v>
      </c>
      <c r="GE5">
        <f>SUMIFS(DataRegularSeason20242025!$AA$3:$AA$1315,DataRegularSeason20242025!$B$3:$B$1315, "&lt;=" &amp; GE$1, DataRegularSeason20242025!$D$3:$D$1315, $A5)+SUMIFS(DataRegularSeason20242025!$AB$3:$AB$1315,DataRegularSeason20242025!$B$3:$B$1315, "&lt;=" &amp; GE$1, DataRegularSeason20242025!$E$3:$E$1315, $A5)</f>
        <v>47</v>
      </c>
      <c r="GF5">
        <f>SUMIFS(DataRegularSeason20242025!$AA$3:$AA$1315,DataRegularSeason20242025!$B$3:$B$1315, "&lt;=" &amp; GF$1, DataRegularSeason20242025!$D$3:$D$1315, $A5)+SUMIFS(DataRegularSeason20242025!$AB$3:$AB$1315,DataRegularSeason20242025!$B$3:$B$1315, "&lt;=" &amp; GF$1, DataRegularSeason20242025!$E$3:$E$1315, $A5)</f>
        <v>47</v>
      </c>
      <c r="GG5">
        <f>SUMIFS(DataRegularSeason20242025!$AA$3:$AA$1315,DataRegularSeason20242025!$B$3:$B$1315, "&lt;=" &amp; GG$1, DataRegularSeason20242025!$D$3:$D$1315, $A5)+SUMIFS(DataRegularSeason20242025!$AB$3:$AB$1315,DataRegularSeason20242025!$B$3:$B$1315, "&lt;=" &amp; GG$1, DataRegularSeason20242025!$E$3:$E$1315, $A5)</f>
        <v>47</v>
      </c>
      <c r="GH5">
        <f>SUMIFS(DataRegularSeason20242025!$AA$3:$AA$1315,DataRegularSeason20242025!$B$3:$B$1315, "&lt;=" &amp; GH$1, DataRegularSeason20242025!$D$3:$D$1315, $A5)+SUMIFS(DataRegularSeason20242025!$AB$3:$AB$1315,DataRegularSeason20242025!$B$3:$B$1315, "&lt;=" &amp; GH$1, DataRegularSeason20242025!$E$3:$E$1315, $A5)</f>
        <v>47</v>
      </c>
      <c r="GI5">
        <f>SUMIFS(DataRegularSeason20242025!$AA$3:$AA$1315,DataRegularSeason20242025!$B$3:$B$1315, "&lt;=" &amp; GI$1, DataRegularSeason20242025!$D$3:$D$1315, $A5)+SUMIFS(DataRegularSeason20242025!$AB$3:$AB$1315,DataRegularSeason20242025!$B$3:$B$1315, "&lt;=" &amp; GI$1, DataRegularSeason20242025!$E$3:$E$1315, $A5)</f>
        <v>47</v>
      </c>
      <c r="GJ5">
        <f>SUMIFS(DataRegularSeason20242025!$AA$3:$AA$1315,DataRegularSeason20242025!$B$3:$B$1315, "&lt;=" &amp; GJ$1, DataRegularSeason20242025!$D$3:$D$1315, $A5)+SUMIFS(DataRegularSeason20242025!$AB$3:$AB$1315,DataRegularSeason20242025!$B$3:$B$1315, "&lt;=" &amp; GJ$1, DataRegularSeason20242025!$E$3:$E$1315, $A5)</f>
        <v>47</v>
      </c>
      <c r="GK5">
        <f>SUMIFS(DataRegularSeason20242025!$AA$3:$AA$1315,DataRegularSeason20242025!$B$3:$B$1315, "&lt;=" &amp; GK$1, DataRegularSeason20242025!$D$3:$D$1315, $A5)+SUMIFS(DataRegularSeason20242025!$AB$3:$AB$1315,DataRegularSeason20242025!$B$3:$B$1315, "&lt;=" &amp; GK$1, DataRegularSeason20242025!$E$3:$E$1315, $A5)</f>
        <v>47</v>
      </c>
      <c r="GL5">
        <f>SUMIFS(DataRegularSeason20242025!$AA$3:$AA$1315,DataRegularSeason20242025!$B$3:$B$1315, "&lt;=" &amp; GL$1, DataRegularSeason20242025!$D$3:$D$1315, $A5)+SUMIFS(DataRegularSeason20242025!$AB$3:$AB$1315,DataRegularSeason20242025!$B$3:$B$1315, "&lt;=" &amp; GL$1, DataRegularSeason20242025!$E$3:$E$1315, $A5)</f>
        <v>47</v>
      </c>
      <c r="GM5">
        <f>SUMIFS(DataRegularSeason20242025!$AA$3:$AA$1315,DataRegularSeason20242025!$B$3:$B$1315, "&lt;=" &amp; GM$1, DataRegularSeason20242025!$D$3:$D$1315, $A5)+SUMIFS(DataRegularSeason20242025!$AB$3:$AB$1315,DataRegularSeason20242025!$B$3:$B$1315, "&lt;=" &amp; GM$1, DataRegularSeason20242025!$E$3:$E$1315, $A5)</f>
        <v>47</v>
      </c>
      <c r="GN5">
        <f>SUMIFS(DataRegularSeason20242025!$AA$3:$AA$1315,DataRegularSeason20242025!$B$3:$B$1315, "&lt;=" &amp; GN$1, DataRegularSeason20242025!$D$3:$D$1315, $A5)+SUMIFS(DataRegularSeason20242025!$AB$3:$AB$1315,DataRegularSeason20242025!$B$3:$B$1315, "&lt;=" &amp; GN$1, DataRegularSeason20242025!$E$3:$E$1315, $A5)</f>
        <v>47</v>
      </c>
      <c r="GO5">
        <f>SUMIFS(DataRegularSeason20242025!$AA$3:$AA$1315,DataRegularSeason20242025!$B$3:$B$1315, "&lt;=" &amp; GO$1, DataRegularSeason20242025!$D$3:$D$1315, $A5)+SUMIFS(DataRegularSeason20242025!$AB$3:$AB$1315,DataRegularSeason20242025!$B$3:$B$1315, "&lt;=" &amp; GO$1, DataRegularSeason20242025!$E$3:$E$1315, $A5)</f>
        <v>47</v>
      </c>
      <c r="GP5">
        <f>SUMIFS(DataRegularSeason20242025!$AA$3:$AA$1315,DataRegularSeason20242025!$B$3:$B$1315, "&lt;=" &amp; GP$1, DataRegularSeason20242025!$D$3:$D$1315, $A5)+SUMIFS(DataRegularSeason20242025!$AB$3:$AB$1315,DataRegularSeason20242025!$B$3:$B$1315, "&lt;=" &amp; GP$1, DataRegularSeason20242025!$E$3:$E$1315, $A5)</f>
        <v>47</v>
      </c>
      <c r="GQ5">
        <f>SUMIFS(DataRegularSeason20242025!$AA$3:$AA$1315,DataRegularSeason20242025!$B$3:$B$1315, "&lt;=" &amp; GQ$1, DataRegularSeason20242025!$D$3:$D$1315, $A5)+SUMIFS(DataRegularSeason20242025!$AB$3:$AB$1315,DataRegularSeason20242025!$B$3:$B$1315, "&lt;=" &amp; GQ$1, DataRegularSeason20242025!$E$3:$E$1315, $A5)</f>
        <v>47</v>
      </c>
      <c r="GR5">
        <f>SUMIFS(DataRegularSeason20242025!$AA$3:$AA$1315,DataRegularSeason20242025!$B$3:$B$1315, "&lt;=" &amp; GR$1, DataRegularSeason20242025!$D$3:$D$1315, $A5)+SUMIFS(DataRegularSeason20242025!$AB$3:$AB$1315,DataRegularSeason20242025!$B$3:$B$1315, "&lt;=" &amp; GR$1, DataRegularSeason20242025!$E$3:$E$1315, $A5)</f>
        <v>47</v>
      </c>
      <c r="GS5">
        <f>SUMIFS(DataRegularSeason20242025!$AA$3:$AA$1315,DataRegularSeason20242025!$B$3:$B$1315, "&lt;=" &amp; GS$1, DataRegularSeason20242025!$D$3:$D$1315, $A5)+SUMIFS(DataRegularSeason20242025!$AB$3:$AB$1315,DataRegularSeason20242025!$B$3:$B$1315, "&lt;=" &amp; GS$1, DataRegularSeason20242025!$E$3:$E$1315, $A5)</f>
        <v>47</v>
      </c>
      <c r="GT5">
        <f>SUMIFS(DataRegularSeason20242025!$AA$3:$AA$1315,DataRegularSeason20242025!$B$3:$B$1315, "&lt;=" &amp; GT$1, DataRegularSeason20242025!$D$3:$D$1315, $A5)+SUMIFS(DataRegularSeason20242025!$AB$3:$AB$1315,DataRegularSeason20242025!$B$3:$B$1315, "&lt;=" &amp; GT$1, DataRegularSeason20242025!$E$3:$E$1315, $A5)</f>
        <v>47</v>
      </c>
      <c r="GU5">
        <f>SUMIFS(DataRegularSeason20242025!$AA$3:$AA$1315,DataRegularSeason20242025!$B$3:$B$1315, "&lt;=" &amp; GU$1, DataRegularSeason20242025!$D$3:$D$1315, $A5)+SUMIFS(DataRegularSeason20242025!$AB$3:$AB$1315,DataRegularSeason20242025!$B$3:$B$1315, "&lt;=" &amp; GU$1, DataRegularSeason20242025!$E$3:$E$1315, $A5)</f>
        <v>47</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46</v>
      </c>
      <c r="DD6">
        <f>SUMIFS(DataRegularSeason20242025!$AA$3:$AA$1315,DataRegularSeason20242025!$B$3:$B$1315, "&lt;=" &amp; DD$1, DataRegularSeason20242025!$D$3:$D$1315, $A6)+SUMIFS(DataRegularSeason20242025!$AB$3:$AB$1315,DataRegularSeason20242025!$B$3:$B$1315, "&lt;=" &amp; DD$1, DataRegularSeason20242025!$E$3:$E$1315, $A6)</f>
        <v>46</v>
      </c>
      <c r="DE6">
        <f>SUMIFS(DataRegularSeason20242025!$AA$3:$AA$1315,DataRegularSeason20242025!$B$3:$B$1315, "&lt;=" &amp; DE$1, DataRegularSeason20242025!$D$3:$D$1315, $A6)+SUMIFS(DataRegularSeason20242025!$AB$3:$AB$1315,DataRegularSeason20242025!$B$3:$B$1315, "&lt;=" &amp; DE$1, DataRegularSeason20242025!$E$3:$E$1315, $A6)</f>
        <v>46</v>
      </c>
      <c r="DF6">
        <f>SUMIFS(DataRegularSeason20242025!$AA$3:$AA$1315,DataRegularSeason20242025!$B$3:$B$1315, "&lt;=" &amp; DF$1, DataRegularSeason20242025!$D$3:$D$1315, $A6)+SUMIFS(DataRegularSeason20242025!$AB$3:$AB$1315,DataRegularSeason20242025!$B$3:$B$1315, "&lt;=" &amp; DF$1, DataRegularSeason20242025!$E$3:$E$1315, $A6)</f>
        <v>46</v>
      </c>
      <c r="DG6">
        <f>SUMIFS(DataRegularSeason20242025!$AA$3:$AA$1315,DataRegularSeason20242025!$B$3:$B$1315, "&lt;=" &amp; DG$1, DataRegularSeason20242025!$D$3:$D$1315, $A6)+SUMIFS(DataRegularSeason20242025!$AB$3:$AB$1315,DataRegularSeason20242025!$B$3:$B$1315, "&lt;=" &amp; DG$1, DataRegularSeason20242025!$E$3:$E$1315, $A6)</f>
        <v>46</v>
      </c>
      <c r="DH6">
        <f>SUMIFS(DataRegularSeason20242025!$AA$3:$AA$1315,DataRegularSeason20242025!$B$3:$B$1315, "&lt;=" &amp; DH$1, DataRegularSeason20242025!$D$3:$D$1315, $A6)+SUMIFS(DataRegularSeason20242025!$AB$3:$AB$1315,DataRegularSeason20242025!$B$3:$B$1315, "&lt;=" &amp; DH$1, DataRegularSeason20242025!$E$3:$E$1315, $A6)</f>
        <v>46</v>
      </c>
      <c r="DI6">
        <f>SUMIFS(DataRegularSeason20242025!$AA$3:$AA$1315,DataRegularSeason20242025!$B$3:$B$1315, "&lt;=" &amp; DI$1, DataRegularSeason20242025!$D$3:$D$1315, $A6)+SUMIFS(DataRegularSeason20242025!$AB$3:$AB$1315,DataRegularSeason20242025!$B$3:$B$1315, "&lt;=" &amp; DI$1, DataRegularSeason20242025!$E$3:$E$1315, $A6)</f>
        <v>46</v>
      </c>
      <c r="DJ6">
        <f>SUMIFS(DataRegularSeason20242025!$AA$3:$AA$1315,DataRegularSeason20242025!$B$3:$B$1315, "&lt;=" &amp; DJ$1, DataRegularSeason20242025!$D$3:$D$1315, $A6)+SUMIFS(DataRegularSeason20242025!$AB$3:$AB$1315,DataRegularSeason20242025!$B$3:$B$1315, "&lt;=" &amp; DJ$1, DataRegularSeason20242025!$E$3:$E$1315, $A6)</f>
        <v>46</v>
      </c>
      <c r="DK6">
        <f>SUMIFS(DataRegularSeason20242025!$AA$3:$AA$1315,DataRegularSeason20242025!$B$3:$B$1315, "&lt;=" &amp; DK$1, DataRegularSeason20242025!$D$3:$D$1315, $A6)+SUMIFS(DataRegularSeason20242025!$AB$3:$AB$1315,DataRegularSeason20242025!$B$3:$B$1315, "&lt;=" &amp; DK$1, DataRegularSeason20242025!$E$3:$E$1315, $A6)</f>
        <v>46</v>
      </c>
      <c r="DL6">
        <f>SUMIFS(DataRegularSeason20242025!$AA$3:$AA$1315,DataRegularSeason20242025!$B$3:$B$1315, "&lt;=" &amp; DL$1, DataRegularSeason20242025!$D$3:$D$1315, $A6)+SUMIFS(DataRegularSeason20242025!$AB$3:$AB$1315,DataRegularSeason20242025!$B$3:$B$1315, "&lt;=" &amp; DL$1, DataRegularSeason20242025!$E$3:$E$1315, $A6)</f>
        <v>46</v>
      </c>
      <c r="DM6">
        <f>SUMIFS(DataRegularSeason20242025!$AA$3:$AA$1315,DataRegularSeason20242025!$B$3:$B$1315, "&lt;=" &amp; DM$1, DataRegularSeason20242025!$D$3:$D$1315, $A6)+SUMIFS(DataRegularSeason20242025!$AB$3:$AB$1315,DataRegularSeason20242025!$B$3:$B$1315, "&lt;=" &amp; DM$1, DataRegularSeason20242025!$E$3:$E$1315, $A6)</f>
        <v>46</v>
      </c>
      <c r="DN6">
        <f>SUMIFS(DataRegularSeason20242025!$AA$3:$AA$1315,DataRegularSeason20242025!$B$3:$B$1315, "&lt;=" &amp; DN$1, DataRegularSeason20242025!$D$3:$D$1315, $A6)+SUMIFS(DataRegularSeason20242025!$AB$3:$AB$1315,DataRegularSeason20242025!$B$3:$B$1315, "&lt;=" &amp; DN$1, DataRegularSeason20242025!$E$3:$E$1315, $A6)</f>
        <v>46</v>
      </c>
      <c r="DO6">
        <f>SUMIFS(DataRegularSeason20242025!$AA$3:$AA$1315,DataRegularSeason20242025!$B$3:$B$1315, "&lt;=" &amp; DO$1, DataRegularSeason20242025!$D$3:$D$1315, $A6)+SUMIFS(DataRegularSeason20242025!$AB$3:$AB$1315,DataRegularSeason20242025!$B$3:$B$1315, "&lt;=" &amp; DO$1, DataRegularSeason20242025!$E$3:$E$1315, $A6)</f>
        <v>46</v>
      </c>
      <c r="DP6">
        <f>SUMIFS(DataRegularSeason20242025!$AA$3:$AA$1315,DataRegularSeason20242025!$B$3:$B$1315, "&lt;=" &amp; DP$1, DataRegularSeason20242025!$D$3:$D$1315, $A6)+SUMIFS(DataRegularSeason20242025!$AB$3:$AB$1315,DataRegularSeason20242025!$B$3:$B$1315, "&lt;=" &amp; DP$1, DataRegularSeason20242025!$E$3:$E$1315, $A6)</f>
        <v>46</v>
      </c>
      <c r="DQ6">
        <f>SUMIFS(DataRegularSeason20242025!$AA$3:$AA$1315,DataRegularSeason20242025!$B$3:$B$1315, "&lt;=" &amp; DQ$1, DataRegularSeason20242025!$D$3:$D$1315, $A6)+SUMIFS(DataRegularSeason20242025!$AB$3:$AB$1315,DataRegularSeason20242025!$B$3:$B$1315, "&lt;=" &amp; DQ$1, DataRegularSeason20242025!$E$3:$E$1315, $A6)</f>
        <v>46</v>
      </c>
      <c r="DR6">
        <f>SUMIFS(DataRegularSeason20242025!$AA$3:$AA$1315,DataRegularSeason20242025!$B$3:$B$1315, "&lt;=" &amp; DR$1, DataRegularSeason20242025!$D$3:$D$1315, $A6)+SUMIFS(DataRegularSeason20242025!$AB$3:$AB$1315,DataRegularSeason20242025!$B$3:$B$1315, "&lt;=" &amp; DR$1, DataRegularSeason20242025!$E$3:$E$1315, $A6)</f>
        <v>46</v>
      </c>
      <c r="DS6">
        <f>SUMIFS(DataRegularSeason20242025!$AA$3:$AA$1315,DataRegularSeason20242025!$B$3:$B$1315, "&lt;=" &amp; DS$1, DataRegularSeason20242025!$D$3:$D$1315, $A6)+SUMIFS(DataRegularSeason20242025!$AB$3:$AB$1315,DataRegularSeason20242025!$B$3:$B$1315, "&lt;=" &amp; DS$1, DataRegularSeason20242025!$E$3:$E$1315, $A6)</f>
        <v>46</v>
      </c>
      <c r="DT6">
        <f>SUMIFS(DataRegularSeason20242025!$AA$3:$AA$1315,DataRegularSeason20242025!$B$3:$B$1315, "&lt;=" &amp; DT$1, DataRegularSeason20242025!$D$3:$D$1315, $A6)+SUMIFS(DataRegularSeason20242025!$AB$3:$AB$1315,DataRegularSeason20242025!$B$3:$B$1315, "&lt;=" &amp; DT$1, DataRegularSeason20242025!$E$3:$E$1315, $A6)</f>
        <v>46</v>
      </c>
      <c r="DU6">
        <f>SUMIFS(DataRegularSeason20242025!$AA$3:$AA$1315,DataRegularSeason20242025!$B$3:$B$1315, "&lt;=" &amp; DU$1, DataRegularSeason20242025!$D$3:$D$1315, $A6)+SUMIFS(DataRegularSeason20242025!$AB$3:$AB$1315,DataRegularSeason20242025!$B$3:$B$1315, "&lt;=" &amp; DU$1, DataRegularSeason20242025!$E$3:$E$1315, $A6)</f>
        <v>46</v>
      </c>
      <c r="DV6">
        <f>SUMIFS(DataRegularSeason20242025!$AA$3:$AA$1315,DataRegularSeason20242025!$B$3:$B$1315, "&lt;=" &amp; DV$1, DataRegularSeason20242025!$D$3:$D$1315, $A6)+SUMIFS(DataRegularSeason20242025!$AB$3:$AB$1315,DataRegularSeason20242025!$B$3:$B$1315, "&lt;=" &amp; DV$1, DataRegularSeason20242025!$E$3:$E$1315, $A6)</f>
        <v>46</v>
      </c>
      <c r="DW6">
        <f>SUMIFS(DataRegularSeason20242025!$AA$3:$AA$1315,DataRegularSeason20242025!$B$3:$B$1315, "&lt;=" &amp; DW$1, DataRegularSeason20242025!$D$3:$D$1315, $A6)+SUMIFS(DataRegularSeason20242025!$AB$3:$AB$1315,DataRegularSeason20242025!$B$3:$B$1315, "&lt;=" &amp; DW$1, DataRegularSeason20242025!$E$3:$E$1315, $A6)</f>
        <v>46</v>
      </c>
      <c r="DX6">
        <f>SUMIFS(DataRegularSeason20242025!$AA$3:$AA$1315,DataRegularSeason20242025!$B$3:$B$1315, "&lt;=" &amp; DX$1, DataRegularSeason20242025!$D$3:$D$1315, $A6)+SUMIFS(DataRegularSeason20242025!$AB$3:$AB$1315,DataRegularSeason20242025!$B$3:$B$1315, "&lt;=" &amp; DX$1, DataRegularSeason20242025!$E$3:$E$1315, $A6)</f>
        <v>46</v>
      </c>
      <c r="DY6">
        <f>SUMIFS(DataRegularSeason20242025!$AA$3:$AA$1315,DataRegularSeason20242025!$B$3:$B$1315, "&lt;=" &amp; DY$1, DataRegularSeason20242025!$D$3:$D$1315, $A6)+SUMIFS(DataRegularSeason20242025!$AB$3:$AB$1315,DataRegularSeason20242025!$B$3:$B$1315, "&lt;=" &amp; DY$1, DataRegularSeason20242025!$E$3:$E$1315, $A6)</f>
        <v>46</v>
      </c>
      <c r="DZ6">
        <f>SUMIFS(DataRegularSeason20242025!$AA$3:$AA$1315,DataRegularSeason20242025!$B$3:$B$1315, "&lt;=" &amp; DZ$1, DataRegularSeason20242025!$D$3:$D$1315, $A6)+SUMIFS(DataRegularSeason20242025!$AB$3:$AB$1315,DataRegularSeason20242025!$B$3:$B$1315, "&lt;=" &amp; DZ$1, DataRegularSeason20242025!$E$3:$E$1315, $A6)</f>
        <v>46</v>
      </c>
      <c r="EA6">
        <f>SUMIFS(DataRegularSeason20242025!$AA$3:$AA$1315,DataRegularSeason20242025!$B$3:$B$1315, "&lt;=" &amp; EA$1, DataRegularSeason20242025!$D$3:$D$1315, $A6)+SUMIFS(DataRegularSeason20242025!$AB$3:$AB$1315,DataRegularSeason20242025!$B$3:$B$1315, "&lt;=" &amp; EA$1, DataRegularSeason20242025!$E$3:$E$1315, $A6)</f>
        <v>46</v>
      </c>
      <c r="EB6">
        <f>SUMIFS(DataRegularSeason20242025!$AA$3:$AA$1315,DataRegularSeason20242025!$B$3:$B$1315, "&lt;=" &amp; EB$1, DataRegularSeason20242025!$D$3:$D$1315, $A6)+SUMIFS(DataRegularSeason20242025!$AB$3:$AB$1315,DataRegularSeason20242025!$B$3:$B$1315, "&lt;=" &amp; EB$1, DataRegularSeason20242025!$E$3:$E$1315, $A6)</f>
        <v>46</v>
      </c>
      <c r="EC6">
        <f>SUMIFS(DataRegularSeason20242025!$AA$3:$AA$1315,DataRegularSeason20242025!$B$3:$B$1315, "&lt;=" &amp; EC$1, DataRegularSeason20242025!$D$3:$D$1315, $A6)+SUMIFS(DataRegularSeason20242025!$AB$3:$AB$1315,DataRegularSeason20242025!$B$3:$B$1315, "&lt;=" &amp; EC$1, DataRegularSeason20242025!$E$3:$E$1315, $A6)</f>
        <v>46</v>
      </c>
      <c r="ED6">
        <f>SUMIFS(DataRegularSeason20242025!$AA$3:$AA$1315,DataRegularSeason20242025!$B$3:$B$1315, "&lt;=" &amp; ED$1, DataRegularSeason20242025!$D$3:$D$1315, $A6)+SUMIFS(DataRegularSeason20242025!$AB$3:$AB$1315,DataRegularSeason20242025!$B$3:$B$1315, "&lt;=" &amp; ED$1, DataRegularSeason20242025!$E$3:$E$1315, $A6)</f>
        <v>46</v>
      </c>
      <c r="EE6">
        <f>SUMIFS(DataRegularSeason20242025!$AA$3:$AA$1315,DataRegularSeason20242025!$B$3:$B$1315, "&lt;=" &amp; EE$1, DataRegularSeason20242025!$D$3:$D$1315, $A6)+SUMIFS(DataRegularSeason20242025!$AB$3:$AB$1315,DataRegularSeason20242025!$B$3:$B$1315, "&lt;=" &amp; EE$1, DataRegularSeason20242025!$E$3:$E$1315, $A6)</f>
        <v>46</v>
      </c>
      <c r="EF6">
        <f>SUMIFS(DataRegularSeason20242025!$AA$3:$AA$1315,DataRegularSeason20242025!$B$3:$B$1315, "&lt;=" &amp; EF$1, DataRegularSeason20242025!$D$3:$D$1315, $A6)+SUMIFS(DataRegularSeason20242025!$AB$3:$AB$1315,DataRegularSeason20242025!$B$3:$B$1315, "&lt;=" &amp; EF$1, DataRegularSeason20242025!$E$3:$E$1315, $A6)</f>
        <v>46</v>
      </c>
      <c r="EG6">
        <f>SUMIFS(DataRegularSeason20242025!$AA$3:$AA$1315,DataRegularSeason20242025!$B$3:$B$1315, "&lt;=" &amp; EG$1, DataRegularSeason20242025!$D$3:$D$1315, $A6)+SUMIFS(DataRegularSeason20242025!$AB$3:$AB$1315,DataRegularSeason20242025!$B$3:$B$1315, "&lt;=" &amp; EG$1, DataRegularSeason20242025!$E$3:$E$1315, $A6)</f>
        <v>46</v>
      </c>
      <c r="EH6">
        <f>SUMIFS(DataRegularSeason20242025!$AA$3:$AA$1315,DataRegularSeason20242025!$B$3:$B$1315, "&lt;=" &amp; EH$1, DataRegularSeason20242025!$D$3:$D$1315, $A6)+SUMIFS(DataRegularSeason20242025!$AB$3:$AB$1315,DataRegularSeason20242025!$B$3:$B$1315, "&lt;=" &amp; EH$1, DataRegularSeason20242025!$E$3:$E$1315, $A6)</f>
        <v>46</v>
      </c>
      <c r="EI6">
        <f>SUMIFS(DataRegularSeason20242025!$AA$3:$AA$1315,DataRegularSeason20242025!$B$3:$B$1315, "&lt;=" &amp; EI$1, DataRegularSeason20242025!$D$3:$D$1315, $A6)+SUMIFS(DataRegularSeason20242025!$AB$3:$AB$1315,DataRegularSeason20242025!$B$3:$B$1315, "&lt;=" &amp; EI$1, DataRegularSeason20242025!$E$3:$E$1315, $A6)</f>
        <v>46</v>
      </c>
      <c r="EJ6">
        <f>SUMIFS(DataRegularSeason20242025!$AA$3:$AA$1315,DataRegularSeason20242025!$B$3:$B$1315, "&lt;=" &amp; EJ$1, DataRegularSeason20242025!$D$3:$D$1315, $A6)+SUMIFS(DataRegularSeason20242025!$AB$3:$AB$1315,DataRegularSeason20242025!$B$3:$B$1315, "&lt;=" &amp; EJ$1, DataRegularSeason20242025!$E$3:$E$1315, $A6)</f>
        <v>46</v>
      </c>
      <c r="EK6">
        <f>SUMIFS(DataRegularSeason20242025!$AA$3:$AA$1315,DataRegularSeason20242025!$B$3:$B$1315, "&lt;=" &amp; EK$1, DataRegularSeason20242025!$D$3:$D$1315, $A6)+SUMIFS(DataRegularSeason20242025!$AB$3:$AB$1315,DataRegularSeason20242025!$B$3:$B$1315, "&lt;=" &amp; EK$1, DataRegularSeason20242025!$E$3:$E$1315, $A6)</f>
        <v>46</v>
      </c>
      <c r="EL6">
        <f>SUMIFS(DataRegularSeason20242025!$AA$3:$AA$1315,DataRegularSeason20242025!$B$3:$B$1315, "&lt;=" &amp; EL$1, DataRegularSeason20242025!$D$3:$D$1315, $A6)+SUMIFS(DataRegularSeason20242025!$AB$3:$AB$1315,DataRegularSeason20242025!$B$3:$B$1315, "&lt;=" &amp; EL$1, DataRegularSeason20242025!$E$3:$E$1315, $A6)</f>
        <v>46</v>
      </c>
      <c r="EM6">
        <f>SUMIFS(DataRegularSeason20242025!$AA$3:$AA$1315,DataRegularSeason20242025!$B$3:$B$1315, "&lt;=" &amp; EM$1, DataRegularSeason20242025!$D$3:$D$1315, $A6)+SUMIFS(DataRegularSeason20242025!$AB$3:$AB$1315,DataRegularSeason20242025!$B$3:$B$1315, "&lt;=" &amp; EM$1, DataRegularSeason20242025!$E$3:$E$1315, $A6)</f>
        <v>46</v>
      </c>
      <c r="EN6">
        <f>SUMIFS(DataRegularSeason20242025!$AA$3:$AA$1315,DataRegularSeason20242025!$B$3:$B$1315, "&lt;=" &amp; EN$1, DataRegularSeason20242025!$D$3:$D$1315, $A6)+SUMIFS(DataRegularSeason20242025!$AB$3:$AB$1315,DataRegularSeason20242025!$B$3:$B$1315, "&lt;=" &amp; EN$1, DataRegularSeason20242025!$E$3:$E$1315, $A6)</f>
        <v>46</v>
      </c>
      <c r="EO6">
        <f>SUMIFS(DataRegularSeason20242025!$AA$3:$AA$1315,DataRegularSeason20242025!$B$3:$B$1315, "&lt;=" &amp; EO$1, DataRegularSeason20242025!$D$3:$D$1315, $A6)+SUMIFS(DataRegularSeason20242025!$AB$3:$AB$1315,DataRegularSeason20242025!$B$3:$B$1315, "&lt;=" &amp; EO$1, DataRegularSeason20242025!$E$3:$E$1315, $A6)</f>
        <v>46</v>
      </c>
      <c r="EP6">
        <f>SUMIFS(DataRegularSeason20242025!$AA$3:$AA$1315,DataRegularSeason20242025!$B$3:$B$1315, "&lt;=" &amp; EP$1, DataRegularSeason20242025!$D$3:$D$1315, $A6)+SUMIFS(DataRegularSeason20242025!$AB$3:$AB$1315,DataRegularSeason20242025!$B$3:$B$1315, "&lt;=" &amp; EP$1, DataRegularSeason20242025!$E$3:$E$1315, $A6)</f>
        <v>46</v>
      </c>
      <c r="EQ6">
        <f>SUMIFS(DataRegularSeason20242025!$AA$3:$AA$1315,DataRegularSeason20242025!$B$3:$B$1315, "&lt;=" &amp; EQ$1, DataRegularSeason20242025!$D$3:$D$1315, $A6)+SUMIFS(DataRegularSeason20242025!$AB$3:$AB$1315,DataRegularSeason20242025!$B$3:$B$1315, "&lt;=" &amp; EQ$1, DataRegularSeason20242025!$E$3:$E$1315, $A6)</f>
        <v>46</v>
      </c>
      <c r="ER6">
        <f>SUMIFS(DataRegularSeason20242025!$AA$3:$AA$1315,DataRegularSeason20242025!$B$3:$B$1315, "&lt;=" &amp; ER$1, DataRegularSeason20242025!$D$3:$D$1315, $A6)+SUMIFS(DataRegularSeason20242025!$AB$3:$AB$1315,DataRegularSeason20242025!$B$3:$B$1315, "&lt;=" &amp; ER$1, DataRegularSeason20242025!$E$3:$E$1315, $A6)</f>
        <v>46</v>
      </c>
      <c r="ES6">
        <f>SUMIFS(DataRegularSeason20242025!$AA$3:$AA$1315,DataRegularSeason20242025!$B$3:$B$1315, "&lt;=" &amp; ES$1, DataRegularSeason20242025!$D$3:$D$1315, $A6)+SUMIFS(DataRegularSeason20242025!$AB$3:$AB$1315,DataRegularSeason20242025!$B$3:$B$1315, "&lt;=" &amp; ES$1, DataRegularSeason20242025!$E$3:$E$1315, $A6)</f>
        <v>46</v>
      </c>
      <c r="ET6">
        <f>SUMIFS(DataRegularSeason20242025!$AA$3:$AA$1315,DataRegularSeason20242025!$B$3:$B$1315, "&lt;=" &amp; ET$1, DataRegularSeason20242025!$D$3:$D$1315, $A6)+SUMIFS(DataRegularSeason20242025!$AB$3:$AB$1315,DataRegularSeason20242025!$B$3:$B$1315, "&lt;=" &amp; ET$1, DataRegularSeason20242025!$E$3:$E$1315, $A6)</f>
        <v>46</v>
      </c>
      <c r="EU6">
        <f>SUMIFS(DataRegularSeason20242025!$AA$3:$AA$1315,DataRegularSeason20242025!$B$3:$B$1315, "&lt;=" &amp; EU$1, DataRegularSeason20242025!$D$3:$D$1315, $A6)+SUMIFS(DataRegularSeason20242025!$AB$3:$AB$1315,DataRegularSeason20242025!$B$3:$B$1315, "&lt;=" &amp; EU$1, DataRegularSeason20242025!$E$3:$E$1315, $A6)</f>
        <v>46</v>
      </c>
      <c r="EV6">
        <f>SUMIFS(DataRegularSeason20242025!$AA$3:$AA$1315,DataRegularSeason20242025!$B$3:$B$1315, "&lt;=" &amp; EV$1, DataRegularSeason20242025!$D$3:$D$1315, $A6)+SUMIFS(DataRegularSeason20242025!$AB$3:$AB$1315,DataRegularSeason20242025!$B$3:$B$1315, "&lt;=" &amp; EV$1, DataRegularSeason20242025!$E$3:$E$1315, $A6)</f>
        <v>46</v>
      </c>
      <c r="EW6">
        <f>SUMIFS(DataRegularSeason20242025!$AA$3:$AA$1315,DataRegularSeason20242025!$B$3:$B$1315, "&lt;=" &amp; EW$1, DataRegularSeason20242025!$D$3:$D$1315, $A6)+SUMIFS(DataRegularSeason20242025!$AB$3:$AB$1315,DataRegularSeason20242025!$B$3:$B$1315, "&lt;=" &amp; EW$1, DataRegularSeason20242025!$E$3:$E$1315, $A6)</f>
        <v>46</v>
      </c>
      <c r="EX6">
        <f>SUMIFS(DataRegularSeason20242025!$AA$3:$AA$1315,DataRegularSeason20242025!$B$3:$B$1315, "&lt;=" &amp; EX$1, DataRegularSeason20242025!$D$3:$D$1315, $A6)+SUMIFS(DataRegularSeason20242025!$AB$3:$AB$1315,DataRegularSeason20242025!$B$3:$B$1315, "&lt;=" &amp; EX$1, DataRegularSeason20242025!$E$3:$E$1315, $A6)</f>
        <v>46</v>
      </c>
      <c r="EY6">
        <f>SUMIFS(DataRegularSeason20242025!$AA$3:$AA$1315,DataRegularSeason20242025!$B$3:$B$1315, "&lt;=" &amp; EY$1, DataRegularSeason20242025!$D$3:$D$1315, $A6)+SUMIFS(DataRegularSeason20242025!$AB$3:$AB$1315,DataRegularSeason20242025!$B$3:$B$1315, "&lt;=" &amp; EY$1, DataRegularSeason20242025!$E$3:$E$1315, $A6)</f>
        <v>46</v>
      </c>
      <c r="EZ6">
        <f>SUMIFS(DataRegularSeason20242025!$AA$3:$AA$1315,DataRegularSeason20242025!$B$3:$B$1315, "&lt;=" &amp; EZ$1, DataRegularSeason20242025!$D$3:$D$1315, $A6)+SUMIFS(DataRegularSeason20242025!$AB$3:$AB$1315,DataRegularSeason20242025!$B$3:$B$1315, "&lt;=" &amp; EZ$1, DataRegularSeason20242025!$E$3:$E$1315, $A6)</f>
        <v>46</v>
      </c>
      <c r="FA6">
        <f>SUMIFS(DataRegularSeason20242025!$AA$3:$AA$1315,DataRegularSeason20242025!$B$3:$B$1315, "&lt;=" &amp; FA$1, DataRegularSeason20242025!$D$3:$D$1315, $A6)+SUMIFS(DataRegularSeason20242025!$AB$3:$AB$1315,DataRegularSeason20242025!$B$3:$B$1315, "&lt;=" &amp; FA$1, DataRegularSeason20242025!$E$3:$E$1315, $A6)</f>
        <v>46</v>
      </c>
      <c r="FB6">
        <f>SUMIFS(DataRegularSeason20242025!$AA$3:$AA$1315,DataRegularSeason20242025!$B$3:$B$1315, "&lt;=" &amp; FB$1, DataRegularSeason20242025!$D$3:$D$1315, $A6)+SUMIFS(DataRegularSeason20242025!$AB$3:$AB$1315,DataRegularSeason20242025!$B$3:$B$1315, "&lt;=" &amp; FB$1, DataRegularSeason20242025!$E$3:$E$1315, $A6)</f>
        <v>46</v>
      </c>
      <c r="FC6">
        <f>SUMIFS(DataRegularSeason20242025!$AA$3:$AA$1315,DataRegularSeason20242025!$B$3:$B$1315, "&lt;=" &amp; FC$1, DataRegularSeason20242025!$D$3:$D$1315, $A6)+SUMIFS(DataRegularSeason20242025!$AB$3:$AB$1315,DataRegularSeason20242025!$B$3:$B$1315, "&lt;=" &amp; FC$1, DataRegularSeason20242025!$E$3:$E$1315, $A6)</f>
        <v>46</v>
      </c>
      <c r="FD6">
        <f>SUMIFS(DataRegularSeason20242025!$AA$3:$AA$1315,DataRegularSeason20242025!$B$3:$B$1315, "&lt;=" &amp; FD$1, DataRegularSeason20242025!$D$3:$D$1315, $A6)+SUMIFS(DataRegularSeason20242025!$AB$3:$AB$1315,DataRegularSeason20242025!$B$3:$B$1315, "&lt;=" &amp; FD$1, DataRegularSeason20242025!$E$3:$E$1315, $A6)</f>
        <v>46</v>
      </c>
      <c r="FE6">
        <f>SUMIFS(DataRegularSeason20242025!$AA$3:$AA$1315,DataRegularSeason20242025!$B$3:$B$1315, "&lt;=" &amp; FE$1, DataRegularSeason20242025!$D$3:$D$1315, $A6)+SUMIFS(DataRegularSeason20242025!$AB$3:$AB$1315,DataRegularSeason20242025!$B$3:$B$1315, "&lt;=" &amp; FE$1, DataRegularSeason20242025!$E$3:$E$1315, $A6)</f>
        <v>46</v>
      </c>
      <c r="FF6">
        <f>SUMIFS(DataRegularSeason20242025!$AA$3:$AA$1315,DataRegularSeason20242025!$B$3:$B$1315, "&lt;=" &amp; FF$1, DataRegularSeason20242025!$D$3:$D$1315, $A6)+SUMIFS(DataRegularSeason20242025!$AB$3:$AB$1315,DataRegularSeason20242025!$B$3:$B$1315, "&lt;=" &amp; FF$1, DataRegularSeason20242025!$E$3:$E$1315, $A6)</f>
        <v>46</v>
      </c>
      <c r="FG6">
        <f>SUMIFS(DataRegularSeason20242025!$AA$3:$AA$1315,DataRegularSeason20242025!$B$3:$B$1315, "&lt;=" &amp; FG$1, DataRegularSeason20242025!$D$3:$D$1315, $A6)+SUMIFS(DataRegularSeason20242025!$AB$3:$AB$1315,DataRegularSeason20242025!$B$3:$B$1315, "&lt;=" &amp; FG$1, DataRegularSeason20242025!$E$3:$E$1315, $A6)</f>
        <v>46</v>
      </c>
      <c r="FH6">
        <f>SUMIFS(DataRegularSeason20242025!$AA$3:$AA$1315,DataRegularSeason20242025!$B$3:$B$1315, "&lt;=" &amp; FH$1, DataRegularSeason20242025!$D$3:$D$1315, $A6)+SUMIFS(DataRegularSeason20242025!$AB$3:$AB$1315,DataRegularSeason20242025!$B$3:$B$1315, "&lt;=" &amp; FH$1, DataRegularSeason20242025!$E$3:$E$1315, $A6)</f>
        <v>46</v>
      </c>
      <c r="FI6">
        <f>SUMIFS(DataRegularSeason20242025!$AA$3:$AA$1315,DataRegularSeason20242025!$B$3:$B$1315, "&lt;=" &amp; FI$1, DataRegularSeason20242025!$D$3:$D$1315, $A6)+SUMIFS(DataRegularSeason20242025!$AB$3:$AB$1315,DataRegularSeason20242025!$B$3:$B$1315, "&lt;=" &amp; FI$1, DataRegularSeason20242025!$E$3:$E$1315, $A6)</f>
        <v>46</v>
      </c>
      <c r="FJ6">
        <f>SUMIFS(DataRegularSeason20242025!$AA$3:$AA$1315,DataRegularSeason20242025!$B$3:$B$1315, "&lt;=" &amp; FJ$1, DataRegularSeason20242025!$D$3:$D$1315, $A6)+SUMIFS(DataRegularSeason20242025!$AB$3:$AB$1315,DataRegularSeason20242025!$B$3:$B$1315, "&lt;=" &amp; FJ$1, DataRegularSeason20242025!$E$3:$E$1315, $A6)</f>
        <v>46</v>
      </c>
      <c r="FK6">
        <f>SUMIFS(DataRegularSeason20242025!$AA$3:$AA$1315,DataRegularSeason20242025!$B$3:$B$1315, "&lt;=" &amp; FK$1, DataRegularSeason20242025!$D$3:$D$1315, $A6)+SUMIFS(DataRegularSeason20242025!$AB$3:$AB$1315,DataRegularSeason20242025!$B$3:$B$1315, "&lt;=" &amp; FK$1, DataRegularSeason20242025!$E$3:$E$1315, $A6)</f>
        <v>46</v>
      </c>
      <c r="FL6">
        <f>SUMIFS(DataRegularSeason20242025!$AA$3:$AA$1315,DataRegularSeason20242025!$B$3:$B$1315, "&lt;=" &amp; FL$1, DataRegularSeason20242025!$D$3:$D$1315, $A6)+SUMIFS(DataRegularSeason20242025!$AB$3:$AB$1315,DataRegularSeason20242025!$B$3:$B$1315, "&lt;=" &amp; FL$1, DataRegularSeason20242025!$E$3:$E$1315, $A6)</f>
        <v>46</v>
      </c>
      <c r="FM6">
        <f>SUMIFS(DataRegularSeason20242025!$AA$3:$AA$1315,DataRegularSeason20242025!$B$3:$B$1315, "&lt;=" &amp; FM$1, DataRegularSeason20242025!$D$3:$D$1315, $A6)+SUMIFS(DataRegularSeason20242025!$AB$3:$AB$1315,DataRegularSeason20242025!$B$3:$B$1315, "&lt;=" &amp; FM$1, DataRegularSeason20242025!$E$3:$E$1315, $A6)</f>
        <v>46</v>
      </c>
      <c r="FN6">
        <f>SUMIFS(DataRegularSeason20242025!$AA$3:$AA$1315,DataRegularSeason20242025!$B$3:$B$1315, "&lt;=" &amp; FN$1, DataRegularSeason20242025!$D$3:$D$1315, $A6)+SUMIFS(DataRegularSeason20242025!$AB$3:$AB$1315,DataRegularSeason20242025!$B$3:$B$1315, "&lt;=" &amp; FN$1, DataRegularSeason20242025!$E$3:$E$1315, $A6)</f>
        <v>46</v>
      </c>
      <c r="FO6">
        <f>SUMIFS(DataRegularSeason20242025!$AA$3:$AA$1315,DataRegularSeason20242025!$B$3:$B$1315, "&lt;=" &amp; FO$1, DataRegularSeason20242025!$D$3:$D$1315, $A6)+SUMIFS(DataRegularSeason20242025!$AB$3:$AB$1315,DataRegularSeason20242025!$B$3:$B$1315, "&lt;=" &amp; FO$1, DataRegularSeason20242025!$E$3:$E$1315, $A6)</f>
        <v>46</v>
      </c>
      <c r="FP6">
        <f>SUMIFS(DataRegularSeason20242025!$AA$3:$AA$1315,DataRegularSeason20242025!$B$3:$B$1315, "&lt;=" &amp; FP$1, DataRegularSeason20242025!$D$3:$D$1315, $A6)+SUMIFS(DataRegularSeason20242025!$AB$3:$AB$1315,DataRegularSeason20242025!$B$3:$B$1315, "&lt;=" &amp; FP$1, DataRegularSeason20242025!$E$3:$E$1315, $A6)</f>
        <v>46</v>
      </c>
      <c r="FQ6">
        <f>SUMIFS(DataRegularSeason20242025!$AA$3:$AA$1315,DataRegularSeason20242025!$B$3:$B$1315, "&lt;=" &amp; FQ$1, DataRegularSeason20242025!$D$3:$D$1315, $A6)+SUMIFS(DataRegularSeason20242025!$AB$3:$AB$1315,DataRegularSeason20242025!$B$3:$B$1315, "&lt;=" &amp; FQ$1, DataRegularSeason20242025!$E$3:$E$1315, $A6)</f>
        <v>46</v>
      </c>
      <c r="FR6">
        <f>SUMIFS(DataRegularSeason20242025!$AA$3:$AA$1315,DataRegularSeason20242025!$B$3:$B$1315, "&lt;=" &amp; FR$1, DataRegularSeason20242025!$D$3:$D$1315, $A6)+SUMIFS(DataRegularSeason20242025!$AB$3:$AB$1315,DataRegularSeason20242025!$B$3:$B$1315, "&lt;=" &amp; FR$1, DataRegularSeason20242025!$E$3:$E$1315, $A6)</f>
        <v>46</v>
      </c>
      <c r="FS6">
        <f>SUMIFS(DataRegularSeason20242025!$AA$3:$AA$1315,DataRegularSeason20242025!$B$3:$B$1315, "&lt;=" &amp; FS$1, DataRegularSeason20242025!$D$3:$D$1315, $A6)+SUMIFS(DataRegularSeason20242025!$AB$3:$AB$1315,DataRegularSeason20242025!$B$3:$B$1315, "&lt;=" &amp; FS$1, DataRegularSeason20242025!$E$3:$E$1315, $A6)</f>
        <v>46</v>
      </c>
      <c r="FT6">
        <f>SUMIFS(DataRegularSeason20242025!$AA$3:$AA$1315,DataRegularSeason20242025!$B$3:$B$1315, "&lt;=" &amp; FT$1, DataRegularSeason20242025!$D$3:$D$1315, $A6)+SUMIFS(DataRegularSeason20242025!$AB$3:$AB$1315,DataRegularSeason20242025!$B$3:$B$1315, "&lt;=" &amp; FT$1, DataRegularSeason20242025!$E$3:$E$1315, $A6)</f>
        <v>46</v>
      </c>
      <c r="FU6">
        <f>SUMIFS(DataRegularSeason20242025!$AA$3:$AA$1315,DataRegularSeason20242025!$B$3:$B$1315, "&lt;=" &amp; FU$1, DataRegularSeason20242025!$D$3:$D$1315, $A6)+SUMIFS(DataRegularSeason20242025!$AB$3:$AB$1315,DataRegularSeason20242025!$B$3:$B$1315, "&lt;=" &amp; FU$1, DataRegularSeason20242025!$E$3:$E$1315, $A6)</f>
        <v>46</v>
      </c>
      <c r="FV6">
        <f>SUMIFS(DataRegularSeason20242025!$AA$3:$AA$1315,DataRegularSeason20242025!$B$3:$B$1315, "&lt;=" &amp; FV$1, DataRegularSeason20242025!$D$3:$D$1315, $A6)+SUMIFS(DataRegularSeason20242025!$AB$3:$AB$1315,DataRegularSeason20242025!$B$3:$B$1315, "&lt;=" &amp; FV$1, DataRegularSeason20242025!$E$3:$E$1315, $A6)</f>
        <v>46</v>
      </c>
      <c r="FW6">
        <f>SUMIFS(DataRegularSeason20242025!$AA$3:$AA$1315,DataRegularSeason20242025!$B$3:$B$1315, "&lt;=" &amp; FW$1, DataRegularSeason20242025!$D$3:$D$1315, $A6)+SUMIFS(DataRegularSeason20242025!$AB$3:$AB$1315,DataRegularSeason20242025!$B$3:$B$1315, "&lt;=" &amp; FW$1, DataRegularSeason20242025!$E$3:$E$1315, $A6)</f>
        <v>46</v>
      </c>
      <c r="FX6">
        <f>SUMIFS(DataRegularSeason20242025!$AA$3:$AA$1315,DataRegularSeason20242025!$B$3:$B$1315, "&lt;=" &amp; FX$1, DataRegularSeason20242025!$D$3:$D$1315, $A6)+SUMIFS(DataRegularSeason20242025!$AB$3:$AB$1315,DataRegularSeason20242025!$B$3:$B$1315, "&lt;=" &amp; FX$1, DataRegularSeason20242025!$E$3:$E$1315, $A6)</f>
        <v>46</v>
      </c>
      <c r="FY6">
        <f>SUMIFS(DataRegularSeason20242025!$AA$3:$AA$1315,DataRegularSeason20242025!$B$3:$B$1315, "&lt;=" &amp; FY$1, DataRegularSeason20242025!$D$3:$D$1315, $A6)+SUMIFS(DataRegularSeason20242025!$AB$3:$AB$1315,DataRegularSeason20242025!$B$3:$B$1315, "&lt;=" &amp; FY$1, DataRegularSeason20242025!$E$3:$E$1315, $A6)</f>
        <v>46</v>
      </c>
      <c r="FZ6">
        <f>SUMIFS(DataRegularSeason20242025!$AA$3:$AA$1315,DataRegularSeason20242025!$B$3:$B$1315, "&lt;=" &amp; FZ$1, DataRegularSeason20242025!$D$3:$D$1315, $A6)+SUMIFS(DataRegularSeason20242025!$AB$3:$AB$1315,DataRegularSeason20242025!$B$3:$B$1315, "&lt;=" &amp; FZ$1, DataRegularSeason20242025!$E$3:$E$1315, $A6)</f>
        <v>46</v>
      </c>
      <c r="GA6">
        <f>SUMIFS(DataRegularSeason20242025!$AA$3:$AA$1315,DataRegularSeason20242025!$B$3:$B$1315, "&lt;=" &amp; GA$1, DataRegularSeason20242025!$D$3:$D$1315, $A6)+SUMIFS(DataRegularSeason20242025!$AB$3:$AB$1315,DataRegularSeason20242025!$B$3:$B$1315, "&lt;=" &amp; GA$1, DataRegularSeason20242025!$E$3:$E$1315, $A6)</f>
        <v>46</v>
      </c>
      <c r="GB6">
        <f>SUMIFS(DataRegularSeason20242025!$AA$3:$AA$1315,DataRegularSeason20242025!$B$3:$B$1315, "&lt;=" &amp; GB$1, DataRegularSeason20242025!$D$3:$D$1315, $A6)+SUMIFS(DataRegularSeason20242025!$AB$3:$AB$1315,DataRegularSeason20242025!$B$3:$B$1315, "&lt;=" &amp; GB$1, DataRegularSeason20242025!$E$3:$E$1315, $A6)</f>
        <v>46</v>
      </c>
      <c r="GC6">
        <f>SUMIFS(DataRegularSeason20242025!$AA$3:$AA$1315,DataRegularSeason20242025!$B$3:$B$1315, "&lt;=" &amp; GC$1, DataRegularSeason20242025!$D$3:$D$1315, $A6)+SUMIFS(DataRegularSeason20242025!$AB$3:$AB$1315,DataRegularSeason20242025!$B$3:$B$1315, "&lt;=" &amp; GC$1, DataRegularSeason20242025!$E$3:$E$1315, $A6)</f>
        <v>46</v>
      </c>
      <c r="GD6">
        <f>SUMIFS(DataRegularSeason20242025!$AA$3:$AA$1315,DataRegularSeason20242025!$B$3:$B$1315, "&lt;=" &amp; GD$1, DataRegularSeason20242025!$D$3:$D$1315, $A6)+SUMIFS(DataRegularSeason20242025!$AB$3:$AB$1315,DataRegularSeason20242025!$B$3:$B$1315, "&lt;=" &amp; GD$1, DataRegularSeason20242025!$E$3:$E$1315, $A6)</f>
        <v>46</v>
      </c>
      <c r="GE6">
        <f>SUMIFS(DataRegularSeason20242025!$AA$3:$AA$1315,DataRegularSeason20242025!$B$3:$B$1315, "&lt;=" &amp; GE$1, DataRegularSeason20242025!$D$3:$D$1315, $A6)+SUMIFS(DataRegularSeason20242025!$AB$3:$AB$1315,DataRegularSeason20242025!$B$3:$B$1315, "&lt;=" &amp; GE$1, DataRegularSeason20242025!$E$3:$E$1315, $A6)</f>
        <v>46</v>
      </c>
      <c r="GF6">
        <f>SUMIFS(DataRegularSeason20242025!$AA$3:$AA$1315,DataRegularSeason20242025!$B$3:$B$1315, "&lt;=" &amp; GF$1, DataRegularSeason20242025!$D$3:$D$1315, $A6)+SUMIFS(DataRegularSeason20242025!$AB$3:$AB$1315,DataRegularSeason20242025!$B$3:$B$1315, "&lt;=" &amp; GF$1, DataRegularSeason20242025!$E$3:$E$1315, $A6)</f>
        <v>46</v>
      </c>
      <c r="GG6">
        <f>SUMIFS(DataRegularSeason20242025!$AA$3:$AA$1315,DataRegularSeason20242025!$B$3:$B$1315, "&lt;=" &amp; GG$1, DataRegularSeason20242025!$D$3:$D$1315, $A6)+SUMIFS(DataRegularSeason20242025!$AB$3:$AB$1315,DataRegularSeason20242025!$B$3:$B$1315, "&lt;=" &amp; GG$1, DataRegularSeason20242025!$E$3:$E$1315, $A6)</f>
        <v>46</v>
      </c>
      <c r="GH6">
        <f>SUMIFS(DataRegularSeason20242025!$AA$3:$AA$1315,DataRegularSeason20242025!$B$3:$B$1315, "&lt;=" &amp; GH$1, DataRegularSeason20242025!$D$3:$D$1315, $A6)+SUMIFS(DataRegularSeason20242025!$AB$3:$AB$1315,DataRegularSeason20242025!$B$3:$B$1315, "&lt;=" &amp; GH$1, DataRegularSeason20242025!$E$3:$E$1315, $A6)</f>
        <v>46</v>
      </c>
      <c r="GI6">
        <f>SUMIFS(DataRegularSeason20242025!$AA$3:$AA$1315,DataRegularSeason20242025!$B$3:$B$1315, "&lt;=" &amp; GI$1, DataRegularSeason20242025!$D$3:$D$1315, $A6)+SUMIFS(DataRegularSeason20242025!$AB$3:$AB$1315,DataRegularSeason20242025!$B$3:$B$1315, "&lt;=" &amp; GI$1, DataRegularSeason20242025!$E$3:$E$1315, $A6)</f>
        <v>46</v>
      </c>
      <c r="GJ6">
        <f>SUMIFS(DataRegularSeason20242025!$AA$3:$AA$1315,DataRegularSeason20242025!$B$3:$B$1315, "&lt;=" &amp; GJ$1, DataRegularSeason20242025!$D$3:$D$1315, $A6)+SUMIFS(DataRegularSeason20242025!$AB$3:$AB$1315,DataRegularSeason20242025!$B$3:$B$1315, "&lt;=" &amp; GJ$1, DataRegularSeason20242025!$E$3:$E$1315, $A6)</f>
        <v>46</v>
      </c>
      <c r="GK6">
        <f>SUMIFS(DataRegularSeason20242025!$AA$3:$AA$1315,DataRegularSeason20242025!$B$3:$B$1315, "&lt;=" &amp; GK$1, DataRegularSeason20242025!$D$3:$D$1315, $A6)+SUMIFS(DataRegularSeason20242025!$AB$3:$AB$1315,DataRegularSeason20242025!$B$3:$B$1315, "&lt;=" &amp; GK$1, DataRegularSeason20242025!$E$3:$E$1315, $A6)</f>
        <v>46</v>
      </c>
      <c r="GL6">
        <f>SUMIFS(DataRegularSeason20242025!$AA$3:$AA$1315,DataRegularSeason20242025!$B$3:$B$1315, "&lt;=" &amp; GL$1, DataRegularSeason20242025!$D$3:$D$1315, $A6)+SUMIFS(DataRegularSeason20242025!$AB$3:$AB$1315,DataRegularSeason20242025!$B$3:$B$1315, "&lt;=" &amp; GL$1, DataRegularSeason20242025!$E$3:$E$1315, $A6)</f>
        <v>46</v>
      </c>
      <c r="GM6">
        <f>SUMIFS(DataRegularSeason20242025!$AA$3:$AA$1315,DataRegularSeason20242025!$B$3:$B$1315, "&lt;=" &amp; GM$1, DataRegularSeason20242025!$D$3:$D$1315, $A6)+SUMIFS(DataRegularSeason20242025!$AB$3:$AB$1315,DataRegularSeason20242025!$B$3:$B$1315, "&lt;=" &amp; GM$1, DataRegularSeason20242025!$E$3:$E$1315, $A6)</f>
        <v>46</v>
      </c>
      <c r="GN6">
        <f>SUMIFS(DataRegularSeason20242025!$AA$3:$AA$1315,DataRegularSeason20242025!$B$3:$B$1315, "&lt;=" &amp; GN$1, DataRegularSeason20242025!$D$3:$D$1315, $A6)+SUMIFS(DataRegularSeason20242025!$AB$3:$AB$1315,DataRegularSeason20242025!$B$3:$B$1315, "&lt;=" &amp; GN$1, DataRegularSeason20242025!$E$3:$E$1315, $A6)</f>
        <v>46</v>
      </c>
      <c r="GO6">
        <f>SUMIFS(DataRegularSeason20242025!$AA$3:$AA$1315,DataRegularSeason20242025!$B$3:$B$1315, "&lt;=" &amp; GO$1, DataRegularSeason20242025!$D$3:$D$1315, $A6)+SUMIFS(DataRegularSeason20242025!$AB$3:$AB$1315,DataRegularSeason20242025!$B$3:$B$1315, "&lt;=" &amp; GO$1, DataRegularSeason20242025!$E$3:$E$1315, $A6)</f>
        <v>46</v>
      </c>
      <c r="GP6">
        <f>SUMIFS(DataRegularSeason20242025!$AA$3:$AA$1315,DataRegularSeason20242025!$B$3:$B$1315, "&lt;=" &amp; GP$1, DataRegularSeason20242025!$D$3:$D$1315, $A6)+SUMIFS(DataRegularSeason20242025!$AB$3:$AB$1315,DataRegularSeason20242025!$B$3:$B$1315, "&lt;=" &amp; GP$1, DataRegularSeason20242025!$E$3:$E$1315, $A6)</f>
        <v>46</v>
      </c>
      <c r="GQ6">
        <f>SUMIFS(DataRegularSeason20242025!$AA$3:$AA$1315,DataRegularSeason20242025!$B$3:$B$1315, "&lt;=" &amp; GQ$1, DataRegularSeason20242025!$D$3:$D$1315, $A6)+SUMIFS(DataRegularSeason20242025!$AB$3:$AB$1315,DataRegularSeason20242025!$B$3:$B$1315, "&lt;=" &amp; GQ$1, DataRegularSeason20242025!$E$3:$E$1315, $A6)</f>
        <v>46</v>
      </c>
      <c r="GR6">
        <f>SUMIFS(DataRegularSeason20242025!$AA$3:$AA$1315,DataRegularSeason20242025!$B$3:$B$1315, "&lt;=" &amp; GR$1, DataRegularSeason20242025!$D$3:$D$1315, $A6)+SUMIFS(DataRegularSeason20242025!$AB$3:$AB$1315,DataRegularSeason20242025!$B$3:$B$1315, "&lt;=" &amp; GR$1, DataRegularSeason20242025!$E$3:$E$1315, $A6)</f>
        <v>46</v>
      </c>
      <c r="GS6">
        <f>SUMIFS(DataRegularSeason20242025!$AA$3:$AA$1315,DataRegularSeason20242025!$B$3:$B$1315, "&lt;=" &amp; GS$1, DataRegularSeason20242025!$D$3:$D$1315, $A6)+SUMIFS(DataRegularSeason20242025!$AB$3:$AB$1315,DataRegularSeason20242025!$B$3:$B$1315, "&lt;=" &amp; GS$1, DataRegularSeason20242025!$E$3:$E$1315, $A6)</f>
        <v>46</v>
      </c>
      <c r="GT6">
        <f>SUMIFS(DataRegularSeason20242025!$AA$3:$AA$1315,DataRegularSeason20242025!$B$3:$B$1315, "&lt;=" &amp; GT$1, DataRegularSeason20242025!$D$3:$D$1315, $A6)+SUMIFS(DataRegularSeason20242025!$AB$3:$AB$1315,DataRegularSeason20242025!$B$3:$B$1315, "&lt;=" &amp; GT$1, DataRegularSeason20242025!$E$3:$E$1315, $A6)</f>
        <v>46</v>
      </c>
      <c r="GU6">
        <f>SUMIFS(DataRegularSeason20242025!$AA$3:$AA$1315,DataRegularSeason20242025!$B$3:$B$1315, "&lt;=" &amp; GU$1, DataRegularSeason20242025!$D$3:$D$1315, $A6)+SUMIFS(DataRegularSeason20242025!$AB$3:$AB$1315,DataRegularSeason20242025!$B$3:$B$1315, "&lt;=" &amp; GU$1, DataRegularSeason20242025!$E$3:$E$1315, $A6)</f>
        <v>46</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46</v>
      </c>
      <c r="DF7">
        <f>SUMIFS(DataRegularSeason20242025!$AA$3:$AA$1315,DataRegularSeason20242025!$B$3:$B$1315, "&lt;=" &amp; DF$1, DataRegularSeason20242025!$D$3:$D$1315, $A7)+SUMIFS(DataRegularSeason20242025!$AB$3:$AB$1315,DataRegularSeason20242025!$B$3:$B$1315, "&lt;=" &amp; DF$1, DataRegularSeason20242025!$E$3:$E$1315, $A7)</f>
        <v>46</v>
      </c>
      <c r="DG7">
        <f>SUMIFS(DataRegularSeason20242025!$AA$3:$AA$1315,DataRegularSeason20242025!$B$3:$B$1315, "&lt;=" &amp; DG$1, DataRegularSeason20242025!$D$3:$D$1315, $A7)+SUMIFS(DataRegularSeason20242025!$AB$3:$AB$1315,DataRegularSeason20242025!$B$3:$B$1315, "&lt;=" &amp; DG$1, DataRegularSeason20242025!$E$3:$E$1315, $A7)</f>
        <v>46</v>
      </c>
      <c r="DH7">
        <f>SUMIFS(DataRegularSeason20242025!$AA$3:$AA$1315,DataRegularSeason20242025!$B$3:$B$1315, "&lt;=" &amp; DH$1, DataRegularSeason20242025!$D$3:$D$1315, $A7)+SUMIFS(DataRegularSeason20242025!$AB$3:$AB$1315,DataRegularSeason20242025!$B$3:$B$1315, "&lt;=" &amp; DH$1, DataRegularSeason20242025!$E$3:$E$1315, $A7)</f>
        <v>46</v>
      </c>
      <c r="DI7">
        <f>SUMIFS(DataRegularSeason20242025!$AA$3:$AA$1315,DataRegularSeason20242025!$B$3:$B$1315, "&lt;=" &amp; DI$1, DataRegularSeason20242025!$D$3:$D$1315, $A7)+SUMIFS(DataRegularSeason20242025!$AB$3:$AB$1315,DataRegularSeason20242025!$B$3:$B$1315, "&lt;=" &amp; DI$1, DataRegularSeason20242025!$E$3:$E$1315, $A7)</f>
        <v>46</v>
      </c>
      <c r="DJ7">
        <f>SUMIFS(DataRegularSeason20242025!$AA$3:$AA$1315,DataRegularSeason20242025!$B$3:$B$1315, "&lt;=" &amp; DJ$1, DataRegularSeason20242025!$D$3:$D$1315, $A7)+SUMIFS(DataRegularSeason20242025!$AB$3:$AB$1315,DataRegularSeason20242025!$B$3:$B$1315, "&lt;=" &amp; DJ$1, DataRegularSeason20242025!$E$3:$E$1315, $A7)</f>
        <v>46</v>
      </c>
      <c r="DK7">
        <f>SUMIFS(DataRegularSeason20242025!$AA$3:$AA$1315,DataRegularSeason20242025!$B$3:$B$1315, "&lt;=" &amp; DK$1, DataRegularSeason20242025!$D$3:$D$1315, $A7)+SUMIFS(DataRegularSeason20242025!$AB$3:$AB$1315,DataRegularSeason20242025!$B$3:$B$1315, "&lt;=" &amp; DK$1, DataRegularSeason20242025!$E$3:$E$1315, $A7)</f>
        <v>46</v>
      </c>
      <c r="DL7">
        <f>SUMIFS(DataRegularSeason20242025!$AA$3:$AA$1315,DataRegularSeason20242025!$B$3:$B$1315, "&lt;=" &amp; DL$1, DataRegularSeason20242025!$D$3:$D$1315, $A7)+SUMIFS(DataRegularSeason20242025!$AB$3:$AB$1315,DataRegularSeason20242025!$B$3:$B$1315, "&lt;=" &amp; DL$1, DataRegularSeason20242025!$E$3:$E$1315, $A7)</f>
        <v>46</v>
      </c>
      <c r="DM7">
        <f>SUMIFS(DataRegularSeason20242025!$AA$3:$AA$1315,DataRegularSeason20242025!$B$3:$B$1315, "&lt;=" &amp; DM$1, DataRegularSeason20242025!$D$3:$D$1315, $A7)+SUMIFS(DataRegularSeason20242025!$AB$3:$AB$1315,DataRegularSeason20242025!$B$3:$B$1315, "&lt;=" &amp; DM$1, DataRegularSeason20242025!$E$3:$E$1315, $A7)</f>
        <v>46</v>
      </c>
      <c r="DN7">
        <f>SUMIFS(DataRegularSeason20242025!$AA$3:$AA$1315,DataRegularSeason20242025!$B$3:$B$1315, "&lt;=" &amp; DN$1, DataRegularSeason20242025!$D$3:$D$1315, $A7)+SUMIFS(DataRegularSeason20242025!$AB$3:$AB$1315,DataRegularSeason20242025!$B$3:$B$1315, "&lt;=" &amp; DN$1, DataRegularSeason20242025!$E$3:$E$1315, $A7)</f>
        <v>46</v>
      </c>
      <c r="DO7">
        <f>SUMIFS(DataRegularSeason20242025!$AA$3:$AA$1315,DataRegularSeason20242025!$B$3:$B$1315, "&lt;=" &amp; DO$1, DataRegularSeason20242025!$D$3:$D$1315, $A7)+SUMIFS(DataRegularSeason20242025!$AB$3:$AB$1315,DataRegularSeason20242025!$B$3:$B$1315, "&lt;=" &amp; DO$1, DataRegularSeason20242025!$E$3:$E$1315, $A7)</f>
        <v>46</v>
      </c>
      <c r="DP7">
        <f>SUMIFS(DataRegularSeason20242025!$AA$3:$AA$1315,DataRegularSeason20242025!$B$3:$B$1315, "&lt;=" &amp; DP$1, DataRegularSeason20242025!$D$3:$D$1315, $A7)+SUMIFS(DataRegularSeason20242025!$AB$3:$AB$1315,DataRegularSeason20242025!$B$3:$B$1315, "&lt;=" &amp; DP$1, DataRegularSeason20242025!$E$3:$E$1315, $A7)</f>
        <v>46</v>
      </c>
      <c r="DQ7">
        <f>SUMIFS(DataRegularSeason20242025!$AA$3:$AA$1315,DataRegularSeason20242025!$B$3:$B$1315, "&lt;=" &amp; DQ$1, DataRegularSeason20242025!$D$3:$D$1315, $A7)+SUMIFS(DataRegularSeason20242025!$AB$3:$AB$1315,DataRegularSeason20242025!$B$3:$B$1315, "&lt;=" &amp; DQ$1, DataRegularSeason20242025!$E$3:$E$1315, $A7)</f>
        <v>46</v>
      </c>
      <c r="DR7">
        <f>SUMIFS(DataRegularSeason20242025!$AA$3:$AA$1315,DataRegularSeason20242025!$B$3:$B$1315, "&lt;=" &amp; DR$1, DataRegularSeason20242025!$D$3:$D$1315, $A7)+SUMIFS(DataRegularSeason20242025!$AB$3:$AB$1315,DataRegularSeason20242025!$B$3:$B$1315, "&lt;=" &amp; DR$1, DataRegularSeason20242025!$E$3:$E$1315, $A7)</f>
        <v>46</v>
      </c>
      <c r="DS7">
        <f>SUMIFS(DataRegularSeason20242025!$AA$3:$AA$1315,DataRegularSeason20242025!$B$3:$B$1315, "&lt;=" &amp; DS$1, DataRegularSeason20242025!$D$3:$D$1315, $A7)+SUMIFS(DataRegularSeason20242025!$AB$3:$AB$1315,DataRegularSeason20242025!$B$3:$B$1315, "&lt;=" &amp; DS$1, DataRegularSeason20242025!$E$3:$E$1315, $A7)</f>
        <v>46</v>
      </c>
      <c r="DT7">
        <f>SUMIFS(DataRegularSeason20242025!$AA$3:$AA$1315,DataRegularSeason20242025!$B$3:$B$1315, "&lt;=" &amp; DT$1, DataRegularSeason20242025!$D$3:$D$1315, $A7)+SUMIFS(DataRegularSeason20242025!$AB$3:$AB$1315,DataRegularSeason20242025!$B$3:$B$1315, "&lt;=" &amp; DT$1, DataRegularSeason20242025!$E$3:$E$1315, $A7)</f>
        <v>46</v>
      </c>
      <c r="DU7">
        <f>SUMIFS(DataRegularSeason20242025!$AA$3:$AA$1315,DataRegularSeason20242025!$B$3:$B$1315, "&lt;=" &amp; DU$1, DataRegularSeason20242025!$D$3:$D$1315, $A7)+SUMIFS(DataRegularSeason20242025!$AB$3:$AB$1315,DataRegularSeason20242025!$B$3:$B$1315, "&lt;=" &amp; DU$1, DataRegularSeason20242025!$E$3:$E$1315, $A7)</f>
        <v>46</v>
      </c>
      <c r="DV7">
        <f>SUMIFS(DataRegularSeason20242025!$AA$3:$AA$1315,DataRegularSeason20242025!$B$3:$B$1315, "&lt;=" &amp; DV$1, DataRegularSeason20242025!$D$3:$D$1315, $A7)+SUMIFS(DataRegularSeason20242025!$AB$3:$AB$1315,DataRegularSeason20242025!$B$3:$B$1315, "&lt;=" &amp; DV$1, DataRegularSeason20242025!$E$3:$E$1315, $A7)</f>
        <v>46</v>
      </c>
      <c r="DW7">
        <f>SUMIFS(DataRegularSeason20242025!$AA$3:$AA$1315,DataRegularSeason20242025!$B$3:$B$1315, "&lt;=" &amp; DW$1, DataRegularSeason20242025!$D$3:$D$1315, $A7)+SUMIFS(DataRegularSeason20242025!$AB$3:$AB$1315,DataRegularSeason20242025!$B$3:$B$1315, "&lt;=" &amp; DW$1, DataRegularSeason20242025!$E$3:$E$1315, $A7)</f>
        <v>46</v>
      </c>
      <c r="DX7">
        <f>SUMIFS(DataRegularSeason20242025!$AA$3:$AA$1315,DataRegularSeason20242025!$B$3:$B$1315, "&lt;=" &amp; DX$1, DataRegularSeason20242025!$D$3:$D$1315, $A7)+SUMIFS(DataRegularSeason20242025!$AB$3:$AB$1315,DataRegularSeason20242025!$B$3:$B$1315, "&lt;=" &amp; DX$1, DataRegularSeason20242025!$E$3:$E$1315, $A7)</f>
        <v>46</v>
      </c>
      <c r="DY7">
        <f>SUMIFS(DataRegularSeason20242025!$AA$3:$AA$1315,DataRegularSeason20242025!$B$3:$B$1315, "&lt;=" &amp; DY$1, DataRegularSeason20242025!$D$3:$D$1315, $A7)+SUMIFS(DataRegularSeason20242025!$AB$3:$AB$1315,DataRegularSeason20242025!$B$3:$B$1315, "&lt;=" &amp; DY$1, DataRegularSeason20242025!$E$3:$E$1315, $A7)</f>
        <v>46</v>
      </c>
      <c r="DZ7">
        <f>SUMIFS(DataRegularSeason20242025!$AA$3:$AA$1315,DataRegularSeason20242025!$B$3:$B$1315, "&lt;=" &amp; DZ$1, DataRegularSeason20242025!$D$3:$D$1315, $A7)+SUMIFS(DataRegularSeason20242025!$AB$3:$AB$1315,DataRegularSeason20242025!$B$3:$B$1315, "&lt;=" &amp; DZ$1, DataRegularSeason20242025!$E$3:$E$1315, $A7)</f>
        <v>46</v>
      </c>
      <c r="EA7">
        <f>SUMIFS(DataRegularSeason20242025!$AA$3:$AA$1315,DataRegularSeason20242025!$B$3:$B$1315, "&lt;=" &amp; EA$1, DataRegularSeason20242025!$D$3:$D$1315, $A7)+SUMIFS(DataRegularSeason20242025!$AB$3:$AB$1315,DataRegularSeason20242025!$B$3:$B$1315, "&lt;=" &amp; EA$1, DataRegularSeason20242025!$E$3:$E$1315, $A7)</f>
        <v>46</v>
      </c>
      <c r="EB7">
        <f>SUMIFS(DataRegularSeason20242025!$AA$3:$AA$1315,DataRegularSeason20242025!$B$3:$B$1315, "&lt;=" &amp; EB$1, DataRegularSeason20242025!$D$3:$D$1315, $A7)+SUMIFS(DataRegularSeason20242025!$AB$3:$AB$1315,DataRegularSeason20242025!$B$3:$B$1315, "&lt;=" &amp; EB$1, DataRegularSeason20242025!$E$3:$E$1315, $A7)</f>
        <v>46</v>
      </c>
      <c r="EC7">
        <f>SUMIFS(DataRegularSeason20242025!$AA$3:$AA$1315,DataRegularSeason20242025!$B$3:$B$1315, "&lt;=" &amp; EC$1, DataRegularSeason20242025!$D$3:$D$1315, $A7)+SUMIFS(DataRegularSeason20242025!$AB$3:$AB$1315,DataRegularSeason20242025!$B$3:$B$1315, "&lt;=" &amp; EC$1, DataRegularSeason20242025!$E$3:$E$1315, $A7)</f>
        <v>46</v>
      </c>
      <c r="ED7">
        <f>SUMIFS(DataRegularSeason20242025!$AA$3:$AA$1315,DataRegularSeason20242025!$B$3:$B$1315, "&lt;=" &amp; ED$1, DataRegularSeason20242025!$D$3:$D$1315, $A7)+SUMIFS(DataRegularSeason20242025!$AB$3:$AB$1315,DataRegularSeason20242025!$B$3:$B$1315, "&lt;=" &amp; ED$1, DataRegularSeason20242025!$E$3:$E$1315, $A7)</f>
        <v>46</v>
      </c>
      <c r="EE7">
        <f>SUMIFS(DataRegularSeason20242025!$AA$3:$AA$1315,DataRegularSeason20242025!$B$3:$B$1315, "&lt;=" &amp; EE$1, DataRegularSeason20242025!$D$3:$D$1315, $A7)+SUMIFS(DataRegularSeason20242025!$AB$3:$AB$1315,DataRegularSeason20242025!$B$3:$B$1315, "&lt;=" &amp; EE$1, DataRegularSeason20242025!$E$3:$E$1315, $A7)</f>
        <v>46</v>
      </c>
      <c r="EF7">
        <f>SUMIFS(DataRegularSeason20242025!$AA$3:$AA$1315,DataRegularSeason20242025!$B$3:$B$1315, "&lt;=" &amp; EF$1, DataRegularSeason20242025!$D$3:$D$1315, $A7)+SUMIFS(DataRegularSeason20242025!$AB$3:$AB$1315,DataRegularSeason20242025!$B$3:$B$1315, "&lt;=" &amp; EF$1, DataRegularSeason20242025!$E$3:$E$1315, $A7)</f>
        <v>46</v>
      </c>
      <c r="EG7">
        <f>SUMIFS(DataRegularSeason20242025!$AA$3:$AA$1315,DataRegularSeason20242025!$B$3:$B$1315, "&lt;=" &amp; EG$1, DataRegularSeason20242025!$D$3:$D$1315, $A7)+SUMIFS(DataRegularSeason20242025!$AB$3:$AB$1315,DataRegularSeason20242025!$B$3:$B$1315, "&lt;=" &amp; EG$1, DataRegularSeason20242025!$E$3:$E$1315, $A7)</f>
        <v>46</v>
      </c>
      <c r="EH7">
        <f>SUMIFS(DataRegularSeason20242025!$AA$3:$AA$1315,DataRegularSeason20242025!$B$3:$B$1315, "&lt;=" &amp; EH$1, DataRegularSeason20242025!$D$3:$D$1315, $A7)+SUMIFS(DataRegularSeason20242025!$AB$3:$AB$1315,DataRegularSeason20242025!$B$3:$B$1315, "&lt;=" &amp; EH$1, DataRegularSeason20242025!$E$3:$E$1315, $A7)</f>
        <v>46</v>
      </c>
      <c r="EI7">
        <f>SUMIFS(DataRegularSeason20242025!$AA$3:$AA$1315,DataRegularSeason20242025!$B$3:$B$1315, "&lt;=" &amp; EI$1, DataRegularSeason20242025!$D$3:$D$1315, $A7)+SUMIFS(DataRegularSeason20242025!$AB$3:$AB$1315,DataRegularSeason20242025!$B$3:$B$1315, "&lt;=" &amp; EI$1, DataRegularSeason20242025!$E$3:$E$1315, $A7)</f>
        <v>46</v>
      </c>
      <c r="EJ7">
        <f>SUMIFS(DataRegularSeason20242025!$AA$3:$AA$1315,DataRegularSeason20242025!$B$3:$B$1315, "&lt;=" &amp; EJ$1, DataRegularSeason20242025!$D$3:$D$1315, $A7)+SUMIFS(DataRegularSeason20242025!$AB$3:$AB$1315,DataRegularSeason20242025!$B$3:$B$1315, "&lt;=" &amp; EJ$1, DataRegularSeason20242025!$E$3:$E$1315, $A7)</f>
        <v>46</v>
      </c>
      <c r="EK7">
        <f>SUMIFS(DataRegularSeason20242025!$AA$3:$AA$1315,DataRegularSeason20242025!$B$3:$B$1315, "&lt;=" &amp; EK$1, DataRegularSeason20242025!$D$3:$D$1315, $A7)+SUMIFS(DataRegularSeason20242025!$AB$3:$AB$1315,DataRegularSeason20242025!$B$3:$B$1315, "&lt;=" &amp; EK$1, DataRegularSeason20242025!$E$3:$E$1315, $A7)</f>
        <v>46</v>
      </c>
      <c r="EL7">
        <f>SUMIFS(DataRegularSeason20242025!$AA$3:$AA$1315,DataRegularSeason20242025!$B$3:$B$1315, "&lt;=" &amp; EL$1, DataRegularSeason20242025!$D$3:$D$1315, $A7)+SUMIFS(DataRegularSeason20242025!$AB$3:$AB$1315,DataRegularSeason20242025!$B$3:$B$1315, "&lt;=" &amp; EL$1, DataRegularSeason20242025!$E$3:$E$1315, $A7)</f>
        <v>46</v>
      </c>
      <c r="EM7">
        <f>SUMIFS(DataRegularSeason20242025!$AA$3:$AA$1315,DataRegularSeason20242025!$B$3:$B$1315, "&lt;=" &amp; EM$1, DataRegularSeason20242025!$D$3:$D$1315, $A7)+SUMIFS(DataRegularSeason20242025!$AB$3:$AB$1315,DataRegularSeason20242025!$B$3:$B$1315, "&lt;=" &amp; EM$1, DataRegularSeason20242025!$E$3:$E$1315, $A7)</f>
        <v>46</v>
      </c>
      <c r="EN7">
        <f>SUMIFS(DataRegularSeason20242025!$AA$3:$AA$1315,DataRegularSeason20242025!$B$3:$B$1315, "&lt;=" &amp; EN$1, DataRegularSeason20242025!$D$3:$D$1315, $A7)+SUMIFS(DataRegularSeason20242025!$AB$3:$AB$1315,DataRegularSeason20242025!$B$3:$B$1315, "&lt;=" &amp; EN$1, DataRegularSeason20242025!$E$3:$E$1315, $A7)</f>
        <v>46</v>
      </c>
      <c r="EO7">
        <f>SUMIFS(DataRegularSeason20242025!$AA$3:$AA$1315,DataRegularSeason20242025!$B$3:$B$1315, "&lt;=" &amp; EO$1, DataRegularSeason20242025!$D$3:$D$1315, $A7)+SUMIFS(DataRegularSeason20242025!$AB$3:$AB$1315,DataRegularSeason20242025!$B$3:$B$1315, "&lt;=" &amp; EO$1, DataRegularSeason20242025!$E$3:$E$1315, $A7)</f>
        <v>46</v>
      </c>
      <c r="EP7">
        <f>SUMIFS(DataRegularSeason20242025!$AA$3:$AA$1315,DataRegularSeason20242025!$B$3:$B$1315, "&lt;=" &amp; EP$1, DataRegularSeason20242025!$D$3:$D$1315, $A7)+SUMIFS(DataRegularSeason20242025!$AB$3:$AB$1315,DataRegularSeason20242025!$B$3:$B$1315, "&lt;=" &amp; EP$1, DataRegularSeason20242025!$E$3:$E$1315, $A7)</f>
        <v>46</v>
      </c>
      <c r="EQ7">
        <f>SUMIFS(DataRegularSeason20242025!$AA$3:$AA$1315,DataRegularSeason20242025!$B$3:$B$1315, "&lt;=" &amp; EQ$1, DataRegularSeason20242025!$D$3:$D$1315, $A7)+SUMIFS(DataRegularSeason20242025!$AB$3:$AB$1315,DataRegularSeason20242025!$B$3:$B$1315, "&lt;=" &amp; EQ$1, DataRegularSeason20242025!$E$3:$E$1315, $A7)</f>
        <v>46</v>
      </c>
      <c r="ER7">
        <f>SUMIFS(DataRegularSeason20242025!$AA$3:$AA$1315,DataRegularSeason20242025!$B$3:$B$1315, "&lt;=" &amp; ER$1, DataRegularSeason20242025!$D$3:$D$1315, $A7)+SUMIFS(DataRegularSeason20242025!$AB$3:$AB$1315,DataRegularSeason20242025!$B$3:$B$1315, "&lt;=" &amp; ER$1, DataRegularSeason20242025!$E$3:$E$1315, $A7)</f>
        <v>46</v>
      </c>
      <c r="ES7">
        <f>SUMIFS(DataRegularSeason20242025!$AA$3:$AA$1315,DataRegularSeason20242025!$B$3:$B$1315, "&lt;=" &amp; ES$1, DataRegularSeason20242025!$D$3:$D$1315, $A7)+SUMIFS(DataRegularSeason20242025!$AB$3:$AB$1315,DataRegularSeason20242025!$B$3:$B$1315, "&lt;=" &amp; ES$1, DataRegularSeason20242025!$E$3:$E$1315, $A7)</f>
        <v>46</v>
      </c>
      <c r="ET7">
        <f>SUMIFS(DataRegularSeason20242025!$AA$3:$AA$1315,DataRegularSeason20242025!$B$3:$B$1315, "&lt;=" &amp; ET$1, DataRegularSeason20242025!$D$3:$D$1315, $A7)+SUMIFS(DataRegularSeason20242025!$AB$3:$AB$1315,DataRegularSeason20242025!$B$3:$B$1315, "&lt;=" &amp; ET$1, DataRegularSeason20242025!$E$3:$E$1315, $A7)</f>
        <v>46</v>
      </c>
      <c r="EU7">
        <f>SUMIFS(DataRegularSeason20242025!$AA$3:$AA$1315,DataRegularSeason20242025!$B$3:$B$1315, "&lt;=" &amp; EU$1, DataRegularSeason20242025!$D$3:$D$1315, $A7)+SUMIFS(DataRegularSeason20242025!$AB$3:$AB$1315,DataRegularSeason20242025!$B$3:$B$1315, "&lt;=" &amp; EU$1, DataRegularSeason20242025!$E$3:$E$1315, $A7)</f>
        <v>46</v>
      </c>
      <c r="EV7">
        <f>SUMIFS(DataRegularSeason20242025!$AA$3:$AA$1315,DataRegularSeason20242025!$B$3:$B$1315, "&lt;=" &amp; EV$1, DataRegularSeason20242025!$D$3:$D$1315, $A7)+SUMIFS(DataRegularSeason20242025!$AB$3:$AB$1315,DataRegularSeason20242025!$B$3:$B$1315, "&lt;=" &amp; EV$1, DataRegularSeason20242025!$E$3:$E$1315, $A7)</f>
        <v>46</v>
      </c>
      <c r="EW7">
        <f>SUMIFS(DataRegularSeason20242025!$AA$3:$AA$1315,DataRegularSeason20242025!$B$3:$B$1315, "&lt;=" &amp; EW$1, DataRegularSeason20242025!$D$3:$D$1315, $A7)+SUMIFS(DataRegularSeason20242025!$AB$3:$AB$1315,DataRegularSeason20242025!$B$3:$B$1315, "&lt;=" &amp; EW$1, DataRegularSeason20242025!$E$3:$E$1315, $A7)</f>
        <v>46</v>
      </c>
      <c r="EX7">
        <f>SUMIFS(DataRegularSeason20242025!$AA$3:$AA$1315,DataRegularSeason20242025!$B$3:$B$1315, "&lt;=" &amp; EX$1, DataRegularSeason20242025!$D$3:$D$1315, $A7)+SUMIFS(DataRegularSeason20242025!$AB$3:$AB$1315,DataRegularSeason20242025!$B$3:$B$1315, "&lt;=" &amp; EX$1, DataRegularSeason20242025!$E$3:$E$1315, $A7)</f>
        <v>46</v>
      </c>
      <c r="EY7">
        <f>SUMIFS(DataRegularSeason20242025!$AA$3:$AA$1315,DataRegularSeason20242025!$B$3:$B$1315, "&lt;=" &amp; EY$1, DataRegularSeason20242025!$D$3:$D$1315, $A7)+SUMIFS(DataRegularSeason20242025!$AB$3:$AB$1315,DataRegularSeason20242025!$B$3:$B$1315, "&lt;=" &amp; EY$1, DataRegularSeason20242025!$E$3:$E$1315, $A7)</f>
        <v>46</v>
      </c>
      <c r="EZ7">
        <f>SUMIFS(DataRegularSeason20242025!$AA$3:$AA$1315,DataRegularSeason20242025!$B$3:$B$1315, "&lt;=" &amp; EZ$1, DataRegularSeason20242025!$D$3:$D$1315, $A7)+SUMIFS(DataRegularSeason20242025!$AB$3:$AB$1315,DataRegularSeason20242025!$B$3:$B$1315, "&lt;=" &amp; EZ$1, DataRegularSeason20242025!$E$3:$E$1315, $A7)</f>
        <v>46</v>
      </c>
      <c r="FA7">
        <f>SUMIFS(DataRegularSeason20242025!$AA$3:$AA$1315,DataRegularSeason20242025!$B$3:$B$1315, "&lt;=" &amp; FA$1, DataRegularSeason20242025!$D$3:$D$1315, $A7)+SUMIFS(DataRegularSeason20242025!$AB$3:$AB$1315,DataRegularSeason20242025!$B$3:$B$1315, "&lt;=" &amp; FA$1, DataRegularSeason20242025!$E$3:$E$1315, $A7)</f>
        <v>46</v>
      </c>
      <c r="FB7">
        <f>SUMIFS(DataRegularSeason20242025!$AA$3:$AA$1315,DataRegularSeason20242025!$B$3:$B$1315, "&lt;=" &amp; FB$1, DataRegularSeason20242025!$D$3:$D$1315, $A7)+SUMIFS(DataRegularSeason20242025!$AB$3:$AB$1315,DataRegularSeason20242025!$B$3:$B$1315, "&lt;=" &amp; FB$1, DataRegularSeason20242025!$E$3:$E$1315, $A7)</f>
        <v>46</v>
      </c>
      <c r="FC7">
        <f>SUMIFS(DataRegularSeason20242025!$AA$3:$AA$1315,DataRegularSeason20242025!$B$3:$B$1315, "&lt;=" &amp; FC$1, DataRegularSeason20242025!$D$3:$D$1315, $A7)+SUMIFS(DataRegularSeason20242025!$AB$3:$AB$1315,DataRegularSeason20242025!$B$3:$B$1315, "&lt;=" &amp; FC$1, DataRegularSeason20242025!$E$3:$E$1315, $A7)</f>
        <v>46</v>
      </c>
      <c r="FD7">
        <f>SUMIFS(DataRegularSeason20242025!$AA$3:$AA$1315,DataRegularSeason20242025!$B$3:$B$1315, "&lt;=" &amp; FD$1, DataRegularSeason20242025!$D$3:$D$1315, $A7)+SUMIFS(DataRegularSeason20242025!$AB$3:$AB$1315,DataRegularSeason20242025!$B$3:$B$1315, "&lt;=" &amp; FD$1, DataRegularSeason20242025!$E$3:$E$1315, $A7)</f>
        <v>46</v>
      </c>
      <c r="FE7">
        <f>SUMIFS(DataRegularSeason20242025!$AA$3:$AA$1315,DataRegularSeason20242025!$B$3:$B$1315, "&lt;=" &amp; FE$1, DataRegularSeason20242025!$D$3:$D$1315, $A7)+SUMIFS(DataRegularSeason20242025!$AB$3:$AB$1315,DataRegularSeason20242025!$B$3:$B$1315, "&lt;=" &amp; FE$1, DataRegularSeason20242025!$E$3:$E$1315, $A7)</f>
        <v>46</v>
      </c>
      <c r="FF7">
        <f>SUMIFS(DataRegularSeason20242025!$AA$3:$AA$1315,DataRegularSeason20242025!$B$3:$B$1315, "&lt;=" &amp; FF$1, DataRegularSeason20242025!$D$3:$D$1315, $A7)+SUMIFS(DataRegularSeason20242025!$AB$3:$AB$1315,DataRegularSeason20242025!$B$3:$B$1315, "&lt;=" &amp; FF$1, DataRegularSeason20242025!$E$3:$E$1315, $A7)</f>
        <v>46</v>
      </c>
      <c r="FG7">
        <f>SUMIFS(DataRegularSeason20242025!$AA$3:$AA$1315,DataRegularSeason20242025!$B$3:$B$1315, "&lt;=" &amp; FG$1, DataRegularSeason20242025!$D$3:$D$1315, $A7)+SUMIFS(DataRegularSeason20242025!$AB$3:$AB$1315,DataRegularSeason20242025!$B$3:$B$1315, "&lt;=" &amp; FG$1, DataRegularSeason20242025!$E$3:$E$1315, $A7)</f>
        <v>46</v>
      </c>
      <c r="FH7">
        <f>SUMIFS(DataRegularSeason20242025!$AA$3:$AA$1315,DataRegularSeason20242025!$B$3:$B$1315, "&lt;=" &amp; FH$1, DataRegularSeason20242025!$D$3:$D$1315, $A7)+SUMIFS(DataRegularSeason20242025!$AB$3:$AB$1315,DataRegularSeason20242025!$B$3:$B$1315, "&lt;=" &amp; FH$1, DataRegularSeason20242025!$E$3:$E$1315, $A7)</f>
        <v>46</v>
      </c>
      <c r="FI7">
        <f>SUMIFS(DataRegularSeason20242025!$AA$3:$AA$1315,DataRegularSeason20242025!$B$3:$B$1315, "&lt;=" &amp; FI$1, DataRegularSeason20242025!$D$3:$D$1315, $A7)+SUMIFS(DataRegularSeason20242025!$AB$3:$AB$1315,DataRegularSeason20242025!$B$3:$B$1315, "&lt;=" &amp; FI$1, DataRegularSeason20242025!$E$3:$E$1315, $A7)</f>
        <v>46</v>
      </c>
      <c r="FJ7">
        <f>SUMIFS(DataRegularSeason20242025!$AA$3:$AA$1315,DataRegularSeason20242025!$B$3:$B$1315, "&lt;=" &amp; FJ$1, DataRegularSeason20242025!$D$3:$D$1315, $A7)+SUMIFS(DataRegularSeason20242025!$AB$3:$AB$1315,DataRegularSeason20242025!$B$3:$B$1315, "&lt;=" &amp; FJ$1, DataRegularSeason20242025!$E$3:$E$1315, $A7)</f>
        <v>46</v>
      </c>
      <c r="FK7">
        <f>SUMIFS(DataRegularSeason20242025!$AA$3:$AA$1315,DataRegularSeason20242025!$B$3:$B$1315, "&lt;=" &amp; FK$1, DataRegularSeason20242025!$D$3:$D$1315, $A7)+SUMIFS(DataRegularSeason20242025!$AB$3:$AB$1315,DataRegularSeason20242025!$B$3:$B$1315, "&lt;=" &amp; FK$1, DataRegularSeason20242025!$E$3:$E$1315, $A7)</f>
        <v>46</v>
      </c>
      <c r="FL7">
        <f>SUMIFS(DataRegularSeason20242025!$AA$3:$AA$1315,DataRegularSeason20242025!$B$3:$B$1315, "&lt;=" &amp; FL$1, DataRegularSeason20242025!$D$3:$D$1315, $A7)+SUMIFS(DataRegularSeason20242025!$AB$3:$AB$1315,DataRegularSeason20242025!$B$3:$B$1315, "&lt;=" &amp; FL$1, DataRegularSeason20242025!$E$3:$E$1315, $A7)</f>
        <v>46</v>
      </c>
      <c r="FM7">
        <f>SUMIFS(DataRegularSeason20242025!$AA$3:$AA$1315,DataRegularSeason20242025!$B$3:$B$1315, "&lt;=" &amp; FM$1, DataRegularSeason20242025!$D$3:$D$1315, $A7)+SUMIFS(DataRegularSeason20242025!$AB$3:$AB$1315,DataRegularSeason20242025!$B$3:$B$1315, "&lt;=" &amp; FM$1, DataRegularSeason20242025!$E$3:$E$1315, $A7)</f>
        <v>46</v>
      </c>
      <c r="FN7">
        <f>SUMIFS(DataRegularSeason20242025!$AA$3:$AA$1315,DataRegularSeason20242025!$B$3:$B$1315, "&lt;=" &amp; FN$1, DataRegularSeason20242025!$D$3:$D$1315, $A7)+SUMIFS(DataRegularSeason20242025!$AB$3:$AB$1315,DataRegularSeason20242025!$B$3:$B$1315, "&lt;=" &amp; FN$1, DataRegularSeason20242025!$E$3:$E$1315, $A7)</f>
        <v>46</v>
      </c>
      <c r="FO7">
        <f>SUMIFS(DataRegularSeason20242025!$AA$3:$AA$1315,DataRegularSeason20242025!$B$3:$B$1315, "&lt;=" &amp; FO$1, DataRegularSeason20242025!$D$3:$D$1315, $A7)+SUMIFS(DataRegularSeason20242025!$AB$3:$AB$1315,DataRegularSeason20242025!$B$3:$B$1315, "&lt;=" &amp; FO$1, DataRegularSeason20242025!$E$3:$E$1315, $A7)</f>
        <v>46</v>
      </c>
      <c r="FP7">
        <f>SUMIFS(DataRegularSeason20242025!$AA$3:$AA$1315,DataRegularSeason20242025!$B$3:$B$1315, "&lt;=" &amp; FP$1, DataRegularSeason20242025!$D$3:$D$1315, $A7)+SUMIFS(DataRegularSeason20242025!$AB$3:$AB$1315,DataRegularSeason20242025!$B$3:$B$1315, "&lt;=" &amp; FP$1, DataRegularSeason20242025!$E$3:$E$1315, $A7)</f>
        <v>46</v>
      </c>
      <c r="FQ7">
        <f>SUMIFS(DataRegularSeason20242025!$AA$3:$AA$1315,DataRegularSeason20242025!$B$3:$B$1315, "&lt;=" &amp; FQ$1, DataRegularSeason20242025!$D$3:$D$1315, $A7)+SUMIFS(DataRegularSeason20242025!$AB$3:$AB$1315,DataRegularSeason20242025!$B$3:$B$1315, "&lt;=" &amp; FQ$1, DataRegularSeason20242025!$E$3:$E$1315, $A7)</f>
        <v>46</v>
      </c>
      <c r="FR7">
        <f>SUMIFS(DataRegularSeason20242025!$AA$3:$AA$1315,DataRegularSeason20242025!$B$3:$B$1315, "&lt;=" &amp; FR$1, DataRegularSeason20242025!$D$3:$D$1315, $A7)+SUMIFS(DataRegularSeason20242025!$AB$3:$AB$1315,DataRegularSeason20242025!$B$3:$B$1315, "&lt;=" &amp; FR$1, DataRegularSeason20242025!$E$3:$E$1315, $A7)</f>
        <v>46</v>
      </c>
      <c r="FS7">
        <f>SUMIFS(DataRegularSeason20242025!$AA$3:$AA$1315,DataRegularSeason20242025!$B$3:$B$1315, "&lt;=" &amp; FS$1, DataRegularSeason20242025!$D$3:$D$1315, $A7)+SUMIFS(DataRegularSeason20242025!$AB$3:$AB$1315,DataRegularSeason20242025!$B$3:$B$1315, "&lt;=" &amp; FS$1, DataRegularSeason20242025!$E$3:$E$1315, $A7)</f>
        <v>46</v>
      </c>
      <c r="FT7">
        <f>SUMIFS(DataRegularSeason20242025!$AA$3:$AA$1315,DataRegularSeason20242025!$B$3:$B$1315, "&lt;=" &amp; FT$1, DataRegularSeason20242025!$D$3:$D$1315, $A7)+SUMIFS(DataRegularSeason20242025!$AB$3:$AB$1315,DataRegularSeason20242025!$B$3:$B$1315, "&lt;=" &amp; FT$1, DataRegularSeason20242025!$E$3:$E$1315, $A7)</f>
        <v>46</v>
      </c>
      <c r="FU7">
        <f>SUMIFS(DataRegularSeason20242025!$AA$3:$AA$1315,DataRegularSeason20242025!$B$3:$B$1315, "&lt;=" &amp; FU$1, DataRegularSeason20242025!$D$3:$D$1315, $A7)+SUMIFS(DataRegularSeason20242025!$AB$3:$AB$1315,DataRegularSeason20242025!$B$3:$B$1315, "&lt;=" &amp; FU$1, DataRegularSeason20242025!$E$3:$E$1315, $A7)</f>
        <v>46</v>
      </c>
      <c r="FV7">
        <f>SUMIFS(DataRegularSeason20242025!$AA$3:$AA$1315,DataRegularSeason20242025!$B$3:$B$1315, "&lt;=" &amp; FV$1, DataRegularSeason20242025!$D$3:$D$1315, $A7)+SUMIFS(DataRegularSeason20242025!$AB$3:$AB$1315,DataRegularSeason20242025!$B$3:$B$1315, "&lt;=" &amp; FV$1, DataRegularSeason20242025!$E$3:$E$1315, $A7)</f>
        <v>46</v>
      </c>
      <c r="FW7">
        <f>SUMIFS(DataRegularSeason20242025!$AA$3:$AA$1315,DataRegularSeason20242025!$B$3:$B$1315, "&lt;=" &amp; FW$1, DataRegularSeason20242025!$D$3:$D$1315, $A7)+SUMIFS(DataRegularSeason20242025!$AB$3:$AB$1315,DataRegularSeason20242025!$B$3:$B$1315, "&lt;=" &amp; FW$1, DataRegularSeason20242025!$E$3:$E$1315, $A7)</f>
        <v>46</v>
      </c>
      <c r="FX7">
        <f>SUMIFS(DataRegularSeason20242025!$AA$3:$AA$1315,DataRegularSeason20242025!$B$3:$B$1315, "&lt;=" &amp; FX$1, DataRegularSeason20242025!$D$3:$D$1315, $A7)+SUMIFS(DataRegularSeason20242025!$AB$3:$AB$1315,DataRegularSeason20242025!$B$3:$B$1315, "&lt;=" &amp; FX$1, DataRegularSeason20242025!$E$3:$E$1315, $A7)</f>
        <v>46</v>
      </c>
      <c r="FY7">
        <f>SUMIFS(DataRegularSeason20242025!$AA$3:$AA$1315,DataRegularSeason20242025!$B$3:$B$1315, "&lt;=" &amp; FY$1, DataRegularSeason20242025!$D$3:$D$1315, $A7)+SUMIFS(DataRegularSeason20242025!$AB$3:$AB$1315,DataRegularSeason20242025!$B$3:$B$1315, "&lt;=" &amp; FY$1, DataRegularSeason20242025!$E$3:$E$1315, $A7)</f>
        <v>46</v>
      </c>
      <c r="FZ7">
        <f>SUMIFS(DataRegularSeason20242025!$AA$3:$AA$1315,DataRegularSeason20242025!$B$3:$B$1315, "&lt;=" &amp; FZ$1, DataRegularSeason20242025!$D$3:$D$1315, $A7)+SUMIFS(DataRegularSeason20242025!$AB$3:$AB$1315,DataRegularSeason20242025!$B$3:$B$1315, "&lt;=" &amp; FZ$1, DataRegularSeason20242025!$E$3:$E$1315, $A7)</f>
        <v>46</v>
      </c>
      <c r="GA7">
        <f>SUMIFS(DataRegularSeason20242025!$AA$3:$AA$1315,DataRegularSeason20242025!$B$3:$B$1315, "&lt;=" &amp; GA$1, DataRegularSeason20242025!$D$3:$D$1315, $A7)+SUMIFS(DataRegularSeason20242025!$AB$3:$AB$1315,DataRegularSeason20242025!$B$3:$B$1315, "&lt;=" &amp; GA$1, DataRegularSeason20242025!$E$3:$E$1315, $A7)</f>
        <v>46</v>
      </c>
      <c r="GB7">
        <f>SUMIFS(DataRegularSeason20242025!$AA$3:$AA$1315,DataRegularSeason20242025!$B$3:$B$1315, "&lt;=" &amp; GB$1, DataRegularSeason20242025!$D$3:$D$1315, $A7)+SUMIFS(DataRegularSeason20242025!$AB$3:$AB$1315,DataRegularSeason20242025!$B$3:$B$1315, "&lt;=" &amp; GB$1, DataRegularSeason20242025!$E$3:$E$1315, $A7)</f>
        <v>46</v>
      </c>
      <c r="GC7">
        <f>SUMIFS(DataRegularSeason20242025!$AA$3:$AA$1315,DataRegularSeason20242025!$B$3:$B$1315, "&lt;=" &amp; GC$1, DataRegularSeason20242025!$D$3:$D$1315, $A7)+SUMIFS(DataRegularSeason20242025!$AB$3:$AB$1315,DataRegularSeason20242025!$B$3:$B$1315, "&lt;=" &amp; GC$1, DataRegularSeason20242025!$E$3:$E$1315, $A7)</f>
        <v>46</v>
      </c>
      <c r="GD7">
        <f>SUMIFS(DataRegularSeason20242025!$AA$3:$AA$1315,DataRegularSeason20242025!$B$3:$B$1315, "&lt;=" &amp; GD$1, DataRegularSeason20242025!$D$3:$D$1315, $A7)+SUMIFS(DataRegularSeason20242025!$AB$3:$AB$1315,DataRegularSeason20242025!$B$3:$B$1315, "&lt;=" &amp; GD$1, DataRegularSeason20242025!$E$3:$E$1315, $A7)</f>
        <v>46</v>
      </c>
      <c r="GE7">
        <f>SUMIFS(DataRegularSeason20242025!$AA$3:$AA$1315,DataRegularSeason20242025!$B$3:$B$1315, "&lt;=" &amp; GE$1, DataRegularSeason20242025!$D$3:$D$1315, $A7)+SUMIFS(DataRegularSeason20242025!$AB$3:$AB$1315,DataRegularSeason20242025!$B$3:$B$1315, "&lt;=" &amp; GE$1, DataRegularSeason20242025!$E$3:$E$1315, $A7)</f>
        <v>46</v>
      </c>
      <c r="GF7">
        <f>SUMIFS(DataRegularSeason20242025!$AA$3:$AA$1315,DataRegularSeason20242025!$B$3:$B$1315, "&lt;=" &amp; GF$1, DataRegularSeason20242025!$D$3:$D$1315, $A7)+SUMIFS(DataRegularSeason20242025!$AB$3:$AB$1315,DataRegularSeason20242025!$B$3:$B$1315, "&lt;=" &amp; GF$1, DataRegularSeason20242025!$E$3:$E$1315, $A7)</f>
        <v>46</v>
      </c>
      <c r="GG7">
        <f>SUMIFS(DataRegularSeason20242025!$AA$3:$AA$1315,DataRegularSeason20242025!$B$3:$B$1315, "&lt;=" &amp; GG$1, DataRegularSeason20242025!$D$3:$D$1315, $A7)+SUMIFS(DataRegularSeason20242025!$AB$3:$AB$1315,DataRegularSeason20242025!$B$3:$B$1315, "&lt;=" &amp; GG$1, DataRegularSeason20242025!$E$3:$E$1315, $A7)</f>
        <v>46</v>
      </c>
      <c r="GH7">
        <f>SUMIFS(DataRegularSeason20242025!$AA$3:$AA$1315,DataRegularSeason20242025!$B$3:$B$1315, "&lt;=" &amp; GH$1, DataRegularSeason20242025!$D$3:$D$1315, $A7)+SUMIFS(DataRegularSeason20242025!$AB$3:$AB$1315,DataRegularSeason20242025!$B$3:$B$1315, "&lt;=" &amp; GH$1, DataRegularSeason20242025!$E$3:$E$1315, $A7)</f>
        <v>46</v>
      </c>
      <c r="GI7">
        <f>SUMIFS(DataRegularSeason20242025!$AA$3:$AA$1315,DataRegularSeason20242025!$B$3:$B$1315, "&lt;=" &amp; GI$1, DataRegularSeason20242025!$D$3:$D$1315, $A7)+SUMIFS(DataRegularSeason20242025!$AB$3:$AB$1315,DataRegularSeason20242025!$B$3:$B$1315, "&lt;=" &amp; GI$1, DataRegularSeason20242025!$E$3:$E$1315, $A7)</f>
        <v>46</v>
      </c>
      <c r="GJ7">
        <f>SUMIFS(DataRegularSeason20242025!$AA$3:$AA$1315,DataRegularSeason20242025!$B$3:$B$1315, "&lt;=" &amp; GJ$1, DataRegularSeason20242025!$D$3:$D$1315, $A7)+SUMIFS(DataRegularSeason20242025!$AB$3:$AB$1315,DataRegularSeason20242025!$B$3:$B$1315, "&lt;=" &amp; GJ$1, DataRegularSeason20242025!$E$3:$E$1315, $A7)</f>
        <v>46</v>
      </c>
      <c r="GK7">
        <f>SUMIFS(DataRegularSeason20242025!$AA$3:$AA$1315,DataRegularSeason20242025!$B$3:$B$1315, "&lt;=" &amp; GK$1, DataRegularSeason20242025!$D$3:$D$1315, $A7)+SUMIFS(DataRegularSeason20242025!$AB$3:$AB$1315,DataRegularSeason20242025!$B$3:$B$1315, "&lt;=" &amp; GK$1, DataRegularSeason20242025!$E$3:$E$1315, $A7)</f>
        <v>46</v>
      </c>
      <c r="GL7">
        <f>SUMIFS(DataRegularSeason20242025!$AA$3:$AA$1315,DataRegularSeason20242025!$B$3:$B$1315, "&lt;=" &amp; GL$1, DataRegularSeason20242025!$D$3:$D$1315, $A7)+SUMIFS(DataRegularSeason20242025!$AB$3:$AB$1315,DataRegularSeason20242025!$B$3:$B$1315, "&lt;=" &amp; GL$1, DataRegularSeason20242025!$E$3:$E$1315, $A7)</f>
        <v>46</v>
      </c>
      <c r="GM7">
        <f>SUMIFS(DataRegularSeason20242025!$AA$3:$AA$1315,DataRegularSeason20242025!$B$3:$B$1315, "&lt;=" &amp; GM$1, DataRegularSeason20242025!$D$3:$D$1315, $A7)+SUMIFS(DataRegularSeason20242025!$AB$3:$AB$1315,DataRegularSeason20242025!$B$3:$B$1315, "&lt;=" &amp; GM$1, DataRegularSeason20242025!$E$3:$E$1315, $A7)</f>
        <v>46</v>
      </c>
      <c r="GN7">
        <f>SUMIFS(DataRegularSeason20242025!$AA$3:$AA$1315,DataRegularSeason20242025!$B$3:$B$1315, "&lt;=" &amp; GN$1, DataRegularSeason20242025!$D$3:$D$1315, $A7)+SUMIFS(DataRegularSeason20242025!$AB$3:$AB$1315,DataRegularSeason20242025!$B$3:$B$1315, "&lt;=" &amp; GN$1, DataRegularSeason20242025!$E$3:$E$1315, $A7)</f>
        <v>46</v>
      </c>
      <c r="GO7">
        <f>SUMIFS(DataRegularSeason20242025!$AA$3:$AA$1315,DataRegularSeason20242025!$B$3:$B$1315, "&lt;=" &amp; GO$1, DataRegularSeason20242025!$D$3:$D$1315, $A7)+SUMIFS(DataRegularSeason20242025!$AB$3:$AB$1315,DataRegularSeason20242025!$B$3:$B$1315, "&lt;=" &amp; GO$1, DataRegularSeason20242025!$E$3:$E$1315, $A7)</f>
        <v>46</v>
      </c>
      <c r="GP7">
        <f>SUMIFS(DataRegularSeason20242025!$AA$3:$AA$1315,DataRegularSeason20242025!$B$3:$B$1315, "&lt;=" &amp; GP$1, DataRegularSeason20242025!$D$3:$D$1315, $A7)+SUMIFS(DataRegularSeason20242025!$AB$3:$AB$1315,DataRegularSeason20242025!$B$3:$B$1315, "&lt;=" &amp; GP$1, DataRegularSeason20242025!$E$3:$E$1315, $A7)</f>
        <v>46</v>
      </c>
      <c r="GQ7">
        <f>SUMIFS(DataRegularSeason20242025!$AA$3:$AA$1315,DataRegularSeason20242025!$B$3:$B$1315, "&lt;=" &amp; GQ$1, DataRegularSeason20242025!$D$3:$D$1315, $A7)+SUMIFS(DataRegularSeason20242025!$AB$3:$AB$1315,DataRegularSeason20242025!$B$3:$B$1315, "&lt;=" &amp; GQ$1, DataRegularSeason20242025!$E$3:$E$1315, $A7)</f>
        <v>46</v>
      </c>
      <c r="GR7">
        <f>SUMIFS(DataRegularSeason20242025!$AA$3:$AA$1315,DataRegularSeason20242025!$B$3:$B$1315, "&lt;=" &amp; GR$1, DataRegularSeason20242025!$D$3:$D$1315, $A7)+SUMIFS(DataRegularSeason20242025!$AB$3:$AB$1315,DataRegularSeason20242025!$B$3:$B$1315, "&lt;=" &amp; GR$1, DataRegularSeason20242025!$E$3:$E$1315, $A7)</f>
        <v>46</v>
      </c>
      <c r="GS7">
        <f>SUMIFS(DataRegularSeason20242025!$AA$3:$AA$1315,DataRegularSeason20242025!$B$3:$B$1315, "&lt;=" &amp; GS$1, DataRegularSeason20242025!$D$3:$D$1315, $A7)+SUMIFS(DataRegularSeason20242025!$AB$3:$AB$1315,DataRegularSeason20242025!$B$3:$B$1315, "&lt;=" &amp; GS$1, DataRegularSeason20242025!$E$3:$E$1315, $A7)</f>
        <v>46</v>
      </c>
      <c r="GT7">
        <f>SUMIFS(DataRegularSeason20242025!$AA$3:$AA$1315,DataRegularSeason20242025!$B$3:$B$1315, "&lt;=" &amp; GT$1, DataRegularSeason20242025!$D$3:$D$1315, $A7)+SUMIFS(DataRegularSeason20242025!$AB$3:$AB$1315,DataRegularSeason20242025!$B$3:$B$1315, "&lt;=" &amp; GT$1, DataRegularSeason20242025!$E$3:$E$1315, $A7)</f>
        <v>46</v>
      </c>
      <c r="GU7">
        <f>SUMIFS(DataRegularSeason20242025!$AA$3:$AA$1315,DataRegularSeason20242025!$B$3:$B$1315, "&lt;=" &amp; GU$1, DataRegularSeason20242025!$D$3:$D$1315, $A7)+SUMIFS(DataRegularSeason20242025!$AB$3:$AB$1315,DataRegularSeason20242025!$B$3:$B$1315, "&lt;=" &amp; GU$1, DataRegularSeason20242025!$E$3:$E$1315, $A7)</f>
        <v>46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46</v>
      </c>
      <c r="DD13">
        <f>SUMIFS(DataRegularSeason20242025!$AA$3:$AA$1315,DataRegularSeason20242025!$B$3:$B$1315, "&lt;=" &amp; DD$1, DataRegularSeason20242025!$D$3:$D$1315, $A13)+SUMIFS(DataRegularSeason20242025!$AB$3:$AB$1315,DataRegularSeason20242025!$B$3:$B$1315, "&lt;=" &amp; DD$1, DataRegularSeason20242025!$E$3:$E$1315, $A13)</f>
        <v>46</v>
      </c>
      <c r="DE13">
        <f>SUMIFS(DataRegularSeason20242025!$AA$3:$AA$1315,DataRegularSeason20242025!$B$3:$B$1315, "&lt;=" &amp; DE$1, DataRegularSeason20242025!$D$3:$D$1315, $A13)+SUMIFS(DataRegularSeason20242025!$AB$3:$AB$1315,DataRegularSeason20242025!$B$3:$B$1315, "&lt;=" &amp; DE$1, DataRegularSeason20242025!$E$3:$E$1315, $A13)</f>
        <v>46</v>
      </c>
      <c r="DF13">
        <f>SUMIFS(DataRegularSeason20242025!$AA$3:$AA$1315,DataRegularSeason20242025!$B$3:$B$1315, "&lt;=" &amp; DF$1, DataRegularSeason20242025!$D$3:$D$1315, $A13)+SUMIFS(DataRegularSeason20242025!$AB$3:$AB$1315,DataRegularSeason20242025!$B$3:$B$1315, "&lt;=" &amp; DF$1, DataRegularSeason20242025!$E$3:$E$1315, $A13)</f>
        <v>46</v>
      </c>
      <c r="DG13">
        <f>SUMIFS(DataRegularSeason20242025!$AA$3:$AA$1315,DataRegularSeason20242025!$B$3:$B$1315, "&lt;=" &amp; DG$1, DataRegularSeason20242025!$D$3:$D$1315, $A13)+SUMIFS(DataRegularSeason20242025!$AB$3:$AB$1315,DataRegularSeason20242025!$B$3:$B$1315, "&lt;=" &amp; DG$1, DataRegularSeason20242025!$E$3:$E$1315, $A13)</f>
        <v>46</v>
      </c>
      <c r="DH13">
        <f>SUMIFS(DataRegularSeason20242025!$AA$3:$AA$1315,DataRegularSeason20242025!$B$3:$B$1315, "&lt;=" &amp; DH$1, DataRegularSeason20242025!$D$3:$D$1315, $A13)+SUMIFS(DataRegularSeason20242025!$AB$3:$AB$1315,DataRegularSeason20242025!$B$3:$B$1315, "&lt;=" &amp; DH$1, DataRegularSeason20242025!$E$3:$E$1315, $A13)</f>
        <v>46</v>
      </c>
      <c r="DI13">
        <f>SUMIFS(DataRegularSeason20242025!$AA$3:$AA$1315,DataRegularSeason20242025!$B$3:$B$1315, "&lt;=" &amp; DI$1, DataRegularSeason20242025!$D$3:$D$1315, $A13)+SUMIFS(DataRegularSeason20242025!$AB$3:$AB$1315,DataRegularSeason20242025!$B$3:$B$1315, "&lt;=" &amp; DI$1, DataRegularSeason20242025!$E$3:$E$1315, $A13)</f>
        <v>46</v>
      </c>
      <c r="DJ13">
        <f>SUMIFS(DataRegularSeason20242025!$AA$3:$AA$1315,DataRegularSeason20242025!$B$3:$B$1315, "&lt;=" &amp; DJ$1, DataRegularSeason20242025!$D$3:$D$1315, $A13)+SUMIFS(DataRegularSeason20242025!$AB$3:$AB$1315,DataRegularSeason20242025!$B$3:$B$1315, "&lt;=" &amp; DJ$1, DataRegularSeason20242025!$E$3:$E$1315, $A13)</f>
        <v>46</v>
      </c>
      <c r="DK13">
        <f>SUMIFS(DataRegularSeason20242025!$AA$3:$AA$1315,DataRegularSeason20242025!$B$3:$B$1315, "&lt;=" &amp; DK$1, DataRegularSeason20242025!$D$3:$D$1315, $A13)+SUMIFS(DataRegularSeason20242025!$AB$3:$AB$1315,DataRegularSeason20242025!$B$3:$B$1315, "&lt;=" &amp; DK$1, DataRegularSeason20242025!$E$3:$E$1315, $A13)</f>
        <v>46</v>
      </c>
      <c r="DL13">
        <f>SUMIFS(DataRegularSeason20242025!$AA$3:$AA$1315,DataRegularSeason20242025!$B$3:$B$1315, "&lt;=" &amp; DL$1, DataRegularSeason20242025!$D$3:$D$1315, $A13)+SUMIFS(DataRegularSeason20242025!$AB$3:$AB$1315,DataRegularSeason20242025!$B$3:$B$1315, "&lt;=" &amp; DL$1, DataRegularSeason20242025!$E$3:$E$1315, $A13)</f>
        <v>46</v>
      </c>
      <c r="DM13">
        <f>SUMIFS(DataRegularSeason20242025!$AA$3:$AA$1315,DataRegularSeason20242025!$B$3:$B$1315, "&lt;=" &amp; DM$1, DataRegularSeason20242025!$D$3:$D$1315, $A13)+SUMIFS(DataRegularSeason20242025!$AB$3:$AB$1315,DataRegularSeason20242025!$B$3:$B$1315, "&lt;=" &amp; DM$1, DataRegularSeason20242025!$E$3:$E$1315, $A13)</f>
        <v>46</v>
      </c>
      <c r="DN13">
        <f>SUMIFS(DataRegularSeason20242025!$AA$3:$AA$1315,DataRegularSeason20242025!$B$3:$B$1315, "&lt;=" &amp; DN$1, DataRegularSeason20242025!$D$3:$D$1315, $A13)+SUMIFS(DataRegularSeason20242025!$AB$3:$AB$1315,DataRegularSeason20242025!$B$3:$B$1315, "&lt;=" &amp; DN$1, DataRegularSeason20242025!$E$3:$E$1315, $A13)</f>
        <v>46</v>
      </c>
      <c r="DO13">
        <f>SUMIFS(DataRegularSeason20242025!$AA$3:$AA$1315,DataRegularSeason20242025!$B$3:$B$1315, "&lt;=" &amp; DO$1, DataRegularSeason20242025!$D$3:$D$1315, $A13)+SUMIFS(DataRegularSeason20242025!$AB$3:$AB$1315,DataRegularSeason20242025!$B$3:$B$1315, "&lt;=" &amp; DO$1, DataRegularSeason20242025!$E$3:$E$1315, $A13)</f>
        <v>46</v>
      </c>
      <c r="DP13">
        <f>SUMIFS(DataRegularSeason20242025!$AA$3:$AA$1315,DataRegularSeason20242025!$B$3:$B$1315, "&lt;=" &amp; DP$1, DataRegularSeason20242025!$D$3:$D$1315, $A13)+SUMIFS(DataRegularSeason20242025!$AB$3:$AB$1315,DataRegularSeason20242025!$B$3:$B$1315, "&lt;=" &amp; DP$1, DataRegularSeason20242025!$E$3:$E$1315, $A13)</f>
        <v>46</v>
      </c>
      <c r="DQ13">
        <f>SUMIFS(DataRegularSeason20242025!$AA$3:$AA$1315,DataRegularSeason20242025!$B$3:$B$1315, "&lt;=" &amp; DQ$1, DataRegularSeason20242025!$D$3:$D$1315, $A13)+SUMIFS(DataRegularSeason20242025!$AB$3:$AB$1315,DataRegularSeason20242025!$B$3:$B$1315, "&lt;=" &amp; DQ$1, DataRegularSeason20242025!$E$3:$E$1315, $A13)</f>
        <v>46</v>
      </c>
      <c r="DR13">
        <f>SUMIFS(DataRegularSeason20242025!$AA$3:$AA$1315,DataRegularSeason20242025!$B$3:$B$1315, "&lt;=" &amp; DR$1, DataRegularSeason20242025!$D$3:$D$1315, $A13)+SUMIFS(DataRegularSeason20242025!$AB$3:$AB$1315,DataRegularSeason20242025!$B$3:$B$1315, "&lt;=" &amp; DR$1, DataRegularSeason20242025!$E$3:$E$1315, $A13)</f>
        <v>46</v>
      </c>
      <c r="DS13">
        <f>SUMIFS(DataRegularSeason20242025!$AA$3:$AA$1315,DataRegularSeason20242025!$B$3:$B$1315, "&lt;=" &amp; DS$1, DataRegularSeason20242025!$D$3:$D$1315, $A13)+SUMIFS(DataRegularSeason20242025!$AB$3:$AB$1315,DataRegularSeason20242025!$B$3:$B$1315, "&lt;=" &amp; DS$1, DataRegularSeason20242025!$E$3:$E$1315, $A13)</f>
        <v>46</v>
      </c>
      <c r="DT13">
        <f>SUMIFS(DataRegularSeason20242025!$AA$3:$AA$1315,DataRegularSeason20242025!$B$3:$B$1315, "&lt;=" &amp; DT$1, DataRegularSeason20242025!$D$3:$D$1315, $A13)+SUMIFS(DataRegularSeason20242025!$AB$3:$AB$1315,DataRegularSeason20242025!$B$3:$B$1315, "&lt;=" &amp; DT$1, DataRegularSeason20242025!$E$3:$E$1315, $A13)</f>
        <v>46</v>
      </c>
      <c r="DU13">
        <f>SUMIFS(DataRegularSeason20242025!$AA$3:$AA$1315,DataRegularSeason20242025!$B$3:$B$1315, "&lt;=" &amp; DU$1, DataRegularSeason20242025!$D$3:$D$1315, $A13)+SUMIFS(DataRegularSeason20242025!$AB$3:$AB$1315,DataRegularSeason20242025!$B$3:$B$1315, "&lt;=" &amp; DU$1, DataRegularSeason20242025!$E$3:$E$1315, $A13)</f>
        <v>46</v>
      </c>
      <c r="DV13">
        <f>SUMIFS(DataRegularSeason20242025!$AA$3:$AA$1315,DataRegularSeason20242025!$B$3:$B$1315, "&lt;=" &amp; DV$1, DataRegularSeason20242025!$D$3:$D$1315, $A13)+SUMIFS(DataRegularSeason20242025!$AB$3:$AB$1315,DataRegularSeason20242025!$B$3:$B$1315, "&lt;=" &amp; DV$1, DataRegularSeason20242025!$E$3:$E$1315, $A13)</f>
        <v>46</v>
      </c>
      <c r="DW13">
        <f>SUMIFS(DataRegularSeason20242025!$AA$3:$AA$1315,DataRegularSeason20242025!$B$3:$B$1315, "&lt;=" &amp; DW$1, DataRegularSeason20242025!$D$3:$D$1315, $A13)+SUMIFS(DataRegularSeason20242025!$AB$3:$AB$1315,DataRegularSeason20242025!$B$3:$B$1315, "&lt;=" &amp; DW$1, DataRegularSeason20242025!$E$3:$E$1315, $A13)</f>
        <v>46</v>
      </c>
      <c r="DX13">
        <f>SUMIFS(DataRegularSeason20242025!$AA$3:$AA$1315,DataRegularSeason20242025!$B$3:$B$1315, "&lt;=" &amp; DX$1, DataRegularSeason20242025!$D$3:$D$1315, $A13)+SUMIFS(DataRegularSeason20242025!$AB$3:$AB$1315,DataRegularSeason20242025!$B$3:$B$1315, "&lt;=" &amp; DX$1, DataRegularSeason20242025!$E$3:$E$1315, $A13)</f>
        <v>46</v>
      </c>
      <c r="DY13">
        <f>SUMIFS(DataRegularSeason20242025!$AA$3:$AA$1315,DataRegularSeason20242025!$B$3:$B$1315, "&lt;=" &amp; DY$1, DataRegularSeason20242025!$D$3:$D$1315, $A13)+SUMIFS(DataRegularSeason20242025!$AB$3:$AB$1315,DataRegularSeason20242025!$B$3:$B$1315, "&lt;=" &amp; DY$1, DataRegularSeason20242025!$E$3:$E$1315, $A13)</f>
        <v>46</v>
      </c>
      <c r="DZ13">
        <f>SUMIFS(DataRegularSeason20242025!$AA$3:$AA$1315,DataRegularSeason20242025!$B$3:$B$1315, "&lt;=" &amp; DZ$1, DataRegularSeason20242025!$D$3:$D$1315, $A13)+SUMIFS(DataRegularSeason20242025!$AB$3:$AB$1315,DataRegularSeason20242025!$B$3:$B$1315, "&lt;=" &amp; DZ$1, DataRegularSeason20242025!$E$3:$E$1315, $A13)</f>
        <v>46</v>
      </c>
      <c r="EA13">
        <f>SUMIFS(DataRegularSeason20242025!$AA$3:$AA$1315,DataRegularSeason20242025!$B$3:$B$1315, "&lt;=" &amp; EA$1, DataRegularSeason20242025!$D$3:$D$1315, $A13)+SUMIFS(DataRegularSeason20242025!$AB$3:$AB$1315,DataRegularSeason20242025!$B$3:$B$1315, "&lt;=" &amp; EA$1, DataRegularSeason20242025!$E$3:$E$1315, $A13)</f>
        <v>46</v>
      </c>
      <c r="EB13">
        <f>SUMIFS(DataRegularSeason20242025!$AA$3:$AA$1315,DataRegularSeason20242025!$B$3:$B$1315, "&lt;=" &amp; EB$1, DataRegularSeason20242025!$D$3:$D$1315, $A13)+SUMIFS(DataRegularSeason20242025!$AB$3:$AB$1315,DataRegularSeason20242025!$B$3:$B$1315, "&lt;=" &amp; EB$1, DataRegularSeason20242025!$E$3:$E$1315, $A13)</f>
        <v>46</v>
      </c>
      <c r="EC13">
        <f>SUMIFS(DataRegularSeason20242025!$AA$3:$AA$1315,DataRegularSeason20242025!$B$3:$B$1315, "&lt;=" &amp; EC$1, DataRegularSeason20242025!$D$3:$D$1315, $A13)+SUMIFS(DataRegularSeason20242025!$AB$3:$AB$1315,DataRegularSeason20242025!$B$3:$B$1315, "&lt;=" &amp; EC$1, DataRegularSeason20242025!$E$3:$E$1315, $A13)</f>
        <v>46</v>
      </c>
      <c r="ED13">
        <f>SUMIFS(DataRegularSeason20242025!$AA$3:$AA$1315,DataRegularSeason20242025!$B$3:$B$1315, "&lt;=" &amp; ED$1, DataRegularSeason20242025!$D$3:$D$1315, $A13)+SUMIFS(DataRegularSeason20242025!$AB$3:$AB$1315,DataRegularSeason20242025!$B$3:$B$1315, "&lt;=" &amp; ED$1, DataRegularSeason20242025!$E$3:$E$1315, $A13)</f>
        <v>46</v>
      </c>
      <c r="EE13">
        <f>SUMIFS(DataRegularSeason20242025!$AA$3:$AA$1315,DataRegularSeason20242025!$B$3:$B$1315, "&lt;=" &amp; EE$1, DataRegularSeason20242025!$D$3:$D$1315, $A13)+SUMIFS(DataRegularSeason20242025!$AB$3:$AB$1315,DataRegularSeason20242025!$B$3:$B$1315, "&lt;=" &amp; EE$1, DataRegularSeason20242025!$E$3:$E$1315, $A13)</f>
        <v>46</v>
      </c>
      <c r="EF13">
        <f>SUMIFS(DataRegularSeason20242025!$AA$3:$AA$1315,DataRegularSeason20242025!$B$3:$B$1315, "&lt;=" &amp; EF$1, DataRegularSeason20242025!$D$3:$D$1315, $A13)+SUMIFS(DataRegularSeason20242025!$AB$3:$AB$1315,DataRegularSeason20242025!$B$3:$B$1315, "&lt;=" &amp; EF$1, DataRegularSeason20242025!$E$3:$E$1315, $A13)</f>
        <v>46</v>
      </c>
      <c r="EG13">
        <f>SUMIFS(DataRegularSeason20242025!$AA$3:$AA$1315,DataRegularSeason20242025!$B$3:$B$1315, "&lt;=" &amp; EG$1, DataRegularSeason20242025!$D$3:$D$1315, $A13)+SUMIFS(DataRegularSeason20242025!$AB$3:$AB$1315,DataRegularSeason20242025!$B$3:$B$1315, "&lt;=" &amp; EG$1, DataRegularSeason20242025!$E$3:$E$1315, $A13)</f>
        <v>46</v>
      </c>
      <c r="EH13">
        <f>SUMIFS(DataRegularSeason20242025!$AA$3:$AA$1315,DataRegularSeason20242025!$B$3:$B$1315, "&lt;=" &amp; EH$1, DataRegularSeason20242025!$D$3:$D$1315, $A13)+SUMIFS(DataRegularSeason20242025!$AB$3:$AB$1315,DataRegularSeason20242025!$B$3:$B$1315, "&lt;=" &amp; EH$1, DataRegularSeason20242025!$E$3:$E$1315, $A13)</f>
        <v>46</v>
      </c>
      <c r="EI13">
        <f>SUMIFS(DataRegularSeason20242025!$AA$3:$AA$1315,DataRegularSeason20242025!$B$3:$B$1315, "&lt;=" &amp; EI$1, DataRegularSeason20242025!$D$3:$D$1315, $A13)+SUMIFS(DataRegularSeason20242025!$AB$3:$AB$1315,DataRegularSeason20242025!$B$3:$B$1315, "&lt;=" &amp; EI$1, DataRegularSeason20242025!$E$3:$E$1315, $A13)</f>
        <v>46</v>
      </c>
      <c r="EJ13">
        <f>SUMIFS(DataRegularSeason20242025!$AA$3:$AA$1315,DataRegularSeason20242025!$B$3:$B$1315, "&lt;=" &amp; EJ$1, DataRegularSeason20242025!$D$3:$D$1315, $A13)+SUMIFS(DataRegularSeason20242025!$AB$3:$AB$1315,DataRegularSeason20242025!$B$3:$B$1315, "&lt;=" &amp; EJ$1, DataRegularSeason20242025!$E$3:$E$1315, $A13)</f>
        <v>46</v>
      </c>
      <c r="EK13">
        <f>SUMIFS(DataRegularSeason20242025!$AA$3:$AA$1315,DataRegularSeason20242025!$B$3:$B$1315, "&lt;=" &amp; EK$1, DataRegularSeason20242025!$D$3:$D$1315, $A13)+SUMIFS(DataRegularSeason20242025!$AB$3:$AB$1315,DataRegularSeason20242025!$B$3:$B$1315, "&lt;=" &amp; EK$1, DataRegularSeason20242025!$E$3:$E$1315, $A13)</f>
        <v>46</v>
      </c>
      <c r="EL13">
        <f>SUMIFS(DataRegularSeason20242025!$AA$3:$AA$1315,DataRegularSeason20242025!$B$3:$B$1315, "&lt;=" &amp; EL$1, DataRegularSeason20242025!$D$3:$D$1315, $A13)+SUMIFS(DataRegularSeason20242025!$AB$3:$AB$1315,DataRegularSeason20242025!$B$3:$B$1315, "&lt;=" &amp; EL$1, DataRegularSeason20242025!$E$3:$E$1315, $A13)</f>
        <v>46</v>
      </c>
      <c r="EM13">
        <f>SUMIFS(DataRegularSeason20242025!$AA$3:$AA$1315,DataRegularSeason20242025!$B$3:$B$1315, "&lt;=" &amp; EM$1, DataRegularSeason20242025!$D$3:$D$1315, $A13)+SUMIFS(DataRegularSeason20242025!$AB$3:$AB$1315,DataRegularSeason20242025!$B$3:$B$1315, "&lt;=" &amp; EM$1, DataRegularSeason20242025!$E$3:$E$1315, $A13)</f>
        <v>46</v>
      </c>
      <c r="EN13">
        <f>SUMIFS(DataRegularSeason20242025!$AA$3:$AA$1315,DataRegularSeason20242025!$B$3:$B$1315, "&lt;=" &amp; EN$1, DataRegularSeason20242025!$D$3:$D$1315, $A13)+SUMIFS(DataRegularSeason20242025!$AB$3:$AB$1315,DataRegularSeason20242025!$B$3:$B$1315, "&lt;=" &amp; EN$1, DataRegularSeason20242025!$E$3:$E$1315, $A13)</f>
        <v>46</v>
      </c>
      <c r="EO13">
        <f>SUMIFS(DataRegularSeason20242025!$AA$3:$AA$1315,DataRegularSeason20242025!$B$3:$B$1315, "&lt;=" &amp; EO$1, DataRegularSeason20242025!$D$3:$D$1315, $A13)+SUMIFS(DataRegularSeason20242025!$AB$3:$AB$1315,DataRegularSeason20242025!$B$3:$B$1315, "&lt;=" &amp; EO$1, DataRegularSeason20242025!$E$3:$E$1315, $A13)</f>
        <v>46</v>
      </c>
      <c r="EP13">
        <f>SUMIFS(DataRegularSeason20242025!$AA$3:$AA$1315,DataRegularSeason20242025!$B$3:$B$1315, "&lt;=" &amp; EP$1, DataRegularSeason20242025!$D$3:$D$1315, $A13)+SUMIFS(DataRegularSeason20242025!$AB$3:$AB$1315,DataRegularSeason20242025!$B$3:$B$1315, "&lt;=" &amp; EP$1, DataRegularSeason20242025!$E$3:$E$1315, $A13)</f>
        <v>46</v>
      </c>
      <c r="EQ13">
        <f>SUMIFS(DataRegularSeason20242025!$AA$3:$AA$1315,DataRegularSeason20242025!$B$3:$B$1315, "&lt;=" &amp; EQ$1, DataRegularSeason20242025!$D$3:$D$1315, $A13)+SUMIFS(DataRegularSeason20242025!$AB$3:$AB$1315,DataRegularSeason20242025!$B$3:$B$1315, "&lt;=" &amp; EQ$1, DataRegularSeason20242025!$E$3:$E$1315, $A13)</f>
        <v>46</v>
      </c>
      <c r="ER13">
        <f>SUMIFS(DataRegularSeason20242025!$AA$3:$AA$1315,DataRegularSeason20242025!$B$3:$B$1315, "&lt;=" &amp; ER$1, DataRegularSeason20242025!$D$3:$D$1315, $A13)+SUMIFS(DataRegularSeason20242025!$AB$3:$AB$1315,DataRegularSeason20242025!$B$3:$B$1315, "&lt;=" &amp; ER$1, DataRegularSeason20242025!$E$3:$E$1315, $A13)</f>
        <v>46</v>
      </c>
      <c r="ES13">
        <f>SUMIFS(DataRegularSeason20242025!$AA$3:$AA$1315,DataRegularSeason20242025!$B$3:$B$1315, "&lt;=" &amp; ES$1, DataRegularSeason20242025!$D$3:$D$1315, $A13)+SUMIFS(DataRegularSeason20242025!$AB$3:$AB$1315,DataRegularSeason20242025!$B$3:$B$1315, "&lt;=" &amp; ES$1, DataRegularSeason20242025!$E$3:$E$1315, $A13)</f>
        <v>46</v>
      </c>
      <c r="ET13">
        <f>SUMIFS(DataRegularSeason20242025!$AA$3:$AA$1315,DataRegularSeason20242025!$B$3:$B$1315, "&lt;=" &amp; ET$1, DataRegularSeason20242025!$D$3:$D$1315, $A13)+SUMIFS(DataRegularSeason20242025!$AB$3:$AB$1315,DataRegularSeason20242025!$B$3:$B$1315, "&lt;=" &amp; ET$1, DataRegularSeason20242025!$E$3:$E$1315, $A13)</f>
        <v>46</v>
      </c>
      <c r="EU13">
        <f>SUMIFS(DataRegularSeason20242025!$AA$3:$AA$1315,DataRegularSeason20242025!$B$3:$B$1315, "&lt;=" &amp; EU$1, DataRegularSeason20242025!$D$3:$D$1315, $A13)+SUMIFS(DataRegularSeason20242025!$AB$3:$AB$1315,DataRegularSeason20242025!$B$3:$B$1315, "&lt;=" &amp; EU$1, DataRegularSeason20242025!$E$3:$E$1315, $A13)</f>
        <v>46</v>
      </c>
      <c r="EV13">
        <f>SUMIFS(DataRegularSeason20242025!$AA$3:$AA$1315,DataRegularSeason20242025!$B$3:$B$1315, "&lt;=" &amp; EV$1, DataRegularSeason20242025!$D$3:$D$1315, $A13)+SUMIFS(DataRegularSeason20242025!$AB$3:$AB$1315,DataRegularSeason20242025!$B$3:$B$1315, "&lt;=" &amp; EV$1, DataRegularSeason20242025!$E$3:$E$1315, $A13)</f>
        <v>46</v>
      </c>
      <c r="EW13">
        <f>SUMIFS(DataRegularSeason20242025!$AA$3:$AA$1315,DataRegularSeason20242025!$B$3:$B$1315, "&lt;=" &amp; EW$1, DataRegularSeason20242025!$D$3:$D$1315, $A13)+SUMIFS(DataRegularSeason20242025!$AB$3:$AB$1315,DataRegularSeason20242025!$B$3:$B$1315, "&lt;=" &amp; EW$1, DataRegularSeason20242025!$E$3:$E$1315, $A13)</f>
        <v>46</v>
      </c>
      <c r="EX13">
        <f>SUMIFS(DataRegularSeason20242025!$AA$3:$AA$1315,DataRegularSeason20242025!$B$3:$B$1315, "&lt;=" &amp; EX$1, DataRegularSeason20242025!$D$3:$D$1315, $A13)+SUMIFS(DataRegularSeason20242025!$AB$3:$AB$1315,DataRegularSeason20242025!$B$3:$B$1315, "&lt;=" &amp; EX$1, DataRegularSeason20242025!$E$3:$E$1315, $A13)</f>
        <v>46</v>
      </c>
      <c r="EY13">
        <f>SUMIFS(DataRegularSeason20242025!$AA$3:$AA$1315,DataRegularSeason20242025!$B$3:$B$1315, "&lt;=" &amp; EY$1, DataRegularSeason20242025!$D$3:$D$1315, $A13)+SUMIFS(DataRegularSeason20242025!$AB$3:$AB$1315,DataRegularSeason20242025!$B$3:$B$1315, "&lt;=" &amp; EY$1, DataRegularSeason20242025!$E$3:$E$1315, $A13)</f>
        <v>46</v>
      </c>
      <c r="EZ13">
        <f>SUMIFS(DataRegularSeason20242025!$AA$3:$AA$1315,DataRegularSeason20242025!$B$3:$B$1315, "&lt;=" &amp; EZ$1, DataRegularSeason20242025!$D$3:$D$1315, $A13)+SUMIFS(DataRegularSeason20242025!$AB$3:$AB$1315,DataRegularSeason20242025!$B$3:$B$1315, "&lt;=" &amp; EZ$1, DataRegularSeason20242025!$E$3:$E$1315, $A13)</f>
        <v>46</v>
      </c>
      <c r="FA13">
        <f>SUMIFS(DataRegularSeason20242025!$AA$3:$AA$1315,DataRegularSeason20242025!$B$3:$B$1315, "&lt;=" &amp; FA$1, DataRegularSeason20242025!$D$3:$D$1315, $A13)+SUMIFS(DataRegularSeason20242025!$AB$3:$AB$1315,DataRegularSeason20242025!$B$3:$B$1315, "&lt;=" &amp; FA$1, DataRegularSeason20242025!$E$3:$E$1315, $A13)</f>
        <v>46</v>
      </c>
      <c r="FB13">
        <f>SUMIFS(DataRegularSeason20242025!$AA$3:$AA$1315,DataRegularSeason20242025!$B$3:$B$1315, "&lt;=" &amp; FB$1, DataRegularSeason20242025!$D$3:$D$1315, $A13)+SUMIFS(DataRegularSeason20242025!$AB$3:$AB$1315,DataRegularSeason20242025!$B$3:$B$1315, "&lt;=" &amp; FB$1, DataRegularSeason20242025!$E$3:$E$1315, $A13)</f>
        <v>46</v>
      </c>
      <c r="FC13">
        <f>SUMIFS(DataRegularSeason20242025!$AA$3:$AA$1315,DataRegularSeason20242025!$B$3:$B$1315, "&lt;=" &amp; FC$1, DataRegularSeason20242025!$D$3:$D$1315, $A13)+SUMIFS(DataRegularSeason20242025!$AB$3:$AB$1315,DataRegularSeason20242025!$B$3:$B$1315, "&lt;=" &amp; FC$1, DataRegularSeason20242025!$E$3:$E$1315, $A13)</f>
        <v>46</v>
      </c>
      <c r="FD13">
        <f>SUMIFS(DataRegularSeason20242025!$AA$3:$AA$1315,DataRegularSeason20242025!$B$3:$B$1315, "&lt;=" &amp; FD$1, DataRegularSeason20242025!$D$3:$D$1315, $A13)+SUMIFS(DataRegularSeason20242025!$AB$3:$AB$1315,DataRegularSeason20242025!$B$3:$B$1315, "&lt;=" &amp; FD$1, DataRegularSeason20242025!$E$3:$E$1315, $A13)</f>
        <v>46</v>
      </c>
      <c r="FE13">
        <f>SUMIFS(DataRegularSeason20242025!$AA$3:$AA$1315,DataRegularSeason20242025!$B$3:$B$1315, "&lt;=" &amp; FE$1, DataRegularSeason20242025!$D$3:$D$1315, $A13)+SUMIFS(DataRegularSeason20242025!$AB$3:$AB$1315,DataRegularSeason20242025!$B$3:$B$1315, "&lt;=" &amp; FE$1, DataRegularSeason20242025!$E$3:$E$1315, $A13)</f>
        <v>46</v>
      </c>
      <c r="FF13">
        <f>SUMIFS(DataRegularSeason20242025!$AA$3:$AA$1315,DataRegularSeason20242025!$B$3:$B$1315, "&lt;=" &amp; FF$1, DataRegularSeason20242025!$D$3:$D$1315, $A13)+SUMIFS(DataRegularSeason20242025!$AB$3:$AB$1315,DataRegularSeason20242025!$B$3:$B$1315, "&lt;=" &amp; FF$1, DataRegularSeason20242025!$E$3:$E$1315, $A13)</f>
        <v>46</v>
      </c>
      <c r="FG13">
        <f>SUMIFS(DataRegularSeason20242025!$AA$3:$AA$1315,DataRegularSeason20242025!$B$3:$B$1315, "&lt;=" &amp; FG$1, DataRegularSeason20242025!$D$3:$D$1315, $A13)+SUMIFS(DataRegularSeason20242025!$AB$3:$AB$1315,DataRegularSeason20242025!$B$3:$B$1315, "&lt;=" &amp; FG$1, DataRegularSeason20242025!$E$3:$E$1315, $A13)</f>
        <v>46</v>
      </c>
      <c r="FH13">
        <f>SUMIFS(DataRegularSeason20242025!$AA$3:$AA$1315,DataRegularSeason20242025!$B$3:$B$1315, "&lt;=" &amp; FH$1, DataRegularSeason20242025!$D$3:$D$1315, $A13)+SUMIFS(DataRegularSeason20242025!$AB$3:$AB$1315,DataRegularSeason20242025!$B$3:$B$1315, "&lt;=" &amp; FH$1, DataRegularSeason20242025!$E$3:$E$1315, $A13)</f>
        <v>46</v>
      </c>
      <c r="FI13">
        <f>SUMIFS(DataRegularSeason20242025!$AA$3:$AA$1315,DataRegularSeason20242025!$B$3:$B$1315, "&lt;=" &amp; FI$1, DataRegularSeason20242025!$D$3:$D$1315, $A13)+SUMIFS(DataRegularSeason20242025!$AB$3:$AB$1315,DataRegularSeason20242025!$B$3:$B$1315, "&lt;=" &amp; FI$1, DataRegularSeason20242025!$E$3:$E$1315, $A13)</f>
        <v>46</v>
      </c>
      <c r="FJ13">
        <f>SUMIFS(DataRegularSeason20242025!$AA$3:$AA$1315,DataRegularSeason20242025!$B$3:$B$1315, "&lt;=" &amp; FJ$1, DataRegularSeason20242025!$D$3:$D$1315, $A13)+SUMIFS(DataRegularSeason20242025!$AB$3:$AB$1315,DataRegularSeason20242025!$B$3:$B$1315, "&lt;=" &amp; FJ$1, DataRegularSeason20242025!$E$3:$E$1315, $A13)</f>
        <v>46</v>
      </c>
      <c r="FK13">
        <f>SUMIFS(DataRegularSeason20242025!$AA$3:$AA$1315,DataRegularSeason20242025!$B$3:$B$1315, "&lt;=" &amp; FK$1, DataRegularSeason20242025!$D$3:$D$1315, $A13)+SUMIFS(DataRegularSeason20242025!$AB$3:$AB$1315,DataRegularSeason20242025!$B$3:$B$1315, "&lt;=" &amp; FK$1, DataRegularSeason20242025!$E$3:$E$1315, $A13)</f>
        <v>46</v>
      </c>
      <c r="FL13">
        <f>SUMIFS(DataRegularSeason20242025!$AA$3:$AA$1315,DataRegularSeason20242025!$B$3:$B$1315, "&lt;=" &amp; FL$1, DataRegularSeason20242025!$D$3:$D$1315, $A13)+SUMIFS(DataRegularSeason20242025!$AB$3:$AB$1315,DataRegularSeason20242025!$B$3:$B$1315, "&lt;=" &amp; FL$1, DataRegularSeason20242025!$E$3:$E$1315, $A13)</f>
        <v>46</v>
      </c>
      <c r="FM13">
        <f>SUMIFS(DataRegularSeason20242025!$AA$3:$AA$1315,DataRegularSeason20242025!$B$3:$B$1315, "&lt;=" &amp; FM$1, DataRegularSeason20242025!$D$3:$D$1315, $A13)+SUMIFS(DataRegularSeason20242025!$AB$3:$AB$1315,DataRegularSeason20242025!$B$3:$B$1315, "&lt;=" &amp; FM$1, DataRegularSeason20242025!$E$3:$E$1315, $A13)</f>
        <v>46</v>
      </c>
      <c r="FN13">
        <f>SUMIFS(DataRegularSeason20242025!$AA$3:$AA$1315,DataRegularSeason20242025!$B$3:$B$1315, "&lt;=" &amp; FN$1, DataRegularSeason20242025!$D$3:$D$1315, $A13)+SUMIFS(DataRegularSeason20242025!$AB$3:$AB$1315,DataRegularSeason20242025!$B$3:$B$1315, "&lt;=" &amp; FN$1, DataRegularSeason20242025!$E$3:$E$1315, $A13)</f>
        <v>46</v>
      </c>
      <c r="FO13">
        <f>SUMIFS(DataRegularSeason20242025!$AA$3:$AA$1315,DataRegularSeason20242025!$B$3:$B$1315, "&lt;=" &amp; FO$1, DataRegularSeason20242025!$D$3:$D$1315, $A13)+SUMIFS(DataRegularSeason20242025!$AB$3:$AB$1315,DataRegularSeason20242025!$B$3:$B$1315, "&lt;=" &amp; FO$1, DataRegularSeason20242025!$E$3:$E$1315, $A13)</f>
        <v>46</v>
      </c>
      <c r="FP13">
        <f>SUMIFS(DataRegularSeason20242025!$AA$3:$AA$1315,DataRegularSeason20242025!$B$3:$B$1315, "&lt;=" &amp; FP$1, DataRegularSeason20242025!$D$3:$D$1315, $A13)+SUMIFS(DataRegularSeason20242025!$AB$3:$AB$1315,DataRegularSeason20242025!$B$3:$B$1315, "&lt;=" &amp; FP$1, DataRegularSeason20242025!$E$3:$E$1315, $A13)</f>
        <v>46</v>
      </c>
      <c r="FQ13">
        <f>SUMIFS(DataRegularSeason20242025!$AA$3:$AA$1315,DataRegularSeason20242025!$B$3:$B$1315, "&lt;=" &amp; FQ$1, DataRegularSeason20242025!$D$3:$D$1315, $A13)+SUMIFS(DataRegularSeason20242025!$AB$3:$AB$1315,DataRegularSeason20242025!$B$3:$B$1315, "&lt;=" &amp; FQ$1, DataRegularSeason20242025!$E$3:$E$1315, $A13)</f>
        <v>46</v>
      </c>
      <c r="FR13">
        <f>SUMIFS(DataRegularSeason20242025!$AA$3:$AA$1315,DataRegularSeason20242025!$B$3:$B$1315, "&lt;=" &amp; FR$1, DataRegularSeason20242025!$D$3:$D$1315, $A13)+SUMIFS(DataRegularSeason20242025!$AB$3:$AB$1315,DataRegularSeason20242025!$B$3:$B$1315, "&lt;=" &amp; FR$1, DataRegularSeason20242025!$E$3:$E$1315, $A13)</f>
        <v>46</v>
      </c>
      <c r="FS13">
        <f>SUMIFS(DataRegularSeason20242025!$AA$3:$AA$1315,DataRegularSeason20242025!$B$3:$B$1315, "&lt;=" &amp; FS$1, DataRegularSeason20242025!$D$3:$D$1315, $A13)+SUMIFS(DataRegularSeason20242025!$AB$3:$AB$1315,DataRegularSeason20242025!$B$3:$B$1315, "&lt;=" &amp; FS$1, DataRegularSeason20242025!$E$3:$E$1315, $A13)</f>
        <v>46</v>
      </c>
      <c r="FT13">
        <f>SUMIFS(DataRegularSeason20242025!$AA$3:$AA$1315,DataRegularSeason20242025!$B$3:$B$1315, "&lt;=" &amp; FT$1, DataRegularSeason20242025!$D$3:$D$1315, $A13)+SUMIFS(DataRegularSeason20242025!$AB$3:$AB$1315,DataRegularSeason20242025!$B$3:$B$1315, "&lt;=" &amp; FT$1, DataRegularSeason20242025!$E$3:$E$1315, $A13)</f>
        <v>46</v>
      </c>
      <c r="FU13">
        <f>SUMIFS(DataRegularSeason20242025!$AA$3:$AA$1315,DataRegularSeason20242025!$B$3:$B$1315, "&lt;=" &amp; FU$1, DataRegularSeason20242025!$D$3:$D$1315, $A13)+SUMIFS(DataRegularSeason20242025!$AB$3:$AB$1315,DataRegularSeason20242025!$B$3:$B$1315, "&lt;=" &amp; FU$1, DataRegularSeason20242025!$E$3:$E$1315, $A13)</f>
        <v>46</v>
      </c>
      <c r="FV13">
        <f>SUMIFS(DataRegularSeason20242025!$AA$3:$AA$1315,DataRegularSeason20242025!$B$3:$B$1315, "&lt;=" &amp; FV$1, DataRegularSeason20242025!$D$3:$D$1315, $A13)+SUMIFS(DataRegularSeason20242025!$AB$3:$AB$1315,DataRegularSeason20242025!$B$3:$B$1315, "&lt;=" &amp; FV$1, DataRegularSeason20242025!$E$3:$E$1315, $A13)</f>
        <v>46</v>
      </c>
      <c r="FW13">
        <f>SUMIFS(DataRegularSeason20242025!$AA$3:$AA$1315,DataRegularSeason20242025!$B$3:$B$1315, "&lt;=" &amp; FW$1, DataRegularSeason20242025!$D$3:$D$1315, $A13)+SUMIFS(DataRegularSeason20242025!$AB$3:$AB$1315,DataRegularSeason20242025!$B$3:$B$1315, "&lt;=" &amp; FW$1, DataRegularSeason20242025!$E$3:$E$1315, $A13)</f>
        <v>46</v>
      </c>
      <c r="FX13">
        <f>SUMIFS(DataRegularSeason20242025!$AA$3:$AA$1315,DataRegularSeason20242025!$B$3:$B$1315, "&lt;=" &amp; FX$1, DataRegularSeason20242025!$D$3:$D$1315, $A13)+SUMIFS(DataRegularSeason20242025!$AB$3:$AB$1315,DataRegularSeason20242025!$B$3:$B$1315, "&lt;=" &amp; FX$1, DataRegularSeason20242025!$E$3:$E$1315, $A13)</f>
        <v>46</v>
      </c>
      <c r="FY13">
        <f>SUMIFS(DataRegularSeason20242025!$AA$3:$AA$1315,DataRegularSeason20242025!$B$3:$B$1315, "&lt;=" &amp; FY$1, DataRegularSeason20242025!$D$3:$D$1315, $A13)+SUMIFS(DataRegularSeason20242025!$AB$3:$AB$1315,DataRegularSeason20242025!$B$3:$B$1315, "&lt;=" &amp; FY$1, DataRegularSeason20242025!$E$3:$E$1315, $A13)</f>
        <v>46</v>
      </c>
      <c r="FZ13">
        <f>SUMIFS(DataRegularSeason20242025!$AA$3:$AA$1315,DataRegularSeason20242025!$B$3:$B$1315, "&lt;=" &amp; FZ$1, DataRegularSeason20242025!$D$3:$D$1315, $A13)+SUMIFS(DataRegularSeason20242025!$AB$3:$AB$1315,DataRegularSeason20242025!$B$3:$B$1315, "&lt;=" &amp; FZ$1, DataRegularSeason20242025!$E$3:$E$1315, $A13)</f>
        <v>46</v>
      </c>
      <c r="GA13">
        <f>SUMIFS(DataRegularSeason20242025!$AA$3:$AA$1315,DataRegularSeason20242025!$B$3:$B$1315, "&lt;=" &amp; GA$1, DataRegularSeason20242025!$D$3:$D$1315, $A13)+SUMIFS(DataRegularSeason20242025!$AB$3:$AB$1315,DataRegularSeason20242025!$B$3:$B$1315, "&lt;=" &amp; GA$1, DataRegularSeason20242025!$E$3:$E$1315, $A13)</f>
        <v>46</v>
      </c>
      <c r="GB13">
        <f>SUMIFS(DataRegularSeason20242025!$AA$3:$AA$1315,DataRegularSeason20242025!$B$3:$B$1315, "&lt;=" &amp; GB$1, DataRegularSeason20242025!$D$3:$D$1315, $A13)+SUMIFS(DataRegularSeason20242025!$AB$3:$AB$1315,DataRegularSeason20242025!$B$3:$B$1315, "&lt;=" &amp; GB$1, DataRegularSeason20242025!$E$3:$E$1315, $A13)</f>
        <v>46</v>
      </c>
      <c r="GC13">
        <f>SUMIFS(DataRegularSeason20242025!$AA$3:$AA$1315,DataRegularSeason20242025!$B$3:$B$1315, "&lt;=" &amp; GC$1, DataRegularSeason20242025!$D$3:$D$1315, $A13)+SUMIFS(DataRegularSeason20242025!$AB$3:$AB$1315,DataRegularSeason20242025!$B$3:$B$1315, "&lt;=" &amp; GC$1, DataRegularSeason20242025!$E$3:$E$1315, $A13)</f>
        <v>46</v>
      </c>
      <c r="GD13">
        <f>SUMIFS(DataRegularSeason20242025!$AA$3:$AA$1315,DataRegularSeason20242025!$B$3:$B$1315, "&lt;=" &amp; GD$1, DataRegularSeason20242025!$D$3:$D$1315, $A13)+SUMIFS(DataRegularSeason20242025!$AB$3:$AB$1315,DataRegularSeason20242025!$B$3:$B$1315, "&lt;=" &amp; GD$1, DataRegularSeason20242025!$E$3:$E$1315, $A13)</f>
        <v>46</v>
      </c>
      <c r="GE13">
        <f>SUMIFS(DataRegularSeason20242025!$AA$3:$AA$1315,DataRegularSeason20242025!$B$3:$B$1315, "&lt;=" &amp; GE$1, DataRegularSeason20242025!$D$3:$D$1315, $A13)+SUMIFS(DataRegularSeason20242025!$AB$3:$AB$1315,DataRegularSeason20242025!$B$3:$B$1315, "&lt;=" &amp; GE$1, DataRegularSeason20242025!$E$3:$E$1315, $A13)</f>
        <v>46</v>
      </c>
      <c r="GF13">
        <f>SUMIFS(DataRegularSeason20242025!$AA$3:$AA$1315,DataRegularSeason20242025!$B$3:$B$1315, "&lt;=" &amp; GF$1, DataRegularSeason20242025!$D$3:$D$1315, $A13)+SUMIFS(DataRegularSeason20242025!$AB$3:$AB$1315,DataRegularSeason20242025!$B$3:$B$1315, "&lt;=" &amp; GF$1, DataRegularSeason20242025!$E$3:$E$1315, $A13)</f>
        <v>46</v>
      </c>
      <c r="GG13">
        <f>SUMIFS(DataRegularSeason20242025!$AA$3:$AA$1315,DataRegularSeason20242025!$B$3:$B$1315, "&lt;=" &amp; GG$1, DataRegularSeason20242025!$D$3:$D$1315, $A13)+SUMIFS(DataRegularSeason20242025!$AB$3:$AB$1315,DataRegularSeason20242025!$B$3:$B$1315, "&lt;=" &amp; GG$1, DataRegularSeason20242025!$E$3:$E$1315, $A13)</f>
        <v>46</v>
      </c>
      <c r="GH13">
        <f>SUMIFS(DataRegularSeason20242025!$AA$3:$AA$1315,DataRegularSeason20242025!$B$3:$B$1315, "&lt;=" &amp; GH$1, DataRegularSeason20242025!$D$3:$D$1315, $A13)+SUMIFS(DataRegularSeason20242025!$AB$3:$AB$1315,DataRegularSeason20242025!$B$3:$B$1315, "&lt;=" &amp; GH$1, DataRegularSeason20242025!$E$3:$E$1315, $A13)</f>
        <v>46</v>
      </c>
      <c r="GI13">
        <f>SUMIFS(DataRegularSeason20242025!$AA$3:$AA$1315,DataRegularSeason20242025!$B$3:$B$1315, "&lt;=" &amp; GI$1, DataRegularSeason20242025!$D$3:$D$1315, $A13)+SUMIFS(DataRegularSeason20242025!$AB$3:$AB$1315,DataRegularSeason20242025!$B$3:$B$1315, "&lt;=" &amp; GI$1, DataRegularSeason20242025!$E$3:$E$1315, $A13)</f>
        <v>46</v>
      </c>
      <c r="GJ13">
        <f>SUMIFS(DataRegularSeason20242025!$AA$3:$AA$1315,DataRegularSeason20242025!$B$3:$B$1315, "&lt;=" &amp; GJ$1, DataRegularSeason20242025!$D$3:$D$1315, $A13)+SUMIFS(DataRegularSeason20242025!$AB$3:$AB$1315,DataRegularSeason20242025!$B$3:$B$1315, "&lt;=" &amp; GJ$1, DataRegularSeason20242025!$E$3:$E$1315, $A13)</f>
        <v>46</v>
      </c>
      <c r="GK13">
        <f>SUMIFS(DataRegularSeason20242025!$AA$3:$AA$1315,DataRegularSeason20242025!$B$3:$B$1315, "&lt;=" &amp; GK$1, DataRegularSeason20242025!$D$3:$D$1315, $A13)+SUMIFS(DataRegularSeason20242025!$AB$3:$AB$1315,DataRegularSeason20242025!$B$3:$B$1315, "&lt;=" &amp; GK$1, DataRegularSeason20242025!$E$3:$E$1315, $A13)</f>
        <v>46</v>
      </c>
      <c r="GL13">
        <f>SUMIFS(DataRegularSeason20242025!$AA$3:$AA$1315,DataRegularSeason20242025!$B$3:$B$1315, "&lt;=" &amp; GL$1, DataRegularSeason20242025!$D$3:$D$1315, $A13)+SUMIFS(DataRegularSeason20242025!$AB$3:$AB$1315,DataRegularSeason20242025!$B$3:$B$1315, "&lt;=" &amp; GL$1, DataRegularSeason20242025!$E$3:$E$1315, $A13)</f>
        <v>46</v>
      </c>
      <c r="GM13">
        <f>SUMIFS(DataRegularSeason20242025!$AA$3:$AA$1315,DataRegularSeason20242025!$B$3:$B$1315, "&lt;=" &amp; GM$1, DataRegularSeason20242025!$D$3:$D$1315, $A13)+SUMIFS(DataRegularSeason20242025!$AB$3:$AB$1315,DataRegularSeason20242025!$B$3:$B$1315, "&lt;=" &amp; GM$1, DataRegularSeason20242025!$E$3:$E$1315, $A13)</f>
        <v>46</v>
      </c>
      <c r="GN13">
        <f>SUMIFS(DataRegularSeason20242025!$AA$3:$AA$1315,DataRegularSeason20242025!$B$3:$B$1315, "&lt;=" &amp; GN$1, DataRegularSeason20242025!$D$3:$D$1315, $A13)+SUMIFS(DataRegularSeason20242025!$AB$3:$AB$1315,DataRegularSeason20242025!$B$3:$B$1315, "&lt;=" &amp; GN$1, DataRegularSeason20242025!$E$3:$E$1315, $A13)</f>
        <v>46</v>
      </c>
      <c r="GO13">
        <f>SUMIFS(DataRegularSeason20242025!$AA$3:$AA$1315,DataRegularSeason20242025!$B$3:$B$1315, "&lt;=" &amp; GO$1, DataRegularSeason20242025!$D$3:$D$1315, $A13)+SUMIFS(DataRegularSeason20242025!$AB$3:$AB$1315,DataRegularSeason20242025!$B$3:$B$1315, "&lt;=" &amp; GO$1, DataRegularSeason20242025!$E$3:$E$1315, $A13)</f>
        <v>46</v>
      </c>
      <c r="GP13">
        <f>SUMIFS(DataRegularSeason20242025!$AA$3:$AA$1315,DataRegularSeason20242025!$B$3:$B$1315, "&lt;=" &amp; GP$1, DataRegularSeason20242025!$D$3:$D$1315, $A13)+SUMIFS(DataRegularSeason20242025!$AB$3:$AB$1315,DataRegularSeason20242025!$B$3:$B$1315, "&lt;=" &amp; GP$1, DataRegularSeason20242025!$E$3:$E$1315, $A13)</f>
        <v>46</v>
      </c>
      <c r="GQ13">
        <f>SUMIFS(DataRegularSeason20242025!$AA$3:$AA$1315,DataRegularSeason20242025!$B$3:$B$1315, "&lt;=" &amp; GQ$1, DataRegularSeason20242025!$D$3:$D$1315, $A13)+SUMIFS(DataRegularSeason20242025!$AB$3:$AB$1315,DataRegularSeason20242025!$B$3:$B$1315, "&lt;=" &amp; GQ$1, DataRegularSeason20242025!$E$3:$E$1315, $A13)</f>
        <v>46</v>
      </c>
      <c r="GR13">
        <f>SUMIFS(DataRegularSeason20242025!$AA$3:$AA$1315,DataRegularSeason20242025!$B$3:$B$1315, "&lt;=" &amp; GR$1, DataRegularSeason20242025!$D$3:$D$1315, $A13)+SUMIFS(DataRegularSeason20242025!$AB$3:$AB$1315,DataRegularSeason20242025!$B$3:$B$1315, "&lt;=" &amp; GR$1, DataRegularSeason20242025!$E$3:$E$1315, $A13)</f>
        <v>46</v>
      </c>
      <c r="GS13">
        <f>SUMIFS(DataRegularSeason20242025!$AA$3:$AA$1315,DataRegularSeason20242025!$B$3:$B$1315, "&lt;=" &amp; GS$1, DataRegularSeason20242025!$D$3:$D$1315, $A13)+SUMIFS(DataRegularSeason20242025!$AB$3:$AB$1315,DataRegularSeason20242025!$B$3:$B$1315, "&lt;=" &amp; GS$1, DataRegularSeason20242025!$E$3:$E$1315, $A13)</f>
        <v>46</v>
      </c>
      <c r="GT13">
        <f>SUMIFS(DataRegularSeason20242025!$AA$3:$AA$1315,DataRegularSeason20242025!$B$3:$B$1315, "&lt;=" &amp; GT$1, DataRegularSeason20242025!$D$3:$D$1315, $A13)+SUMIFS(DataRegularSeason20242025!$AB$3:$AB$1315,DataRegularSeason20242025!$B$3:$B$1315, "&lt;=" &amp; GT$1, DataRegularSeason20242025!$E$3:$E$1315, $A13)</f>
        <v>46</v>
      </c>
      <c r="GU13">
        <f>SUMIFS(DataRegularSeason20242025!$AA$3:$AA$1315,DataRegularSeason20242025!$B$3:$B$1315, "&lt;=" &amp; GU$1, DataRegularSeason20242025!$D$3:$D$1315, $A13)+SUMIFS(DataRegularSeason20242025!$AB$3:$AB$1315,DataRegularSeason20242025!$B$3:$B$1315, "&lt;=" &amp; GU$1, DataRegularSeason20242025!$E$3:$E$1315, $A13)</f>
        <v>46</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17</v>
      </c>
      <c r="AW14">
        <f>SUMIFS(DataRegularSeason20242025!$AA$3:$AA$1315,DataRegularSeason20242025!$B$3:$B$1315, "&lt;=" &amp; AW$1, DataRegularSeason20242025!$D$3:$D$1315, $A14)+SUMIFS(DataRegularSeason20242025!$AB$3:$AB$1315,DataRegularSeason20242025!$B$3:$B$1315, "&lt;=" &amp; AW$1, DataRegularSeason20242025!$E$3:$E$1315, $A14)</f>
        <v>17</v>
      </c>
      <c r="AX14">
        <f>SUMIFS(DataRegularSeason20242025!$AA$3:$AA$1315,DataRegularSeason20242025!$B$3:$B$1315, "&lt;=" &amp; AX$1, DataRegularSeason20242025!$D$3:$D$1315, $A14)+SUMIFS(DataRegularSeason20242025!$AB$3:$AB$1315,DataRegularSeason20242025!$B$3:$B$1315, "&lt;=" &amp; AX$1, DataRegularSeason20242025!$E$3:$E$1315, $A14)</f>
        <v>17</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20</v>
      </c>
      <c r="BH14">
        <f>SUMIFS(DataRegularSeason20242025!$AA$3:$AA$1315,DataRegularSeason20242025!$B$3:$B$1315, "&lt;=" &amp; BH$1, DataRegularSeason20242025!$D$3:$D$1315, $A14)+SUMIFS(DataRegularSeason20242025!$AB$3:$AB$1315,DataRegularSeason20242025!$B$3:$B$1315, "&lt;=" &amp; BH$1, DataRegularSeason20242025!$E$3:$E$1315, $A14)</f>
        <v>20</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26</v>
      </c>
      <c r="BN14">
        <f>SUMIFS(DataRegularSeason20242025!$AA$3:$AA$1315,DataRegularSeason20242025!$B$3:$B$1315, "&lt;=" &amp; BN$1, DataRegularSeason20242025!$D$3:$D$1315, $A14)+SUMIFS(DataRegularSeason20242025!$AB$3:$AB$1315,DataRegularSeason20242025!$B$3:$B$1315, "&lt;=" &amp; BN$1, DataRegularSeason20242025!$E$3:$E$1315, $A14)</f>
        <v>26</v>
      </c>
      <c r="BO14">
        <f>SUMIFS(DataRegularSeason20242025!$AA$3:$AA$1315,DataRegularSeason20242025!$B$3:$B$1315, "&lt;=" &amp; BO$1, DataRegularSeason20242025!$D$3:$D$1315, $A14)+SUMIFS(DataRegularSeason20242025!$AB$3:$AB$1315,DataRegularSeason20242025!$B$3:$B$1315, "&lt;=" &amp; BO$1, DataRegularSeason20242025!$E$3:$E$1315, $A14)</f>
        <v>26</v>
      </c>
      <c r="BP14">
        <f>SUMIFS(DataRegularSeason20242025!$AA$3:$AA$1315,DataRegularSeason20242025!$B$3:$B$1315, "&lt;=" &amp; BP$1, DataRegularSeason20242025!$D$3:$D$1315, $A14)+SUMIFS(DataRegularSeason20242025!$AB$3:$AB$1315,DataRegularSeason20242025!$B$3:$B$1315, "&lt;=" &amp; BP$1, DataRegularSeason20242025!$E$3:$E$1315, $A14)</f>
        <v>26</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30</v>
      </c>
      <c r="BW14">
        <f>SUMIFS(DataRegularSeason20242025!$AA$3:$AA$1315,DataRegularSeason20242025!$B$3:$B$1315, "&lt;=" &amp; BW$1, DataRegularSeason20242025!$D$3:$D$1315, $A14)+SUMIFS(DataRegularSeason20242025!$AB$3:$AB$1315,DataRegularSeason20242025!$B$3:$B$1315, "&lt;=" &amp; BW$1, DataRegularSeason20242025!$E$3:$E$1315, $A14)</f>
        <v>30</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33</v>
      </c>
      <c r="CB14">
        <f>SUMIFS(DataRegularSeason20242025!$AA$3:$AA$1315,DataRegularSeason20242025!$B$3:$B$1315, "&lt;=" &amp; CB$1, DataRegularSeason20242025!$D$3:$D$1315, $A14)+SUMIFS(DataRegularSeason20242025!$AB$3:$AB$1315,DataRegularSeason20242025!$B$3:$B$1315, "&lt;=" &amp; CB$1, DataRegularSeason20242025!$E$3:$E$1315, $A14)</f>
        <v>33</v>
      </c>
      <c r="CC14">
        <f>SUMIFS(DataRegularSeason20242025!$AA$3:$AA$1315,DataRegularSeason20242025!$B$3:$B$1315, "&lt;=" &amp; CC$1, DataRegularSeason20242025!$D$3:$D$1315, $A14)+SUMIFS(DataRegularSeason20242025!$AB$3:$AB$1315,DataRegularSeason20242025!$B$3:$B$1315, "&lt;=" &amp; CC$1, DataRegularSeason20242025!$E$3:$E$1315, $A14)</f>
        <v>35</v>
      </c>
      <c r="CD14">
        <f>SUMIFS(DataRegularSeason20242025!$AA$3:$AA$1315,DataRegularSeason20242025!$B$3:$B$1315, "&lt;=" &amp; CD$1, DataRegularSeason20242025!$D$3:$D$1315, $A14)+SUMIFS(DataRegularSeason20242025!$AB$3:$AB$1315,DataRegularSeason20242025!$B$3:$B$1315, "&lt;=" &amp; CD$1, DataRegularSeason20242025!$E$3:$E$1315, $A14)</f>
        <v>35</v>
      </c>
      <c r="CE14">
        <f>SUMIFS(DataRegularSeason20242025!$AA$3:$AA$1315,DataRegularSeason20242025!$B$3:$B$1315, "&lt;=" &amp; CE$1, DataRegularSeason20242025!$D$3:$D$1315, $A14)+SUMIFS(DataRegularSeason20242025!$AB$3:$AB$1315,DataRegularSeason20242025!$B$3:$B$1315, "&lt;=" &amp; CE$1, DataRegularSeason20242025!$E$3:$E$1315, $A14)</f>
        <v>35</v>
      </c>
      <c r="CF14">
        <f>SUMIFS(DataRegularSeason20242025!$AA$3:$AA$1315,DataRegularSeason20242025!$B$3:$B$1315, "&lt;=" &amp; CF$1, DataRegularSeason20242025!$D$3:$D$1315, $A14)+SUMIFS(DataRegularSeason20242025!$AB$3:$AB$1315,DataRegularSeason20242025!$B$3:$B$1315, "&lt;=" &amp; CF$1, DataRegularSeason20242025!$E$3:$E$1315, $A14)</f>
        <v>35</v>
      </c>
      <c r="CG14">
        <f>SUMIFS(DataRegularSeason20242025!$AA$3:$AA$1315,DataRegularSeason20242025!$B$3:$B$1315, "&lt;=" &amp; CG$1, DataRegularSeason20242025!$D$3:$D$1315, $A14)+SUMIFS(DataRegularSeason20242025!$AB$3:$AB$1315,DataRegularSeason20242025!$B$3:$B$1315, "&lt;=" &amp; CG$1, DataRegularSeason20242025!$E$3:$E$1315, $A14)</f>
        <v>37</v>
      </c>
      <c r="CH14">
        <f>SUMIFS(DataRegularSeason20242025!$AA$3:$AA$1315,DataRegularSeason20242025!$B$3:$B$1315, "&lt;=" &amp; CH$1, DataRegularSeason20242025!$D$3:$D$1315, $A14)+SUMIFS(DataRegularSeason20242025!$AB$3:$AB$1315,DataRegularSeason20242025!$B$3:$B$1315, "&lt;=" &amp; CH$1, DataRegularSeason20242025!$E$3:$E$1315, $A14)</f>
        <v>37</v>
      </c>
      <c r="CI14">
        <f>SUMIFS(DataRegularSeason20242025!$AA$3:$AA$1315,DataRegularSeason20242025!$B$3:$B$1315, "&lt;=" &amp; CI$1, DataRegularSeason20242025!$D$3:$D$1315, $A14)+SUMIFS(DataRegularSeason20242025!$AB$3:$AB$1315,DataRegularSeason20242025!$B$3:$B$1315, "&lt;=" &amp; CI$1, DataRegularSeason20242025!$E$3:$E$1315, $A14)</f>
        <v>37</v>
      </c>
      <c r="CJ14">
        <f>SUMIFS(DataRegularSeason20242025!$AA$3:$AA$1315,DataRegularSeason20242025!$B$3:$B$1315, "&lt;=" &amp; CJ$1, DataRegularSeason20242025!$D$3:$D$1315, $A14)+SUMIFS(DataRegularSeason20242025!$AB$3:$AB$1315,DataRegularSeason20242025!$B$3:$B$1315, "&lt;=" &amp; CJ$1, DataRegularSeason20242025!$E$3:$E$1315, $A14)</f>
        <v>37</v>
      </c>
      <c r="CK14">
        <f>SUMIFS(DataRegularSeason20242025!$AA$3:$AA$1315,DataRegularSeason20242025!$B$3:$B$1315, "&lt;=" &amp; CK$1, DataRegularSeason20242025!$D$3:$D$1315, $A14)+SUMIFS(DataRegularSeason20242025!$AB$3:$AB$1315,DataRegularSeason20242025!$B$3:$B$1315, "&lt;=" &amp; CK$1, DataRegularSeason20242025!$E$3:$E$1315, $A14)</f>
        <v>37</v>
      </c>
      <c r="CL14">
        <f>SUMIFS(DataRegularSeason20242025!$AA$3:$AA$1315,DataRegularSeason20242025!$B$3:$B$1315, "&lt;=" &amp; CL$1, DataRegularSeason20242025!$D$3:$D$1315, $A14)+SUMIFS(DataRegularSeason20242025!$AB$3:$AB$1315,DataRegularSeason20242025!$B$3:$B$1315, "&lt;=" &amp; CL$1, DataRegularSeason20242025!$E$3:$E$1315, $A14)</f>
        <v>37</v>
      </c>
      <c r="CM14">
        <f>SUMIFS(DataRegularSeason20242025!$AA$3:$AA$1315,DataRegularSeason20242025!$B$3:$B$1315, "&lt;=" &amp; CM$1, DataRegularSeason20242025!$D$3:$D$1315, $A14)+SUMIFS(DataRegularSeason20242025!$AB$3:$AB$1315,DataRegularSeason20242025!$B$3:$B$1315, "&lt;=" &amp; CM$1, DataRegularSeason20242025!$E$3:$E$1315, $A14)</f>
        <v>39</v>
      </c>
      <c r="CN14">
        <f>SUMIFS(DataRegularSeason20242025!$AA$3:$AA$1315,DataRegularSeason20242025!$B$3:$B$1315, "&lt;=" &amp; CN$1, DataRegularSeason20242025!$D$3:$D$1315, $A14)+SUMIFS(DataRegularSeason20242025!$AB$3:$AB$1315,DataRegularSeason20242025!$B$3:$B$1315, "&lt;=" &amp; CN$1, DataRegularSeason20242025!$E$3:$E$1315, $A14)</f>
        <v>39</v>
      </c>
      <c r="CO14">
        <f>SUMIFS(DataRegularSeason20242025!$AA$3:$AA$1315,DataRegularSeason20242025!$B$3:$B$1315, "&lt;=" &amp; CO$1, DataRegularSeason20242025!$D$3:$D$1315, $A14)+SUMIFS(DataRegularSeason20242025!$AB$3:$AB$1315,DataRegularSeason20242025!$B$3:$B$1315, "&lt;=" &amp; CO$1, DataRegularSeason20242025!$E$3:$E$1315, $A14)</f>
        <v>39</v>
      </c>
      <c r="CP14">
        <f>SUMIFS(DataRegularSeason20242025!$AA$3:$AA$1315,DataRegularSeason20242025!$B$3:$B$1315, "&lt;=" &amp; CP$1, DataRegularSeason20242025!$D$3:$D$1315, $A14)+SUMIFS(DataRegularSeason20242025!$AB$3:$AB$1315,DataRegularSeason20242025!$B$3:$B$1315, "&lt;=" &amp; CP$1, DataRegularSeason20242025!$E$3:$E$1315, $A14)</f>
        <v>39</v>
      </c>
      <c r="CQ14">
        <f>SUMIFS(DataRegularSeason20242025!$AA$3:$AA$1315,DataRegularSeason20242025!$B$3:$B$1315, "&lt;=" &amp; CQ$1, DataRegularSeason20242025!$D$3:$D$1315, $A14)+SUMIFS(DataRegularSeason20242025!$AB$3:$AB$1315,DataRegularSeason20242025!$B$3:$B$1315, "&lt;=" &amp; CQ$1, DataRegularSeason20242025!$E$3:$E$1315, $A14)</f>
        <v>39</v>
      </c>
      <c r="CR14">
        <f>SUMIFS(DataRegularSeason20242025!$AA$3:$AA$1315,DataRegularSeason20242025!$B$3:$B$1315, "&lt;=" &amp; CR$1, DataRegularSeason20242025!$D$3:$D$1315, $A14)+SUMIFS(DataRegularSeason20242025!$AB$3:$AB$1315,DataRegularSeason20242025!$B$3:$B$1315, "&lt;=" &amp; CR$1, DataRegularSeason20242025!$E$3:$E$1315, $A14)</f>
        <v>40</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41</v>
      </c>
      <c r="CU14">
        <f>SUMIFS(DataRegularSeason20242025!$AA$3:$AA$1315,DataRegularSeason20242025!$B$3:$B$1315, "&lt;=" &amp; CU$1, DataRegularSeason20242025!$D$3:$D$1315, $A14)+SUMIFS(DataRegularSeason20242025!$AB$3:$AB$1315,DataRegularSeason20242025!$B$3:$B$1315, "&lt;=" &amp; CU$1, DataRegularSeason20242025!$E$3:$E$1315, $A14)</f>
        <v>41</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43</v>
      </c>
      <c r="DF15">
        <f>SUMIFS(DataRegularSeason20242025!$AA$3:$AA$1315,DataRegularSeason20242025!$B$3:$B$1315, "&lt;=" &amp; DF$1, DataRegularSeason20242025!$D$3:$D$1315, $A15)+SUMIFS(DataRegularSeason20242025!$AB$3:$AB$1315,DataRegularSeason20242025!$B$3:$B$1315, "&lt;=" &amp; DF$1, DataRegularSeason20242025!$E$3:$E$1315, $A15)</f>
        <v>43</v>
      </c>
      <c r="DG15">
        <f>SUMIFS(DataRegularSeason20242025!$AA$3:$AA$1315,DataRegularSeason20242025!$B$3:$B$1315, "&lt;=" &amp; DG$1, DataRegularSeason20242025!$D$3:$D$1315, $A15)+SUMIFS(DataRegularSeason20242025!$AB$3:$AB$1315,DataRegularSeason20242025!$B$3:$B$1315, "&lt;=" &amp; DG$1, DataRegularSeason20242025!$E$3:$E$1315, $A15)</f>
        <v>43</v>
      </c>
      <c r="DH15">
        <f>SUMIFS(DataRegularSeason20242025!$AA$3:$AA$1315,DataRegularSeason20242025!$B$3:$B$1315, "&lt;=" &amp; DH$1, DataRegularSeason20242025!$D$3:$D$1315, $A15)+SUMIFS(DataRegularSeason20242025!$AB$3:$AB$1315,DataRegularSeason20242025!$B$3:$B$1315, "&lt;=" &amp; DH$1, DataRegularSeason20242025!$E$3:$E$1315, $A15)</f>
        <v>43</v>
      </c>
      <c r="DI15">
        <f>SUMIFS(DataRegularSeason20242025!$AA$3:$AA$1315,DataRegularSeason20242025!$B$3:$B$1315, "&lt;=" &amp; DI$1, DataRegularSeason20242025!$D$3:$D$1315, $A15)+SUMIFS(DataRegularSeason20242025!$AB$3:$AB$1315,DataRegularSeason20242025!$B$3:$B$1315, "&lt;=" &amp; DI$1, DataRegularSeason20242025!$E$3:$E$1315, $A15)</f>
        <v>43</v>
      </c>
      <c r="DJ15">
        <f>SUMIFS(DataRegularSeason20242025!$AA$3:$AA$1315,DataRegularSeason20242025!$B$3:$B$1315, "&lt;=" &amp; DJ$1, DataRegularSeason20242025!$D$3:$D$1315, $A15)+SUMIFS(DataRegularSeason20242025!$AB$3:$AB$1315,DataRegularSeason20242025!$B$3:$B$1315, "&lt;=" &amp; DJ$1, DataRegularSeason20242025!$E$3:$E$1315, $A15)</f>
        <v>43</v>
      </c>
      <c r="DK15">
        <f>SUMIFS(DataRegularSeason20242025!$AA$3:$AA$1315,DataRegularSeason20242025!$B$3:$B$1315, "&lt;=" &amp; DK$1, DataRegularSeason20242025!$D$3:$D$1315, $A15)+SUMIFS(DataRegularSeason20242025!$AB$3:$AB$1315,DataRegularSeason20242025!$B$3:$B$1315, "&lt;=" &amp; DK$1, DataRegularSeason20242025!$E$3:$E$1315, $A15)</f>
        <v>43</v>
      </c>
      <c r="DL15">
        <f>SUMIFS(DataRegularSeason20242025!$AA$3:$AA$1315,DataRegularSeason20242025!$B$3:$B$1315, "&lt;=" &amp; DL$1, DataRegularSeason20242025!$D$3:$D$1315, $A15)+SUMIFS(DataRegularSeason20242025!$AB$3:$AB$1315,DataRegularSeason20242025!$B$3:$B$1315, "&lt;=" &amp; DL$1, DataRegularSeason20242025!$E$3:$E$1315, $A15)</f>
        <v>43</v>
      </c>
      <c r="DM15">
        <f>SUMIFS(DataRegularSeason20242025!$AA$3:$AA$1315,DataRegularSeason20242025!$B$3:$B$1315, "&lt;=" &amp; DM$1, DataRegularSeason20242025!$D$3:$D$1315, $A15)+SUMIFS(DataRegularSeason20242025!$AB$3:$AB$1315,DataRegularSeason20242025!$B$3:$B$1315, "&lt;=" &amp; DM$1, DataRegularSeason20242025!$E$3:$E$1315, $A15)</f>
        <v>43</v>
      </c>
      <c r="DN15">
        <f>SUMIFS(DataRegularSeason20242025!$AA$3:$AA$1315,DataRegularSeason20242025!$B$3:$B$1315, "&lt;=" &amp; DN$1, DataRegularSeason20242025!$D$3:$D$1315, $A15)+SUMIFS(DataRegularSeason20242025!$AB$3:$AB$1315,DataRegularSeason20242025!$B$3:$B$1315, "&lt;=" &amp; DN$1, DataRegularSeason20242025!$E$3:$E$1315, $A15)</f>
        <v>43</v>
      </c>
      <c r="DO15">
        <f>SUMIFS(DataRegularSeason20242025!$AA$3:$AA$1315,DataRegularSeason20242025!$B$3:$B$1315, "&lt;=" &amp; DO$1, DataRegularSeason20242025!$D$3:$D$1315, $A15)+SUMIFS(DataRegularSeason20242025!$AB$3:$AB$1315,DataRegularSeason20242025!$B$3:$B$1315, "&lt;=" &amp; DO$1, DataRegularSeason20242025!$E$3:$E$1315, $A15)</f>
        <v>43</v>
      </c>
      <c r="DP15">
        <f>SUMIFS(DataRegularSeason20242025!$AA$3:$AA$1315,DataRegularSeason20242025!$B$3:$B$1315, "&lt;=" &amp; DP$1, DataRegularSeason20242025!$D$3:$D$1315, $A15)+SUMIFS(DataRegularSeason20242025!$AB$3:$AB$1315,DataRegularSeason20242025!$B$3:$B$1315, "&lt;=" &amp; DP$1, DataRegularSeason20242025!$E$3:$E$1315, $A15)</f>
        <v>43</v>
      </c>
      <c r="DQ15">
        <f>SUMIFS(DataRegularSeason20242025!$AA$3:$AA$1315,DataRegularSeason20242025!$B$3:$B$1315, "&lt;=" &amp; DQ$1, DataRegularSeason20242025!$D$3:$D$1315, $A15)+SUMIFS(DataRegularSeason20242025!$AB$3:$AB$1315,DataRegularSeason20242025!$B$3:$B$1315, "&lt;=" &amp; DQ$1, DataRegularSeason20242025!$E$3:$E$1315, $A15)</f>
        <v>43</v>
      </c>
      <c r="DR15">
        <f>SUMIFS(DataRegularSeason20242025!$AA$3:$AA$1315,DataRegularSeason20242025!$B$3:$B$1315, "&lt;=" &amp; DR$1, DataRegularSeason20242025!$D$3:$D$1315, $A15)+SUMIFS(DataRegularSeason20242025!$AB$3:$AB$1315,DataRegularSeason20242025!$B$3:$B$1315, "&lt;=" &amp; DR$1, DataRegularSeason20242025!$E$3:$E$1315, $A15)</f>
        <v>43</v>
      </c>
      <c r="DS15">
        <f>SUMIFS(DataRegularSeason20242025!$AA$3:$AA$1315,DataRegularSeason20242025!$B$3:$B$1315, "&lt;=" &amp; DS$1, DataRegularSeason20242025!$D$3:$D$1315, $A15)+SUMIFS(DataRegularSeason20242025!$AB$3:$AB$1315,DataRegularSeason20242025!$B$3:$B$1315, "&lt;=" &amp; DS$1, DataRegularSeason20242025!$E$3:$E$1315, $A15)</f>
        <v>43</v>
      </c>
      <c r="DT15">
        <f>SUMIFS(DataRegularSeason20242025!$AA$3:$AA$1315,DataRegularSeason20242025!$B$3:$B$1315, "&lt;=" &amp; DT$1, DataRegularSeason20242025!$D$3:$D$1315, $A15)+SUMIFS(DataRegularSeason20242025!$AB$3:$AB$1315,DataRegularSeason20242025!$B$3:$B$1315, "&lt;=" &amp; DT$1, DataRegularSeason20242025!$E$3:$E$1315, $A15)</f>
        <v>43</v>
      </c>
      <c r="DU15">
        <f>SUMIFS(DataRegularSeason20242025!$AA$3:$AA$1315,DataRegularSeason20242025!$B$3:$B$1315, "&lt;=" &amp; DU$1, DataRegularSeason20242025!$D$3:$D$1315, $A15)+SUMIFS(DataRegularSeason20242025!$AB$3:$AB$1315,DataRegularSeason20242025!$B$3:$B$1315, "&lt;=" &amp; DU$1, DataRegularSeason20242025!$E$3:$E$1315, $A15)</f>
        <v>43</v>
      </c>
      <c r="DV15">
        <f>SUMIFS(DataRegularSeason20242025!$AA$3:$AA$1315,DataRegularSeason20242025!$B$3:$B$1315, "&lt;=" &amp; DV$1, DataRegularSeason20242025!$D$3:$D$1315, $A15)+SUMIFS(DataRegularSeason20242025!$AB$3:$AB$1315,DataRegularSeason20242025!$B$3:$B$1315, "&lt;=" &amp; DV$1, DataRegularSeason20242025!$E$3:$E$1315, $A15)</f>
        <v>43</v>
      </c>
      <c r="DW15">
        <f>SUMIFS(DataRegularSeason20242025!$AA$3:$AA$1315,DataRegularSeason20242025!$B$3:$B$1315, "&lt;=" &amp; DW$1, DataRegularSeason20242025!$D$3:$D$1315, $A15)+SUMIFS(DataRegularSeason20242025!$AB$3:$AB$1315,DataRegularSeason20242025!$B$3:$B$1315, "&lt;=" &amp; DW$1, DataRegularSeason20242025!$E$3:$E$1315, $A15)</f>
        <v>43</v>
      </c>
      <c r="DX15">
        <f>SUMIFS(DataRegularSeason20242025!$AA$3:$AA$1315,DataRegularSeason20242025!$B$3:$B$1315, "&lt;=" &amp; DX$1, DataRegularSeason20242025!$D$3:$D$1315, $A15)+SUMIFS(DataRegularSeason20242025!$AB$3:$AB$1315,DataRegularSeason20242025!$B$3:$B$1315, "&lt;=" &amp; DX$1, DataRegularSeason20242025!$E$3:$E$1315, $A15)</f>
        <v>43</v>
      </c>
      <c r="DY15">
        <f>SUMIFS(DataRegularSeason20242025!$AA$3:$AA$1315,DataRegularSeason20242025!$B$3:$B$1315, "&lt;=" &amp; DY$1, DataRegularSeason20242025!$D$3:$D$1315, $A15)+SUMIFS(DataRegularSeason20242025!$AB$3:$AB$1315,DataRegularSeason20242025!$B$3:$B$1315, "&lt;=" &amp; DY$1, DataRegularSeason20242025!$E$3:$E$1315, $A15)</f>
        <v>43</v>
      </c>
      <c r="DZ15">
        <f>SUMIFS(DataRegularSeason20242025!$AA$3:$AA$1315,DataRegularSeason20242025!$B$3:$B$1315, "&lt;=" &amp; DZ$1, DataRegularSeason20242025!$D$3:$D$1315, $A15)+SUMIFS(DataRegularSeason20242025!$AB$3:$AB$1315,DataRegularSeason20242025!$B$3:$B$1315, "&lt;=" &amp; DZ$1, DataRegularSeason20242025!$E$3:$E$1315, $A15)</f>
        <v>43</v>
      </c>
      <c r="EA15">
        <f>SUMIFS(DataRegularSeason20242025!$AA$3:$AA$1315,DataRegularSeason20242025!$B$3:$B$1315, "&lt;=" &amp; EA$1, DataRegularSeason20242025!$D$3:$D$1315, $A15)+SUMIFS(DataRegularSeason20242025!$AB$3:$AB$1315,DataRegularSeason20242025!$B$3:$B$1315, "&lt;=" &amp; EA$1, DataRegularSeason20242025!$E$3:$E$1315, $A15)</f>
        <v>43</v>
      </c>
      <c r="EB15">
        <f>SUMIFS(DataRegularSeason20242025!$AA$3:$AA$1315,DataRegularSeason20242025!$B$3:$B$1315, "&lt;=" &amp; EB$1, DataRegularSeason20242025!$D$3:$D$1315, $A15)+SUMIFS(DataRegularSeason20242025!$AB$3:$AB$1315,DataRegularSeason20242025!$B$3:$B$1315, "&lt;=" &amp; EB$1, DataRegularSeason20242025!$E$3:$E$1315, $A15)</f>
        <v>43</v>
      </c>
      <c r="EC15">
        <f>SUMIFS(DataRegularSeason20242025!$AA$3:$AA$1315,DataRegularSeason20242025!$B$3:$B$1315, "&lt;=" &amp; EC$1, DataRegularSeason20242025!$D$3:$D$1315, $A15)+SUMIFS(DataRegularSeason20242025!$AB$3:$AB$1315,DataRegularSeason20242025!$B$3:$B$1315, "&lt;=" &amp; EC$1, DataRegularSeason20242025!$E$3:$E$1315, $A15)</f>
        <v>43</v>
      </c>
      <c r="ED15">
        <f>SUMIFS(DataRegularSeason20242025!$AA$3:$AA$1315,DataRegularSeason20242025!$B$3:$B$1315, "&lt;=" &amp; ED$1, DataRegularSeason20242025!$D$3:$D$1315, $A15)+SUMIFS(DataRegularSeason20242025!$AB$3:$AB$1315,DataRegularSeason20242025!$B$3:$B$1315, "&lt;=" &amp; ED$1, DataRegularSeason20242025!$E$3:$E$1315, $A15)</f>
        <v>43</v>
      </c>
      <c r="EE15">
        <f>SUMIFS(DataRegularSeason20242025!$AA$3:$AA$1315,DataRegularSeason20242025!$B$3:$B$1315, "&lt;=" &amp; EE$1, DataRegularSeason20242025!$D$3:$D$1315, $A15)+SUMIFS(DataRegularSeason20242025!$AB$3:$AB$1315,DataRegularSeason20242025!$B$3:$B$1315, "&lt;=" &amp; EE$1, DataRegularSeason20242025!$E$3:$E$1315, $A15)</f>
        <v>43</v>
      </c>
      <c r="EF15">
        <f>SUMIFS(DataRegularSeason20242025!$AA$3:$AA$1315,DataRegularSeason20242025!$B$3:$B$1315, "&lt;=" &amp; EF$1, DataRegularSeason20242025!$D$3:$D$1315, $A15)+SUMIFS(DataRegularSeason20242025!$AB$3:$AB$1315,DataRegularSeason20242025!$B$3:$B$1315, "&lt;=" &amp; EF$1, DataRegularSeason20242025!$E$3:$E$1315, $A15)</f>
        <v>43</v>
      </c>
      <c r="EG15">
        <f>SUMIFS(DataRegularSeason20242025!$AA$3:$AA$1315,DataRegularSeason20242025!$B$3:$B$1315, "&lt;=" &amp; EG$1, DataRegularSeason20242025!$D$3:$D$1315, $A15)+SUMIFS(DataRegularSeason20242025!$AB$3:$AB$1315,DataRegularSeason20242025!$B$3:$B$1315, "&lt;=" &amp; EG$1, DataRegularSeason20242025!$E$3:$E$1315, $A15)</f>
        <v>43</v>
      </c>
      <c r="EH15">
        <f>SUMIFS(DataRegularSeason20242025!$AA$3:$AA$1315,DataRegularSeason20242025!$B$3:$B$1315, "&lt;=" &amp; EH$1, DataRegularSeason20242025!$D$3:$D$1315, $A15)+SUMIFS(DataRegularSeason20242025!$AB$3:$AB$1315,DataRegularSeason20242025!$B$3:$B$1315, "&lt;=" &amp; EH$1, DataRegularSeason20242025!$E$3:$E$1315, $A15)</f>
        <v>43</v>
      </c>
      <c r="EI15">
        <f>SUMIFS(DataRegularSeason20242025!$AA$3:$AA$1315,DataRegularSeason20242025!$B$3:$B$1315, "&lt;=" &amp; EI$1, DataRegularSeason20242025!$D$3:$D$1315, $A15)+SUMIFS(DataRegularSeason20242025!$AB$3:$AB$1315,DataRegularSeason20242025!$B$3:$B$1315, "&lt;=" &amp; EI$1, DataRegularSeason20242025!$E$3:$E$1315, $A15)</f>
        <v>43</v>
      </c>
      <c r="EJ15">
        <f>SUMIFS(DataRegularSeason20242025!$AA$3:$AA$1315,DataRegularSeason20242025!$B$3:$B$1315, "&lt;=" &amp; EJ$1, DataRegularSeason20242025!$D$3:$D$1315, $A15)+SUMIFS(DataRegularSeason20242025!$AB$3:$AB$1315,DataRegularSeason20242025!$B$3:$B$1315, "&lt;=" &amp; EJ$1, DataRegularSeason20242025!$E$3:$E$1315, $A15)</f>
        <v>43</v>
      </c>
      <c r="EK15">
        <f>SUMIFS(DataRegularSeason20242025!$AA$3:$AA$1315,DataRegularSeason20242025!$B$3:$B$1315, "&lt;=" &amp; EK$1, DataRegularSeason20242025!$D$3:$D$1315, $A15)+SUMIFS(DataRegularSeason20242025!$AB$3:$AB$1315,DataRegularSeason20242025!$B$3:$B$1315, "&lt;=" &amp; EK$1, DataRegularSeason20242025!$E$3:$E$1315, $A15)</f>
        <v>43</v>
      </c>
      <c r="EL15">
        <f>SUMIFS(DataRegularSeason20242025!$AA$3:$AA$1315,DataRegularSeason20242025!$B$3:$B$1315, "&lt;=" &amp; EL$1, DataRegularSeason20242025!$D$3:$D$1315, $A15)+SUMIFS(DataRegularSeason20242025!$AB$3:$AB$1315,DataRegularSeason20242025!$B$3:$B$1315, "&lt;=" &amp; EL$1, DataRegularSeason20242025!$E$3:$E$1315, $A15)</f>
        <v>43</v>
      </c>
      <c r="EM15">
        <f>SUMIFS(DataRegularSeason20242025!$AA$3:$AA$1315,DataRegularSeason20242025!$B$3:$B$1315, "&lt;=" &amp; EM$1, DataRegularSeason20242025!$D$3:$D$1315, $A15)+SUMIFS(DataRegularSeason20242025!$AB$3:$AB$1315,DataRegularSeason20242025!$B$3:$B$1315, "&lt;=" &amp; EM$1, DataRegularSeason20242025!$E$3:$E$1315, $A15)</f>
        <v>43</v>
      </c>
      <c r="EN15">
        <f>SUMIFS(DataRegularSeason20242025!$AA$3:$AA$1315,DataRegularSeason20242025!$B$3:$B$1315, "&lt;=" &amp; EN$1, DataRegularSeason20242025!$D$3:$D$1315, $A15)+SUMIFS(DataRegularSeason20242025!$AB$3:$AB$1315,DataRegularSeason20242025!$B$3:$B$1315, "&lt;=" &amp; EN$1, DataRegularSeason20242025!$E$3:$E$1315, $A15)</f>
        <v>43</v>
      </c>
      <c r="EO15">
        <f>SUMIFS(DataRegularSeason20242025!$AA$3:$AA$1315,DataRegularSeason20242025!$B$3:$B$1315, "&lt;=" &amp; EO$1, DataRegularSeason20242025!$D$3:$D$1315, $A15)+SUMIFS(DataRegularSeason20242025!$AB$3:$AB$1315,DataRegularSeason20242025!$B$3:$B$1315, "&lt;=" &amp; EO$1, DataRegularSeason20242025!$E$3:$E$1315, $A15)</f>
        <v>43</v>
      </c>
      <c r="EP15">
        <f>SUMIFS(DataRegularSeason20242025!$AA$3:$AA$1315,DataRegularSeason20242025!$B$3:$B$1315, "&lt;=" &amp; EP$1, DataRegularSeason20242025!$D$3:$D$1315, $A15)+SUMIFS(DataRegularSeason20242025!$AB$3:$AB$1315,DataRegularSeason20242025!$B$3:$B$1315, "&lt;=" &amp; EP$1, DataRegularSeason20242025!$E$3:$E$1315, $A15)</f>
        <v>43</v>
      </c>
      <c r="EQ15">
        <f>SUMIFS(DataRegularSeason20242025!$AA$3:$AA$1315,DataRegularSeason20242025!$B$3:$B$1315, "&lt;=" &amp; EQ$1, DataRegularSeason20242025!$D$3:$D$1315, $A15)+SUMIFS(DataRegularSeason20242025!$AB$3:$AB$1315,DataRegularSeason20242025!$B$3:$B$1315, "&lt;=" &amp; EQ$1, DataRegularSeason20242025!$E$3:$E$1315, $A15)</f>
        <v>43</v>
      </c>
      <c r="ER15">
        <f>SUMIFS(DataRegularSeason20242025!$AA$3:$AA$1315,DataRegularSeason20242025!$B$3:$B$1315, "&lt;=" &amp; ER$1, DataRegularSeason20242025!$D$3:$D$1315, $A15)+SUMIFS(DataRegularSeason20242025!$AB$3:$AB$1315,DataRegularSeason20242025!$B$3:$B$1315, "&lt;=" &amp; ER$1, DataRegularSeason20242025!$E$3:$E$1315, $A15)</f>
        <v>43</v>
      </c>
      <c r="ES15">
        <f>SUMIFS(DataRegularSeason20242025!$AA$3:$AA$1315,DataRegularSeason20242025!$B$3:$B$1315, "&lt;=" &amp; ES$1, DataRegularSeason20242025!$D$3:$D$1315, $A15)+SUMIFS(DataRegularSeason20242025!$AB$3:$AB$1315,DataRegularSeason20242025!$B$3:$B$1315, "&lt;=" &amp; ES$1, DataRegularSeason20242025!$E$3:$E$1315, $A15)</f>
        <v>43</v>
      </c>
      <c r="ET15">
        <f>SUMIFS(DataRegularSeason20242025!$AA$3:$AA$1315,DataRegularSeason20242025!$B$3:$B$1315, "&lt;=" &amp; ET$1, DataRegularSeason20242025!$D$3:$D$1315, $A15)+SUMIFS(DataRegularSeason20242025!$AB$3:$AB$1315,DataRegularSeason20242025!$B$3:$B$1315, "&lt;=" &amp; ET$1, DataRegularSeason20242025!$E$3:$E$1315, $A15)</f>
        <v>43</v>
      </c>
      <c r="EU15">
        <f>SUMIFS(DataRegularSeason20242025!$AA$3:$AA$1315,DataRegularSeason20242025!$B$3:$B$1315, "&lt;=" &amp; EU$1, DataRegularSeason20242025!$D$3:$D$1315, $A15)+SUMIFS(DataRegularSeason20242025!$AB$3:$AB$1315,DataRegularSeason20242025!$B$3:$B$1315, "&lt;=" &amp; EU$1, DataRegularSeason20242025!$E$3:$E$1315, $A15)</f>
        <v>43</v>
      </c>
      <c r="EV15">
        <f>SUMIFS(DataRegularSeason20242025!$AA$3:$AA$1315,DataRegularSeason20242025!$B$3:$B$1315, "&lt;=" &amp; EV$1, DataRegularSeason20242025!$D$3:$D$1315, $A15)+SUMIFS(DataRegularSeason20242025!$AB$3:$AB$1315,DataRegularSeason20242025!$B$3:$B$1315, "&lt;=" &amp; EV$1, DataRegularSeason20242025!$E$3:$E$1315, $A15)</f>
        <v>43</v>
      </c>
      <c r="EW15">
        <f>SUMIFS(DataRegularSeason20242025!$AA$3:$AA$1315,DataRegularSeason20242025!$B$3:$B$1315, "&lt;=" &amp; EW$1, DataRegularSeason20242025!$D$3:$D$1315, $A15)+SUMIFS(DataRegularSeason20242025!$AB$3:$AB$1315,DataRegularSeason20242025!$B$3:$B$1315, "&lt;=" &amp; EW$1, DataRegularSeason20242025!$E$3:$E$1315, $A15)</f>
        <v>43</v>
      </c>
      <c r="EX15">
        <f>SUMIFS(DataRegularSeason20242025!$AA$3:$AA$1315,DataRegularSeason20242025!$B$3:$B$1315, "&lt;=" &amp; EX$1, DataRegularSeason20242025!$D$3:$D$1315, $A15)+SUMIFS(DataRegularSeason20242025!$AB$3:$AB$1315,DataRegularSeason20242025!$B$3:$B$1315, "&lt;=" &amp; EX$1, DataRegularSeason20242025!$E$3:$E$1315, $A15)</f>
        <v>43</v>
      </c>
      <c r="EY15">
        <f>SUMIFS(DataRegularSeason20242025!$AA$3:$AA$1315,DataRegularSeason20242025!$B$3:$B$1315, "&lt;=" &amp; EY$1, DataRegularSeason20242025!$D$3:$D$1315, $A15)+SUMIFS(DataRegularSeason20242025!$AB$3:$AB$1315,DataRegularSeason20242025!$B$3:$B$1315, "&lt;=" &amp; EY$1, DataRegularSeason20242025!$E$3:$E$1315, $A15)</f>
        <v>43</v>
      </c>
      <c r="EZ15">
        <f>SUMIFS(DataRegularSeason20242025!$AA$3:$AA$1315,DataRegularSeason20242025!$B$3:$B$1315, "&lt;=" &amp; EZ$1, DataRegularSeason20242025!$D$3:$D$1315, $A15)+SUMIFS(DataRegularSeason20242025!$AB$3:$AB$1315,DataRegularSeason20242025!$B$3:$B$1315, "&lt;=" &amp; EZ$1, DataRegularSeason20242025!$E$3:$E$1315, $A15)</f>
        <v>43</v>
      </c>
      <c r="FA15">
        <f>SUMIFS(DataRegularSeason20242025!$AA$3:$AA$1315,DataRegularSeason20242025!$B$3:$B$1315, "&lt;=" &amp; FA$1, DataRegularSeason20242025!$D$3:$D$1315, $A15)+SUMIFS(DataRegularSeason20242025!$AB$3:$AB$1315,DataRegularSeason20242025!$B$3:$B$1315, "&lt;=" &amp; FA$1, DataRegularSeason20242025!$E$3:$E$1315, $A15)</f>
        <v>43</v>
      </c>
      <c r="FB15">
        <f>SUMIFS(DataRegularSeason20242025!$AA$3:$AA$1315,DataRegularSeason20242025!$B$3:$B$1315, "&lt;=" &amp; FB$1, DataRegularSeason20242025!$D$3:$D$1315, $A15)+SUMIFS(DataRegularSeason20242025!$AB$3:$AB$1315,DataRegularSeason20242025!$B$3:$B$1315, "&lt;=" &amp; FB$1, DataRegularSeason20242025!$E$3:$E$1315, $A15)</f>
        <v>43</v>
      </c>
      <c r="FC15">
        <f>SUMIFS(DataRegularSeason20242025!$AA$3:$AA$1315,DataRegularSeason20242025!$B$3:$B$1315, "&lt;=" &amp; FC$1, DataRegularSeason20242025!$D$3:$D$1315, $A15)+SUMIFS(DataRegularSeason20242025!$AB$3:$AB$1315,DataRegularSeason20242025!$B$3:$B$1315, "&lt;=" &amp; FC$1, DataRegularSeason20242025!$E$3:$E$1315, $A15)</f>
        <v>43</v>
      </c>
      <c r="FD15">
        <f>SUMIFS(DataRegularSeason20242025!$AA$3:$AA$1315,DataRegularSeason20242025!$B$3:$B$1315, "&lt;=" &amp; FD$1, DataRegularSeason20242025!$D$3:$D$1315, $A15)+SUMIFS(DataRegularSeason20242025!$AB$3:$AB$1315,DataRegularSeason20242025!$B$3:$B$1315, "&lt;=" &amp; FD$1, DataRegularSeason20242025!$E$3:$E$1315, $A15)</f>
        <v>43</v>
      </c>
      <c r="FE15">
        <f>SUMIFS(DataRegularSeason20242025!$AA$3:$AA$1315,DataRegularSeason20242025!$B$3:$B$1315, "&lt;=" &amp; FE$1, DataRegularSeason20242025!$D$3:$D$1315, $A15)+SUMIFS(DataRegularSeason20242025!$AB$3:$AB$1315,DataRegularSeason20242025!$B$3:$B$1315, "&lt;=" &amp; FE$1, DataRegularSeason20242025!$E$3:$E$1315, $A15)</f>
        <v>43</v>
      </c>
      <c r="FF15">
        <f>SUMIFS(DataRegularSeason20242025!$AA$3:$AA$1315,DataRegularSeason20242025!$B$3:$B$1315, "&lt;=" &amp; FF$1, DataRegularSeason20242025!$D$3:$D$1315, $A15)+SUMIFS(DataRegularSeason20242025!$AB$3:$AB$1315,DataRegularSeason20242025!$B$3:$B$1315, "&lt;=" &amp; FF$1, DataRegularSeason20242025!$E$3:$E$1315, $A15)</f>
        <v>43</v>
      </c>
      <c r="FG15">
        <f>SUMIFS(DataRegularSeason20242025!$AA$3:$AA$1315,DataRegularSeason20242025!$B$3:$B$1315, "&lt;=" &amp; FG$1, DataRegularSeason20242025!$D$3:$D$1315, $A15)+SUMIFS(DataRegularSeason20242025!$AB$3:$AB$1315,DataRegularSeason20242025!$B$3:$B$1315, "&lt;=" &amp; FG$1, DataRegularSeason20242025!$E$3:$E$1315, $A15)</f>
        <v>43</v>
      </c>
      <c r="FH15">
        <f>SUMIFS(DataRegularSeason20242025!$AA$3:$AA$1315,DataRegularSeason20242025!$B$3:$B$1315, "&lt;=" &amp; FH$1, DataRegularSeason20242025!$D$3:$D$1315, $A15)+SUMIFS(DataRegularSeason20242025!$AB$3:$AB$1315,DataRegularSeason20242025!$B$3:$B$1315, "&lt;=" &amp; FH$1, DataRegularSeason20242025!$E$3:$E$1315, $A15)</f>
        <v>43</v>
      </c>
      <c r="FI15">
        <f>SUMIFS(DataRegularSeason20242025!$AA$3:$AA$1315,DataRegularSeason20242025!$B$3:$B$1315, "&lt;=" &amp; FI$1, DataRegularSeason20242025!$D$3:$D$1315, $A15)+SUMIFS(DataRegularSeason20242025!$AB$3:$AB$1315,DataRegularSeason20242025!$B$3:$B$1315, "&lt;=" &amp; FI$1, DataRegularSeason20242025!$E$3:$E$1315, $A15)</f>
        <v>43</v>
      </c>
      <c r="FJ15">
        <f>SUMIFS(DataRegularSeason20242025!$AA$3:$AA$1315,DataRegularSeason20242025!$B$3:$B$1315, "&lt;=" &amp; FJ$1, DataRegularSeason20242025!$D$3:$D$1315, $A15)+SUMIFS(DataRegularSeason20242025!$AB$3:$AB$1315,DataRegularSeason20242025!$B$3:$B$1315, "&lt;=" &amp; FJ$1, DataRegularSeason20242025!$E$3:$E$1315, $A15)</f>
        <v>43</v>
      </c>
      <c r="FK15">
        <f>SUMIFS(DataRegularSeason20242025!$AA$3:$AA$1315,DataRegularSeason20242025!$B$3:$B$1315, "&lt;=" &amp; FK$1, DataRegularSeason20242025!$D$3:$D$1315, $A15)+SUMIFS(DataRegularSeason20242025!$AB$3:$AB$1315,DataRegularSeason20242025!$B$3:$B$1315, "&lt;=" &amp; FK$1, DataRegularSeason20242025!$E$3:$E$1315, $A15)</f>
        <v>43</v>
      </c>
      <c r="FL15">
        <f>SUMIFS(DataRegularSeason20242025!$AA$3:$AA$1315,DataRegularSeason20242025!$B$3:$B$1315, "&lt;=" &amp; FL$1, DataRegularSeason20242025!$D$3:$D$1315, $A15)+SUMIFS(DataRegularSeason20242025!$AB$3:$AB$1315,DataRegularSeason20242025!$B$3:$B$1315, "&lt;=" &amp; FL$1, DataRegularSeason20242025!$E$3:$E$1315, $A15)</f>
        <v>43</v>
      </c>
      <c r="FM15">
        <f>SUMIFS(DataRegularSeason20242025!$AA$3:$AA$1315,DataRegularSeason20242025!$B$3:$B$1315, "&lt;=" &amp; FM$1, DataRegularSeason20242025!$D$3:$D$1315, $A15)+SUMIFS(DataRegularSeason20242025!$AB$3:$AB$1315,DataRegularSeason20242025!$B$3:$B$1315, "&lt;=" &amp; FM$1, DataRegularSeason20242025!$E$3:$E$1315, $A15)</f>
        <v>43</v>
      </c>
      <c r="FN15">
        <f>SUMIFS(DataRegularSeason20242025!$AA$3:$AA$1315,DataRegularSeason20242025!$B$3:$B$1315, "&lt;=" &amp; FN$1, DataRegularSeason20242025!$D$3:$D$1315, $A15)+SUMIFS(DataRegularSeason20242025!$AB$3:$AB$1315,DataRegularSeason20242025!$B$3:$B$1315, "&lt;=" &amp; FN$1, DataRegularSeason20242025!$E$3:$E$1315, $A15)</f>
        <v>43</v>
      </c>
      <c r="FO15">
        <f>SUMIFS(DataRegularSeason20242025!$AA$3:$AA$1315,DataRegularSeason20242025!$B$3:$B$1315, "&lt;=" &amp; FO$1, DataRegularSeason20242025!$D$3:$D$1315, $A15)+SUMIFS(DataRegularSeason20242025!$AB$3:$AB$1315,DataRegularSeason20242025!$B$3:$B$1315, "&lt;=" &amp; FO$1, DataRegularSeason20242025!$E$3:$E$1315, $A15)</f>
        <v>43</v>
      </c>
      <c r="FP15">
        <f>SUMIFS(DataRegularSeason20242025!$AA$3:$AA$1315,DataRegularSeason20242025!$B$3:$B$1315, "&lt;=" &amp; FP$1, DataRegularSeason20242025!$D$3:$D$1315, $A15)+SUMIFS(DataRegularSeason20242025!$AB$3:$AB$1315,DataRegularSeason20242025!$B$3:$B$1315, "&lt;=" &amp; FP$1, DataRegularSeason20242025!$E$3:$E$1315, $A15)</f>
        <v>43</v>
      </c>
      <c r="FQ15">
        <f>SUMIFS(DataRegularSeason20242025!$AA$3:$AA$1315,DataRegularSeason20242025!$B$3:$B$1315, "&lt;=" &amp; FQ$1, DataRegularSeason20242025!$D$3:$D$1315, $A15)+SUMIFS(DataRegularSeason20242025!$AB$3:$AB$1315,DataRegularSeason20242025!$B$3:$B$1315, "&lt;=" &amp; FQ$1, DataRegularSeason20242025!$E$3:$E$1315, $A15)</f>
        <v>43</v>
      </c>
      <c r="FR15">
        <f>SUMIFS(DataRegularSeason20242025!$AA$3:$AA$1315,DataRegularSeason20242025!$B$3:$B$1315, "&lt;=" &amp; FR$1, DataRegularSeason20242025!$D$3:$D$1315, $A15)+SUMIFS(DataRegularSeason20242025!$AB$3:$AB$1315,DataRegularSeason20242025!$B$3:$B$1315, "&lt;=" &amp; FR$1, DataRegularSeason20242025!$E$3:$E$1315, $A15)</f>
        <v>43</v>
      </c>
      <c r="FS15">
        <f>SUMIFS(DataRegularSeason20242025!$AA$3:$AA$1315,DataRegularSeason20242025!$B$3:$B$1315, "&lt;=" &amp; FS$1, DataRegularSeason20242025!$D$3:$D$1315, $A15)+SUMIFS(DataRegularSeason20242025!$AB$3:$AB$1315,DataRegularSeason20242025!$B$3:$B$1315, "&lt;=" &amp; FS$1, DataRegularSeason20242025!$E$3:$E$1315, $A15)</f>
        <v>43</v>
      </c>
      <c r="FT15">
        <f>SUMIFS(DataRegularSeason20242025!$AA$3:$AA$1315,DataRegularSeason20242025!$B$3:$B$1315, "&lt;=" &amp; FT$1, DataRegularSeason20242025!$D$3:$D$1315, $A15)+SUMIFS(DataRegularSeason20242025!$AB$3:$AB$1315,DataRegularSeason20242025!$B$3:$B$1315, "&lt;=" &amp; FT$1, DataRegularSeason20242025!$E$3:$E$1315, $A15)</f>
        <v>43</v>
      </c>
      <c r="FU15">
        <f>SUMIFS(DataRegularSeason20242025!$AA$3:$AA$1315,DataRegularSeason20242025!$B$3:$B$1315, "&lt;=" &amp; FU$1, DataRegularSeason20242025!$D$3:$D$1315, $A15)+SUMIFS(DataRegularSeason20242025!$AB$3:$AB$1315,DataRegularSeason20242025!$B$3:$B$1315, "&lt;=" &amp; FU$1, DataRegularSeason20242025!$E$3:$E$1315, $A15)</f>
        <v>43</v>
      </c>
      <c r="FV15">
        <f>SUMIFS(DataRegularSeason20242025!$AA$3:$AA$1315,DataRegularSeason20242025!$B$3:$B$1315, "&lt;=" &amp; FV$1, DataRegularSeason20242025!$D$3:$D$1315, $A15)+SUMIFS(DataRegularSeason20242025!$AB$3:$AB$1315,DataRegularSeason20242025!$B$3:$B$1315, "&lt;=" &amp; FV$1, DataRegularSeason20242025!$E$3:$E$1315, $A15)</f>
        <v>43</v>
      </c>
      <c r="FW15">
        <f>SUMIFS(DataRegularSeason20242025!$AA$3:$AA$1315,DataRegularSeason20242025!$B$3:$B$1315, "&lt;=" &amp; FW$1, DataRegularSeason20242025!$D$3:$D$1315, $A15)+SUMIFS(DataRegularSeason20242025!$AB$3:$AB$1315,DataRegularSeason20242025!$B$3:$B$1315, "&lt;=" &amp; FW$1, DataRegularSeason20242025!$E$3:$E$1315, $A15)</f>
        <v>43</v>
      </c>
      <c r="FX15">
        <f>SUMIFS(DataRegularSeason20242025!$AA$3:$AA$1315,DataRegularSeason20242025!$B$3:$B$1315, "&lt;=" &amp; FX$1, DataRegularSeason20242025!$D$3:$D$1315, $A15)+SUMIFS(DataRegularSeason20242025!$AB$3:$AB$1315,DataRegularSeason20242025!$B$3:$B$1315, "&lt;=" &amp; FX$1, DataRegularSeason20242025!$E$3:$E$1315, $A15)</f>
        <v>43</v>
      </c>
      <c r="FY15">
        <f>SUMIFS(DataRegularSeason20242025!$AA$3:$AA$1315,DataRegularSeason20242025!$B$3:$B$1315, "&lt;=" &amp; FY$1, DataRegularSeason20242025!$D$3:$D$1315, $A15)+SUMIFS(DataRegularSeason20242025!$AB$3:$AB$1315,DataRegularSeason20242025!$B$3:$B$1315, "&lt;=" &amp; FY$1, DataRegularSeason20242025!$E$3:$E$1315, $A15)</f>
        <v>43</v>
      </c>
      <c r="FZ15">
        <f>SUMIFS(DataRegularSeason20242025!$AA$3:$AA$1315,DataRegularSeason20242025!$B$3:$B$1315, "&lt;=" &amp; FZ$1, DataRegularSeason20242025!$D$3:$D$1315, $A15)+SUMIFS(DataRegularSeason20242025!$AB$3:$AB$1315,DataRegularSeason20242025!$B$3:$B$1315, "&lt;=" &amp; FZ$1, DataRegularSeason20242025!$E$3:$E$1315, $A15)</f>
        <v>43</v>
      </c>
      <c r="GA15">
        <f>SUMIFS(DataRegularSeason20242025!$AA$3:$AA$1315,DataRegularSeason20242025!$B$3:$B$1315, "&lt;=" &amp; GA$1, DataRegularSeason20242025!$D$3:$D$1315, $A15)+SUMIFS(DataRegularSeason20242025!$AB$3:$AB$1315,DataRegularSeason20242025!$B$3:$B$1315, "&lt;=" &amp; GA$1, DataRegularSeason20242025!$E$3:$E$1315, $A15)</f>
        <v>43</v>
      </c>
      <c r="GB15">
        <f>SUMIFS(DataRegularSeason20242025!$AA$3:$AA$1315,DataRegularSeason20242025!$B$3:$B$1315, "&lt;=" &amp; GB$1, DataRegularSeason20242025!$D$3:$D$1315, $A15)+SUMIFS(DataRegularSeason20242025!$AB$3:$AB$1315,DataRegularSeason20242025!$B$3:$B$1315, "&lt;=" &amp; GB$1, DataRegularSeason20242025!$E$3:$E$1315, $A15)</f>
        <v>43</v>
      </c>
      <c r="GC15">
        <f>SUMIFS(DataRegularSeason20242025!$AA$3:$AA$1315,DataRegularSeason20242025!$B$3:$B$1315, "&lt;=" &amp; GC$1, DataRegularSeason20242025!$D$3:$D$1315, $A15)+SUMIFS(DataRegularSeason20242025!$AB$3:$AB$1315,DataRegularSeason20242025!$B$3:$B$1315, "&lt;=" &amp; GC$1, DataRegularSeason20242025!$E$3:$E$1315, $A15)</f>
        <v>43</v>
      </c>
      <c r="GD15">
        <f>SUMIFS(DataRegularSeason20242025!$AA$3:$AA$1315,DataRegularSeason20242025!$B$3:$B$1315, "&lt;=" &amp; GD$1, DataRegularSeason20242025!$D$3:$D$1315, $A15)+SUMIFS(DataRegularSeason20242025!$AB$3:$AB$1315,DataRegularSeason20242025!$B$3:$B$1315, "&lt;=" &amp; GD$1, DataRegularSeason20242025!$E$3:$E$1315, $A15)</f>
        <v>43</v>
      </c>
      <c r="GE15">
        <f>SUMIFS(DataRegularSeason20242025!$AA$3:$AA$1315,DataRegularSeason20242025!$B$3:$B$1315, "&lt;=" &amp; GE$1, DataRegularSeason20242025!$D$3:$D$1315, $A15)+SUMIFS(DataRegularSeason20242025!$AB$3:$AB$1315,DataRegularSeason20242025!$B$3:$B$1315, "&lt;=" &amp; GE$1, DataRegularSeason20242025!$E$3:$E$1315, $A15)</f>
        <v>43</v>
      </c>
      <c r="GF15">
        <f>SUMIFS(DataRegularSeason20242025!$AA$3:$AA$1315,DataRegularSeason20242025!$B$3:$B$1315, "&lt;=" &amp; GF$1, DataRegularSeason20242025!$D$3:$D$1315, $A15)+SUMIFS(DataRegularSeason20242025!$AB$3:$AB$1315,DataRegularSeason20242025!$B$3:$B$1315, "&lt;=" &amp; GF$1, DataRegularSeason20242025!$E$3:$E$1315, $A15)</f>
        <v>43</v>
      </c>
      <c r="GG15">
        <f>SUMIFS(DataRegularSeason20242025!$AA$3:$AA$1315,DataRegularSeason20242025!$B$3:$B$1315, "&lt;=" &amp; GG$1, DataRegularSeason20242025!$D$3:$D$1315, $A15)+SUMIFS(DataRegularSeason20242025!$AB$3:$AB$1315,DataRegularSeason20242025!$B$3:$B$1315, "&lt;=" &amp; GG$1, DataRegularSeason20242025!$E$3:$E$1315, $A15)</f>
        <v>43</v>
      </c>
      <c r="GH15">
        <f>SUMIFS(DataRegularSeason20242025!$AA$3:$AA$1315,DataRegularSeason20242025!$B$3:$B$1315, "&lt;=" &amp; GH$1, DataRegularSeason20242025!$D$3:$D$1315, $A15)+SUMIFS(DataRegularSeason20242025!$AB$3:$AB$1315,DataRegularSeason20242025!$B$3:$B$1315, "&lt;=" &amp; GH$1, DataRegularSeason20242025!$E$3:$E$1315, $A15)</f>
        <v>43</v>
      </c>
      <c r="GI15">
        <f>SUMIFS(DataRegularSeason20242025!$AA$3:$AA$1315,DataRegularSeason20242025!$B$3:$B$1315, "&lt;=" &amp; GI$1, DataRegularSeason20242025!$D$3:$D$1315, $A15)+SUMIFS(DataRegularSeason20242025!$AB$3:$AB$1315,DataRegularSeason20242025!$B$3:$B$1315, "&lt;=" &amp; GI$1, DataRegularSeason20242025!$E$3:$E$1315, $A15)</f>
        <v>43</v>
      </c>
      <c r="GJ15">
        <f>SUMIFS(DataRegularSeason20242025!$AA$3:$AA$1315,DataRegularSeason20242025!$B$3:$B$1315, "&lt;=" &amp; GJ$1, DataRegularSeason20242025!$D$3:$D$1315, $A15)+SUMIFS(DataRegularSeason20242025!$AB$3:$AB$1315,DataRegularSeason20242025!$B$3:$B$1315, "&lt;=" &amp; GJ$1, DataRegularSeason20242025!$E$3:$E$1315, $A15)</f>
        <v>43</v>
      </c>
      <c r="GK15">
        <f>SUMIFS(DataRegularSeason20242025!$AA$3:$AA$1315,DataRegularSeason20242025!$B$3:$B$1315, "&lt;=" &amp; GK$1, DataRegularSeason20242025!$D$3:$D$1315, $A15)+SUMIFS(DataRegularSeason20242025!$AB$3:$AB$1315,DataRegularSeason20242025!$B$3:$B$1315, "&lt;=" &amp; GK$1, DataRegularSeason20242025!$E$3:$E$1315, $A15)</f>
        <v>43</v>
      </c>
      <c r="GL15">
        <f>SUMIFS(DataRegularSeason20242025!$AA$3:$AA$1315,DataRegularSeason20242025!$B$3:$B$1315, "&lt;=" &amp; GL$1, DataRegularSeason20242025!$D$3:$D$1315, $A15)+SUMIFS(DataRegularSeason20242025!$AB$3:$AB$1315,DataRegularSeason20242025!$B$3:$B$1315, "&lt;=" &amp; GL$1, DataRegularSeason20242025!$E$3:$E$1315, $A15)</f>
        <v>43</v>
      </c>
      <c r="GM15">
        <f>SUMIFS(DataRegularSeason20242025!$AA$3:$AA$1315,DataRegularSeason20242025!$B$3:$B$1315, "&lt;=" &amp; GM$1, DataRegularSeason20242025!$D$3:$D$1315, $A15)+SUMIFS(DataRegularSeason20242025!$AB$3:$AB$1315,DataRegularSeason20242025!$B$3:$B$1315, "&lt;=" &amp; GM$1, DataRegularSeason20242025!$E$3:$E$1315, $A15)</f>
        <v>43</v>
      </c>
      <c r="GN15">
        <f>SUMIFS(DataRegularSeason20242025!$AA$3:$AA$1315,DataRegularSeason20242025!$B$3:$B$1315, "&lt;=" &amp; GN$1, DataRegularSeason20242025!$D$3:$D$1315, $A15)+SUMIFS(DataRegularSeason20242025!$AB$3:$AB$1315,DataRegularSeason20242025!$B$3:$B$1315, "&lt;=" &amp; GN$1, DataRegularSeason20242025!$E$3:$E$1315, $A15)</f>
        <v>43</v>
      </c>
      <c r="GO15">
        <f>SUMIFS(DataRegularSeason20242025!$AA$3:$AA$1315,DataRegularSeason20242025!$B$3:$B$1315, "&lt;=" &amp; GO$1, DataRegularSeason20242025!$D$3:$D$1315, $A15)+SUMIFS(DataRegularSeason20242025!$AB$3:$AB$1315,DataRegularSeason20242025!$B$3:$B$1315, "&lt;=" &amp; GO$1, DataRegularSeason20242025!$E$3:$E$1315, $A15)</f>
        <v>43</v>
      </c>
      <c r="GP15">
        <f>SUMIFS(DataRegularSeason20242025!$AA$3:$AA$1315,DataRegularSeason20242025!$B$3:$B$1315, "&lt;=" &amp; GP$1, DataRegularSeason20242025!$D$3:$D$1315, $A15)+SUMIFS(DataRegularSeason20242025!$AB$3:$AB$1315,DataRegularSeason20242025!$B$3:$B$1315, "&lt;=" &amp; GP$1, DataRegularSeason20242025!$E$3:$E$1315, $A15)</f>
        <v>43</v>
      </c>
      <c r="GQ15">
        <f>SUMIFS(DataRegularSeason20242025!$AA$3:$AA$1315,DataRegularSeason20242025!$B$3:$B$1315, "&lt;=" &amp; GQ$1, DataRegularSeason20242025!$D$3:$D$1315, $A15)+SUMIFS(DataRegularSeason20242025!$AB$3:$AB$1315,DataRegularSeason20242025!$B$3:$B$1315, "&lt;=" &amp; GQ$1, DataRegularSeason20242025!$E$3:$E$1315, $A15)</f>
        <v>43</v>
      </c>
      <c r="GR15">
        <f>SUMIFS(DataRegularSeason20242025!$AA$3:$AA$1315,DataRegularSeason20242025!$B$3:$B$1315, "&lt;=" &amp; GR$1, DataRegularSeason20242025!$D$3:$D$1315, $A15)+SUMIFS(DataRegularSeason20242025!$AB$3:$AB$1315,DataRegularSeason20242025!$B$3:$B$1315, "&lt;=" &amp; GR$1, DataRegularSeason20242025!$E$3:$E$1315, $A15)</f>
        <v>43</v>
      </c>
      <c r="GS15">
        <f>SUMIFS(DataRegularSeason20242025!$AA$3:$AA$1315,DataRegularSeason20242025!$B$3:$B$1315, "&lt;=" &amp; GS$1, DataRegularSeason20242025!$D$3:$D$1315, $A15)+SUMIFS(DataRegularSeason20242025!$AB$3:$AB$1315,DataRegularSeason20242025!$B$3:$B$1315, "&lt;=" &amp; GS$1, DataRegularSeason20242025!$E$3:$E$1315, $A15)</f>
        <v>43</v>
      </c>
      <c r="GT15">
        <f>SUMIFS(DataRegularSeason20242025!$AA$3:$AA$1315,DataRegularSeason20242025!$B$3:$B$1315, "&lt;=" &amp; GT$1, DataRegularSeason20242025!$D$3:$D$1315, $A15)+SUMIFS(DataRegularSeason20242025!$AB$3:$AB$1315,DataRegularSeason20242025!$B$3:$B$1315, "&lt;=" &amp; GT$1, DataRegularSeason20242025!$E$3:$E$1315, $A15)</f>
        <v>43</v>
      </c>
      <c r="GU15">
        <f>SUMIFS(DataRegularSeason20242025!$AA$3:$AA$1315,DataRegularSeason20242025!$B$3:$B$1315, "&lt;=" &amp; GU$1, DataRegularSeason20242025!$D$3:$D$1315, $A15)+SUMIFS(DataRegularSeason20242025!$AB$3:$AB$1315,DataRegularSeason20242025!$B$3:$B$1315, "&lt;=" &amp; GU$1, DataRegularSeason20242025!$E$3:$E$1315, $A15)</f>
        <v>43</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57</v>
      </c>
      <c r="DE27">
        <f>SUMIFS(DataRegularSeason20242025!$AA$3:$AA$1315,DataRegularSeason20242025!$B$3:$B$1315, "&lt;=" &amp; DE$1, DataRegularSeason20242025!$D$3:$D$1315, $A27)+SUMIFS(DataRegularSeason20242025!$AB$3:$AB$1315,DataRegularSeason20242025!$B$3:$B$1315, "&lt;=" &amp; DE$1, DataRegularSeason20242025!$E$3:$E$1315, $A27)</f>
        <v>57</v>
      </c>
      <c r="DF27">
        <f>SUMIFS(DataRegularSeason20242025!$AA$3:$AA$1315,DataRegularSeason20242025!$B$3:$B$1315, "&lt;=" &amp; DF$1, DataRegularSeason20242025!$D$3:$D$1315, $A27)+SUMIFS(DataRegularSeason20242025!$AB$3:$AB$1315,DataRegularSeason20242025!$B$3:$B$1315, "&lt;=" &amp; DF$1, DataRegularSeason20242025!$E$3:$E$1315, $A27)</f>
        <v>57</v>
      </c>
      <c r="DG27">
        <f>SUMIFS(DataRegularSeason20242025!$AA$3:$AA$1315,DataRegularSeason20242025!$B$3:$B$1315, "&lt;=" &amp; DG$1, DataRegularSeason20242025!$D$3:$D$1315, $A27)+SUMIFS(DataRegularSeason20242025!$AB$3:$AB$1315,DataRegularSeason20242025!$B$3:$B$1315, "&lt;=" &amp; DG$1, DataRegularSeason20242025!$E$3:$E$1315, $A27)</f>
        <v>57</v>
      </c>
      <c r="DH27">
        <f>SUMIFS(DataRegularSeason20242025!$AA$3:$AA$1315,DataRegularSeason20242025!$B$3:$B$1315, "&lt;=" &amp; DH$1, DataRegularSeason20242025!$D$3:$D$1315, $A27)+SUMIFS(DataRegularSeason20242025!$AB$3:$AB$1315,DataRegularSeason20242025!$B$3:$B$1315, "&lt;=" &amp; DH$1, DataRegularSeason20242025!$E$3:$E$1315, $A27)</f>
        <v>57</v>
      </c>
      <c r="DI27">
        <f>SUMIFS(DataRegularSeason20242025!$AA$3:$AA$1315,DataRegularSeason20242025!$B$3:$B$1315, "&lt;=" &amp; DI$1, DataRegularSeason20242025!$D$3:$D$1315, $A27)+SUMIFS(DataRegularSeason20242025!$AB$3:$AB$1315,DataRegularSeason20242025!$B$3:$B$1315, "&lt;=" &amp; DI$1, DataRegularSeason20242025!$E$3:$E$1315, $A27)</f>
        <v>57</v>
      </c>
      <c r="DJ27">
        <f>SUMIFS(DataRegularSeason20242025!$AA$3:$AA$1315,DataRegularSeason20242025!$B$3:$B$1315, "&lt;=" &amp; DJ$1, DataRegularSeason20242025!$D$3:$D$1315, $A27)+SUMIFS(DataRegularSeason20242025!$AB$3:$AB$1315,DataRegularSeason20242025!$B$3:$B$1315, "&lt;=" &amp; DJ$1, DataRegularSeason20242025!$E$3:$E$1315, $A27)</f>
        <v>57</v>
      </c>
      <c r="DK27">
        <f>SUMIFS(DataRegularSeason20242025!$AA$3:$AA$1315,DataRegularSeason20242025!$B$3:$B$1315, "&lt;=" &amp; DK$1, DataRegularSeason20242025!$D$3:$D$1315, $A27)+SUMIFS(DataRegularSeason20242025!$AB$3:$AB$1315,DataRegularSeason20242025!$B$3:$B$1315, "&lt;=" &amp; DK$1, DataRegularSeason20242025!$E$3:$E$1315, $A27)</f>
        <v>57</v>
      </c>
      <c r="DL27">
        <f>SUMIFS(DataRegularSeason20242025!$AA$3:$AA$1315,DataRegularSeason20242025!$B$3:$B$1315, "&lt;=" &amp; DL$1, DataRegularSeason20242025!$D$3:$D$1315, $A27)+SUMIFS(DataRegularSeason20242025!$AB$3:$AB$1315,DataRegularSeason20242025!$B$3:$B$1315, "&lt;=" &amp; DL$1, DataRegularSeason20242025!$E$3:$E$1315, $A27)</f>
        <v>57</v>
      </c>
      <c r="DM27">
        <f>SUMIFS(DataRegularSeason20242025!$AA$3:$AA$1315,DataRegularSeason20242025!$B$3:$B$1315, "&lt;=" &amp; DM$1, DataRegularSeason20242025!$D$3:$D$1315, $A27)+SUMIFS(DataRegularSeason20242025!$AB$3:$AB$1315,DataRegularSeason20242025!$B$3:$B$1315, "&lt;=" &amp; DM$1, DataRegularSeason20242025!$E$3:$E$1315, $A27)</f>
        <v>57</v>
      </c>
      <c r="DN27">
        <f>SUMIFS(DataRegularSeason20242025!$AA$3:$AA$1315,DataRegularSeason20242025!$B$3:$B$1315, "&lt;=" &amp; DN$1, DataRegularSeason20242025!$D$3:$D$1315, $A27)+SUMIFS(DataRegularSeason20242025!$AB$3:$AB$1315,DataRegularSeason20242025!$B$3:$B$1315, "&lt;=" &amp; DN$1, DataRegularSeason20242025!$E$3:$E$1315, $A27)</f>
        <v>57</v>
      </c>
      <c r="DO27">
        <f>SUMIFS(DataRegularSeason20242025!$AA$3:$AA$1315,DataRegularSeason20242025!$B$3:$B$1315, "&lt;=" &amp; DO$1, DataRegularSeason20242025!$D$3:$D$1315, $A27)+SUMIFS(DataRegularSeason20242025!$AB$3:$AB$1315,DataRegularSeason20242025!$B$3:$B$1315, "&lt;=" &amp; DO$1, DataRegularSeason20242025!$E$3:$E$1315, $A27)</f>
        <v>57</v>
      </c>
      <c r="DP27">
        <f>SUMIFS(DataRegularSeason20242025!$AA$3:$AA$1315,DataRegularSeason20242025!$B$3:$B$1315, "&lt;=" &amp; DP$1, DataRegularSeason20242025!$D$3:$D$1315, $A27)+SUMIFS(DataRegularSeason20242025!$AB$3:$AB$1315,DataRegularSeason20242025!$B$3:$B$1315, "&lt;=" &amp; DP$1, DataRegularSeason20242025!$E$3:$E$1315, $A27)</f>
        <v>57</v>
      </c>
      <c r="DQ27">
        <f>SUMIFS(DataRegularSeason20242025!$AA$3:$AA$1315,DataRegularSeason20242025!$B$3:$B$1315, "&lt;=" &amp; DQ$1, DataRegularSeason20242025!$D$3:$D$1315, $A27)+SUMIFS(DataRegularSeason20242025!$AB$3:$AB$1315,DataRegularSeason20242025!$B$3:$B$1315, "&lt;=" &amp; DQ$1, DataRegularSeason20242025!$E$3:$E$1315, $A27)</f>
        <v>57</v>
      </c>
      <c r="DR27">
        <f>SUMIFS(DataRegularSeason20242025!$AA$3:$AA$1315,DataRegularSeason20242025!$B$3:$B$1315, "&lt;=" &amp; DR$1, DataRegularSeason20242025!$D$3:$D$1315, $A27)+SUMIFS(DataRegularSeason20242025!$AB$3:$AB$1315,DataRegularSeason20242025!$B$3:$B$1315, "&lt;=" &amp; DR$1, DataRegularSeason20242025!$E$3:$E$1315, $A27)</f>
        <v>57</v>
      </c>
      <c r="DS27">
        <f>SUMIFS(DataRegularSeason20242025!$AA$3:$AA$1315,DataRegularSeason20242025!$B$3:$B$1315, "&lt;=" &amp; DS$1, DataRegularSeason20242025!$D$3:$D$1315, $A27)+SUMIFS(DataRegularSeason20242025!$AB$3:$AB$1315,DataRegularSeason20242025!$B$3:$B$1315, "&lt;=" &amp; DS$1, DataRegularSeason20242025!$E$3:$E$1315, $A27)</f>
        <v>57</v>
      </c>
      <c r="DT27">
        <f>SUMIFS(DataRegularSeason20242025!$AA$3:$AA$1315,DataRegularSeason20242025!$B$3:$B$1315, "&lt;=" &amp; DT$1, DataRegularSeason20242025!$D$3:$D$1315, $A27)+SUMIFS(DataRegularSeason20242025!$AB$3:$AB$1315,DataRegularSeason20242025!$B$3:$B$1315, "&lt;=" &amp; DT$1, DataRegularSeason20242025!$E$3:$E$1315, $A27)</f>
        <v>57</v>
      </c>
      <c r="DU27">
        <f>SUMIFS(DataRegularSeason20242025!$AA$3:$AA$1315,DataRegularSeason20242025!$B$3:$B$1315, "&lt;=" &amp; DU$1, DataRegularSeason20242025!$D$3:$D$1315, $A27)+SUMIFS(DataRegularSeason20242025!$AB$3:$AB$1315,DataRegularSeason20242025!$B$3:$B$1315, "&lt;=" &amp; DU$1, DataRegularSeason20242025!$E$3:$E$1315, $A27)</f>
        <v>57</v>
      </c>
      <c r="DV27">
        <f>SUMIFS(DataRegularSeason20242025!$AA$3:$AA$1315,DataRegularSeason20242025!$B$3:$B$1315, "&lt;=" &amp; DV$1, DataRegularSeason20242025!$D$3:$D$1315, $A27)+SUMIFS(DataRegularSeason20242025!$AB$3:$AB$1315,DataRegularSeason20242025!$B$3:$B$1315, "&lt;=" &amp; DV$1, DataRegularSeason20242025!$E$3:$E$1315, $A27)</f>
        <v>57</v>
      </c>
      <c r="DW27">
        <f>SUMIFS(DataRegularSeason20242025!$AA$3:$AA$1315,DataRegularSeason20242025!$B$3:$B$1315, "&lt;=" &amp; DW$1, DataRegularSeason20242025!$D$3:$D$1315, $A27)+SUMIFS(DataRegularSeason20242025!$AB$3:$AB$1315,DataRegularSeason20242025!$B$3:$B$1315, "&lt;=" &amp; DW$1, DataRegularSeason20242025!$E$3:$E$1315, $A27)</f>
        <v>57</v>
      </c>
      <c r="DX27">
        <f>SUMIFS(DataRegularSeason20242025!$AA$3:$AA$1315,DataRegularSeason20242025!$B$3:$B$1315, "&lt;=" &amp; DX$1, DataRegularSeason20242025!$D$3:$D$1315, $A27)+SUMIFS(DataRegularSeason20242025!$AB$3:$AB$1315,DataRegularSeason20242025!$B$3:$B$1315, "&lt;=" &amp; DX$1, DataRegularSeason20242025!$E$3:$E$1315, $A27)</f>
        <v>57</v>
      </c>
      <c r="DY27">
        <f>SUMIFS(DataRegularSeason20242025!$AA$3:$AA$1315,DataRegularSeason20242025!$B$3:$B$1315, "&lt;=" &amp; DY$1, DataRegularSeason20242025!$D$3:$D$1315, $A27)+SUMIFS(DataRegularSeason20242025!$AB$3:$AB$1315,DataRegularSeason20242025!$B$3:$B$1315, "&lt;=" &amp; DY$1, DataRegularSeason20242025!$E$3:$E$1315, $A27)</f>
        <v>57</v>
      </c>
      <c r="DZ27">
        <f>SUMIFS(DataRegularSeason20242025!$AA$3:$AA$1315,DataRegularSeason20242025!$B$3:$B$1315, "&lt;=" &amp; DZ$1, DataRegularSeason20242025!$D$3:$D$1315, $A27)+SUMIFS(DataRegularSeason20242025!$AB$3:$AB$1315,DataRegularSeason20242025!$B$3:$B$1315, "&lt;=" &amp; DZ$1, DataRegularSeason20242025!$E$3:$E$1315, $A27)</f>
        <v>57</v>
      </c>
      <c r="EA27">
        <f>SUMIFS(DataRegularSeason20242025!$AA$3:$AA$1315,DataRegularSeason20242025!$B$3:$B$1315, "&lt;=" &amp; EA$1, DataRegularSeason20242025!$D$3:$D$1315, $A27)+SUMIFS(DataRegularSeason20242025!$AB$3:$AB$1315,DataRegularSeason20242025!$B$3:$B$1315, "&lt;=" &amp; EA$1, DataRegularSeason20242025!$E$3:$E$1315, $A27)</f>
        <v>57</v>
      </c>
      <c r="EB27">
        <f>SUMIFS(DataRegularSeason20242025!$AA$3:$AA$1315,DataRegularSeason20242025!$B$3:$B$1315, "&lt;=" &amp; EB$1, DataRegularSeason20242025!$D$3:$D$1315, $A27)+SUMIFS(DataRegularSeason20242025!$AB$3:$AB$1315,DataRegularSeason20242025!$B$3:$B$1315, "&lt;=" &amp; EB$1, DataRegularSeason20242025!$E$3:$E$1315, $A27)</f>
        <v>57</v>
      </c>
      <c r="EC27">
        <f>SUMIFS(DataRegularSeason20242025!$AA$3:$AA$1315,DataRegularSeason20242025!$B$3:$B$1315, "&lt;=" &amp; EC$1, DataRegularSeason20242025!$D$3:$D$1315, $A27)+SUMIFS(DataRegularSeason20242025!$AB$3:$AB$1315,DataRegularSeason20242025!$B$3:$B$1315, "&lt;=" &amp; EC$1, DataRegularSeason20242025!$E$3:$E$1315, $A27)</f>
        <v>57</v>
      </c>
      <c r="ED27">
        <f>SUMIFS(DataRegularSeason20242025!$AA$3:$AA$1315,DataRegularSeason20242025!$B$3:$B$1315, "&lt;=" &amp; ED$1, DataRegularSeason20242025!$D$3:$D$1315, $A27)+SUMIFS(DataRegularSeason20242025!$AB$3:$AB$1315,DataRegularSeason20242025!$B$3:$B$1315, "&lt;=" &amp; ED$1, DataRegularSeason20242025!$E$3:$E$1315, $A27)</f>
        <v>57</v>
      </c>
      <c r="EE27">
        <f>SUMIFS(DataRegularSeason20242025!$AA$3:$AA$1315,DataRegularSeason20242025!$B$3:$B$1315, "&lt;=" &amp; EE$1, DataRegularSeason20242025!$D$3:$D$1315, $A27)+SUMIFS(DataRegularSeason20242025!$AB$3:$AB$1315,DataRegularSeason20242025!$B$3:$B$1315, "&lt;=" &amp; EE$1, DataRegularSeason20242025!$E$3:$E$1315, $A27)</f>
        <v>57</v>
      </c>
      <c r="EF27">
        <f>SUMIFS(DataRegularSeason20242025!$AA$3:$AA$1315,DataRegularSeason20242025!$B$3:$B$1315, "&lt;=" &amp; EF$1, DataRegularSeason20242025!$D$3:$D$1315, $A27)+SUMIFS(DataRegularSeason20242025!$AB$3:$AB$1315,DataRegularSeason20242025!$B$3:$B$1315, "&lt;=" &amp; EF$1, DataRegularSeason20242025!$E$3:$E$1315, $A27)</f>
        <v>57</v>
      </c>
      <c r="EG27">
        <f>SUMIFS(DataRegularSeason20242025!$AA$3:$AA$1315,DataRegularSeason20242025!$B$3:$B$1315, "&lt;=" &amp; EG$1, DataRegularSeason20242025!$D$3:$D$1315, $A27)+SUMIFS(DataRegularSeason20242025!$AB$3:$AB$1315,DataRegularSeason20242025!$B$3:$B$1315, "&lt;=" &amp; EG$1, DataRegularSeason20242025!$E$3:$E$1315, $A27)</f>
        <v>57</v>
      </c>
      <c r="EH27">
        <f>SUMIFS(DataRegularSeason20242025!$AA$3:$AA$1315,DataRegularSeason20242025!$B$3:$B$1315, "&lt;=" &amp; EH$1, DataRegularSeason20242025!$D$3:$D$1315, $A27)+SUMIFS(DataRegularSeason20242025!$AB$3:$AB$1315,DataRegularSeason20242025!$B$3:$B$1315, "&lt;=" &amp; EH$1, DataRegularSeason20242025!$E$3:$E$1315, $A27)</f>
        <v>57</v>
      </c>
      <c r="EI27">
        <f>SUMIFS(DataRegularSeason20242025!$AA$3:$AA$1315,DataRegularSeason20242025!$B$3:$B$1315, "&lt;=" &amp; EI$1, DataRegularSeason20242025!$D$3:$D$1315, $A27)+SUMIFS(DataRegularSeason20242025!$AB$3:$AB$1315,DataRegularSeason20242025!$B$3:$B$1315, "&lt;=" &amp; EI$1, DataRegularSeason20242025!$E$3:$E$1315, $A27)</f>
        <v>57</v>
      </c>
      <c r="EJ27">
        <f>SUMIFS(DataRegularSeason20242025!$AA$3:$AA$1315,DataRegularSeason20242025!$B$3:$B$1315, "&lt;=" &amp; EJ$1, DataRegularSeason20242025!$D$3:$D$1315, $A27)+SUMIFS(DataRegularSeason20242025!$AB$3:$AB$1315,DataRegularSeason20242025!$B$3:$B$1315, "&lt;=" &amp; EJ$1, DataRegularSeason20242025!$E$3:$E$1315, $A27)</f>
        <v>57</v>
      </c>
      <c r="EK27">
        <f>SUMIFS(DataRegularSeason20242025!$AA$3:$AA$1315,DataRegularSeason20242025!$B$3:$B$1315, "&lt;=" &amp; EK$1, DataRegularSeason20242025!$D$3:$D$1315, $A27)+SUMIFS(DataRegularSeason20242025!$AB$3:$AB$1315,DataRegularSeason20242025!$B$3:$B$1315, "&lt;=" &amp; EK$1, DataRegularSeason20242025!$E$3:$E$1315, $A27)</f>
        <v>57</v>
      </c>
      <c r="EL27">
        <f>SUMIFS(DataRegularSeason20242025!$AA$3:$AA$1315,DataRegularSeason20242025!$B$3:$B$1315, "&lt;=" &amp; EL$1, DataRegularSeason20242025!$D$3:$D$1315, $A27)+SUMIFS(DataRegularSeason20242025!$AB$3:$AB$1315,DataRegularSeason20242025!$B$3:$B$1315, "&lt;=" &amp; EL$1, DataRegularSeason20242025!$E$3:$E$1315, $A27)</f>
        <v>57</v>
      </c>
      <c r="EM27">
        <f>SUMIFS(DataRegularSeason20242025!$AA$3:$AA$1315,DataRegularSeason20242025!$B$3:$B$1315, "&lt;=" &amp; EM$1, DataRegularSeason20242025!$D$3:$D$1315, $A27)+SUMIFS(DataRegularSeason20242025!$AB$3:$AB$1315,DataRegularSeason20242025!$B$3:$B$1315, "&lt;=" &amp; EM$1, DataRegularSeason20242025!$E$3:$E$1315, $A27)</f>
        <v>57</v>
      </c>
      <c r="EN27">
        <f>SUMIFS(DataRegularSeason20242025!$AA$3:$AA$1315,DataRegularSeason20242025!$B$3:$B$1315, "&lt;=" &amp; EN$1, DataRegularSeason20242025!$D$3:$D$1315, $A27)+SUMIFS(DataRegularSeason20242025!$AB$3:$AB$1315,DataRegularSeason20242025!$B$3:$B$1315, "&lt;=" &amp; EN$1, DataRegularSeason20242025!$E$3:$E$1315, $A27)</f>
        <v>57</v>
      </c>
      <c r="EO27">
        <f>SUMIFS(DataRegularSeason20242025!$AA$3:$AA$1315,DataRegularSeason20242025!$B$3:$B$1315, "&lt;=" &amp; EO$1, DataRegularSeason20242025!$D$3:$D$1315, $A27)+SUMIFS(DataRegularSeason20242025!$AB$3:$AB$1315,DataRegularSeason20242025!$B$3:$B$1315, "&lt;=" &amp; EO$1, DataRegularSeason20242025!$E$3:$E$1315, $A27)</f>
        <v>57</v>
      </c>
      <c r="EP27">
        <f>SUMIFS(DataRegularSeason20242025!$AA$3:$AA$1315,DataRegularSeason20242025!$B$3:$B$1315, "&lt;=" &amp; EP$1, DataRegularSeason20242025!$D$3:$D$1315, $A27)+SUMIFS(DataRegularSeason20242025!$AB$3:$AB$1315,DataRegularSeason20242025!$B$3:$B$1315, "&lt;=" &amp; EP$1, DataRegularSeason20242025!$E$3:$E$1315, $A27)</f>
        <v>57</v>
      </c>
      <c r="EQ27">
        <f>SUMIFS(DataRegularSeason20242025!$AA$3:$AA$1315,DataRegularSeason20242025!$B$3:$B$1315, "&lt;=" &amp; EQ$1, DataRegularSeason20242025!$D$3:$D$1315, $A27)+SUMIFS(DataRegularSeason20242025!$AB$3:$AB$1315,DataRegularSeason20242025!$B$3:$B$1315, "&lt;=" &amp; EQ$1, DataRegularSeason20242025!$E$3:$E$1315, $A27)</f>
        <v>57</v>
      </c>
      <c r="ER27">
        <f>SUMIFS(DataRegularSeason20242025!$AA$3:$AA$1315,DataRegularSeason20242025!$B$3:$B$1315, "&lt;=" &amp; ER$1, DataRegularSeason20242025!$D$3:$D$1315, $A27)+SUMIFS(DataRegularSeason20242025!$AB$3:$AB$1315,DataRegularSeason20242025!$B$3:$B$1315, "&lt;=" &amp; ER$1, DataRegularSeason20242025!$E$3:$E$1315, $A27)</f>
        <v>57</v>
      </c>
      <c r="ES27">
        <f>SUMIFS(DataRegularSeason20242025!$AA$3:$AA$1315,DataRegularSeason20242025!$B$3:$B$1315, "&lt;=" &amp; ES$1, DataRegularSeason20242025!$D$3:$D$1315, $A27)+SUMIFS(DataRegularSeason20242025!$AB$3:$AB$1315,DataRegularSeason20242025!$B$3:$B$1315, "&lt;=" &amp; ES$1, DataRegularSeason20242025!$E$3:$E$1315, $A27)</f>
        <v>57</v>
      </c>
      <c r="ET27">
        <f>SUMIFS(DataRegularSeason20242025!$AA$3:$AA$1315,DataRegularSeason20242025!$B$3:$B$1315, "&lt;=" &amp; ET$1, DataRegularSeason20242025!$D$3:$D$1315, $A27)+SUMIFS(DataRegularSeason20242025!$AB$3:$AB$1315,DataRegularSeason20242025!$B$3:$B$1315, "&lt;=" &amp; ET$1, DataRegularSeason20242025!$E$3:$E$1315, $A27)</f>
        <v>57</v>
      </c>
      <c r="EU27">
        <f>SUMIFS(DataRegularSeason20242025!$AA$3:$AA$1315,DataRegularSeason20242025!$B$3:$B$1315, "&lt;=" &amp; EU$1, DataRegularSeason20242025!$D$3:$D$1315, $A27)+SUMIFS(DataRegularSeason20242025!$AB$3:$AB$1315,DataRegularSeason20242025!$B$3:$B$1315, "&lt;=" &amp; EU$1, DataRegularSeason20242025!$E$3:$E$1315, $A27)</f>
        <v>57</v>
      </c>
      <c r="EV27">
        <f>SUMIFS(DataRegularSeason20242025!$AA$3:$AA$1315,DataRegularSeason20242025!$B$3:$B$1315, "&lt;=" &amp; EV$1, DataRegularSeason20242025!$D$3:$D$1315, $A27)+SUMIFS(DataRegularSeason20242025!$AB$3:$AB$1315,DataRegularSeason20242025!$B$3:$B$1315, "&lt;=" &amp; EV$1, DataRegularSeason20242025!$E$3:$E$1315, $A27)</f>
        <v>57</v>
      </c>
      <c r="EW27">
        <f>SUMIFS(DataRegularSeason20242025!$AA$3:$AA$1315,DataRegularSeason20242025!$B$3:$B$1315, "&lt;=" &amp; EW$1, DataRegularSeason20242025!$D$3:$D$1315, $A27)+SUMIFS(DataRegularSeason20242025!$AB$3:$AB$1315,DataRegularSeason20242025!$B$3:$B$1315, "&lt;=" &amp; EW$1, DataRegularSeason20242025!$E$3:$E$1315, $A27)</f>
        <v>57</v>
      </c>
      <c r="EX27">
        <f>SUMIFS(DataRegularSeason20242025!$AA$3:$AA$1315,DataRegularSeason20242025!$B$3:$B$1315, "&lt;=" &amp; EX$1, DataRegularSeason20242025!$D$3:$D$1315, $A27)+SUMIFS(DataRegularSeason20242025!$AB$3:$AB$1315,DataRegularSeason20242025!$B$3:$B$1315, "&lt;=" &amp; EX$1, DataRegularSeason20242025!$E$3:$E$1315, $A27)</f>
        <v>57</v>
      </c>
      <c r="EY27">
        <f>SUMIFS(DataRegularSeason20242025!$AA$3:$AA$1315,DataRegularSeason20242025!$B$3:$B$1315, "&lt;=" &amp; EY$1, DataRegularSeason20242025!$D$3:$D$1315, $A27)+SUMIFS(DataRegularSeason20242025!$AB$3:$AB$1315,DataRegularSeason20242025!$B$3:$B$1315, "&lt;=" &amp; EY$1, DataRegularSeason20242025!$E$3:$E$1315, $A27)</f>
        <v>57</v>
      </c>
      <c r="EZ27">
        <f>SUMIFS(DataRegularSeason20242025!$AA$3:$AA$1315,DataRegularSeason20242025!$B$3:$B$1315, "&lt;=" &amp; EZ$1, DataRegularSeason20242025!$D$3:$D$1315, $A27)+SUMIFS(DataRegularSeason20242025!$AB$3:$AB$1315,DataRegularSeason20242025!$B$3:$B$1315, "&lt;=" &amp; EZ$1, DataRegularSeason20242025!$E$3:$E$1315, $A27)</f>
        <v>57</v>
      </c>
      <c r="FA27">
        <f>SUMIFS(DataRegularSeason20242025!$AA$3:$AA$1315,DataRegularSeason20242025!$B$3:$B$1315, "&lt;=" &amp; FA$1, DataRegularSeason20242025!$D$3:$D$1315, $A27)+SUMIFS(DataRegularSeason20242025!$AB$3:$AB$1315,DataRegularSeason20242025!$B$3:$B$1315, "&lt;=" &amp; FA$1, DataRegularSeason20242025!$E$3:$E$1315, $A27)</f>
        <v>57</v>
      </c>
      <c r="FB27">
        <f>SUMIFS(DataRegularSeason20242025!$AA$3:$AA$1315,DataRegularSeason20242025!$B$3:$B$1315, "&lt;=" &amp; FB$1, DataRegularSeason20242025!$D$3:$D$1315, $A27)+SUMIFS(DataRegularSeason20242025!$AB$3:$AB$1315,DataRegularSeason20242025!$B$3:$B$1315, "&lt;=" &amp; FB$1, DataRegularSeason20242025!$E$3:$E$1315, $A27)</f>
        <v>57</v>
      </c>
      <c r="FC27">
        <f>SUMIFS(DataRegularSeason20242025!$AA$3:$AA$1315,DataRegularSeason20242025!$B$3:$B$1315, "&lt;=" &amp; FC$1, DataRegularSeason20242025!$D$3:$D$1315, $A27)+SUMIFS(DataRegularSeason20242025!$AB$3:$AB$1315,DataRegularSeason20242025!$B$3:$B$1315, "&lt;=" &amp; FC$1, DataRegularSeason20242025!$E$3:$E$1315, $A27)</f>
        <v>57</v>
      </c>
      <c r="FD27">
        <f>SUMIFS(DataRegularSeason20242025!$AA$3:$AA$1315,DataRegularSeason20242025!$B$3:$B$1315, "&lt;=" &amp; FD$1, DataRegularSeason20242025!$D$3:$D$1315, $A27)+SUMIFS(DataRegularSeason20242025!$AB$3:$AB$1315,DataRegularSeason20242025!$B$3:$B$1315, "&lt;=" &amp; FD$1, DataRegularSeason20242025!$E$3:$E$1315, $A27)</f>
        <v>57</v>
      </c>
      <c r="FE27">
        <f>SUMIFS(DataRegularSeason20242025!$AA$3:$AA$1315,DataRegularSeason20242025!$B$3:$B$1315, "&lt;=" &amp; FE$1, DataRegularSeason20242025!$D$3:$D$1315, $A27)+SUMIFS(DataRegularSeason20242025!$AB$3:$AB$1315,DataRegularSeason20242025!$B$3:$B$1315, "&lt;=" &amp; FE$1, DataRegularSeason20242025!$E$3:$E$1315, $A27)</f>
        <v>57</v>
      </c>
      <c r="FF27">
        <f>SUMIFS(DataRegularSeason20242025!$AA$3:$AA$1315,DataRegularSeason20242025!$B$3:$B$1315, "&lt;=" &amp; FF$1, DataRegularSeason20242025!$D$3:$D$1315, $A27)+SUMIFS(DataRegularSeason20242025!$AB$3:$AB$1315,DataRegularSeason20242025!$B$3:$B$1315, "&lt;=" &amp; FF$1, DataRegularSeason20242025!$E$3:$E$1315, $A27)</f>
        <v>57</v>
      </c>
      <c r="FG27">
        <f>SUMIFS(DataRegularSeason20242025!$AA$3:$AA$1315,DataRegularSeason20242025!$B$3:$B$1315, "&lt;=" &amp; FG$1, DataRegularSeason20242025!$D$3:$D$1315, $A27)+SUMIFS(DataRegularSeason20242025!$AB$3:$AB$1315,DataRegularSeason20242025!$B$3:$B$1315, "&lt;=" &amp; FG$1, DataRegularSeason20242025!$E$3:$E$1315, $A27)</f>
        <v>57</v>
      </c>
      <c r="FH27">
        <f>SUMIFS(DataRegularSeason20242025!$AA$3:$AA$1315,DataRegularSeason20242025!$B$3:$B$1315, "&lt;=" &amp; FH$1, DataRegularSeason20242025!$D$3:$D$1315, $A27)+SUMIFS(DataRegularSeason20242025!$AB$3:$AB$1315,DataRegularSeason20242025!$B$3:$B$1315, "&lt;=" &amp; FH$1, DataRegularSeason20242025!$E$3:$E$1315, $A27)</f>
        <v>57</v>
      </c>
      <c r="FI27">
        <f>SUMIFS(DataRegularSeason20242025!$AA$3:$AA$1315,DataRegularSeason20242025!$B$3:$B$1315, "&lt;=" &amp; FI$1, DataRegularSeason20242025!$D$3:$D$1315, $A27)+SUMIFS(DataRegularSeason20242025!$AB$3:$AB$1315,DataRegularSeason20242025!$B$3:$B$1315, "&lt;=" &amp; FI$1, DataRegularSeason20242025!$E$3:$E$1315, $A27)</f>
        <v>57</v>
      </c>
      <c r="FJ27">
        <f>SUMIFS(DataRegularSeason20242025!$AA$3:$AA$1315,DataRegularSeason20242025!$B$3:$B$1315, "&lt;=" &amp; FJ$1, DataRegularSeason20242025!$D$3:$D$1315, $A27)+SUMIFS(DataRegularSeason20242025!$AB$3:$AB$1315,DataRegularSeason20242025!$B$3:$B$1315, "&lt;=" &amp; FJ$1, DataRegularSeason20242025!$E$3:$E$1315, $A27)</f>
        <v>57</v>
      </c>
      <c r="FK27">
        <f>SUMIFS(DataRegularSeason20242025!$AA$3:$AA$1315,DataRegularSeason20242025!$B$3:$B$1315, "&lt;=" &amp; FK$1, DataRegularSeason20242025!$D$3:$D$1315, $A27)+SUMIFS(DataRegularSeason20242025!$AB$3:$AB$1315,DataRegularSeason20242025!$B$3:$B$1315, "&lt;=" &amp; FK$1, DataRegularSeason20242025!$E$3:$E$1315, $A27)</f>
        <v>57</v>
      </c>
      <c r="FL27">
        <f>SUMIFS(DataRegularSeason20242025!$AA$3:$AA$1315,DataRegularSeason20242025!$B$3:$B$1315, "&lt;=" &amp; FL$1, DataRegularSeason20242025!$D$3:$D$1315, $A27)+SUMIFS(DataRegularSeason20242025!$AB$3:$AB$1315,DataRegularSeason20242025!$B$3:$B$1315, "&lt;=" &amp; FL$1, DataRegularSeason20242025!$E$3:$E$1315, $A27)</f>
        <v>57</v>
      </c>
      <c r="FM27">
        <f>SUMIFS(DataRegularSeason20242025!$AA$3:$AA$1315,DataRegularSeason20242025!$B$3:$B$1315, "&lt;=" &amp; FM$1, DataRegularSeason20242025!$D$3:$D$1315, $A27)+SUMIFS(DataRegularSeason20242025!$AB$3:$AB$1315,DataRegularSeason20242025!$B$3:$B$1315, "&lt;=" &amp; FM$1, DataRegularSeason20242025!$E$3:$E$1315, $A27)</f>
        <v>57</v>
      </c>
      <c r="FN27">
        <f>SUMIFS(DataRegularSeason20242025!$AA$3:$AA$1315,DataRegularSeason20242025!$B$3:$B$1315, "&lt;=" &amp; FN$1, DataRegularSeason20242025!$D$3:$D$1315, $A27)+SUMIFS(DataRegularSeason20242025!$AB$3:$AB$1315,DataRegularSeason20242025!$B$3:$B$1315, "&lt;=" &amp; FN$1, DataRegularSeason20242025!$E$3:$E$1315, $A27)</f>
        <v>57</v>
      </c>
      <c r="FO27">
        <f>SUMIFS(DataRegularSeason20242025!$AA$3:$AA$1315,DataRegularSeason20242025!$B$3:$B$1315, "&lt;=" &amp; FO$1, DataRegularSeason20242025!$D$3:$D$1315, $A27)+SUMIFS(DataRegularSeason20242025!$AB$3:$AB$1315,DataRegularSeason20242025!$B$3:$B$1315, "&lt;=" &amp; FO$1, DataRegularSeason20242025!$E$3:$E$1315, $A27)</f>
        <v>57</v>
      </c>
      <c r="FP27">
        <f>SUMIFS(DataRegularSeason20242025!$AA$3:$AA$1315,DataRegularSeason20242025!$B$3:$B$1315, "&lt;=" &amp; FP$1, DataRegularSeason20242025!$D$3:$D$1315, $A27)+SUMIFS(DataRegularSeason20242025!$AB$3:$AB$1315,DataRegularSeason20242025!$B$3:$B$1315, "&lt;=" &amp; FP$1, DataRegularSeason20242025!$E$3:$E$1315, $A27)</f>
        <v>57</v>
      </c>
      <c r="FQ27">
        <f>SUMIFS(DataRegularSeason20242025!$AA$3:$AA$1315,DataRegularSeason20242025!$B$3:$B$1315, "&lt;=" &amp; FQ$1, DataRegularSeason20242025!$D$3:$D$1315, $A27)+SUMIFS(DataRegularSeason20242025!$AB$3:$AB$1315,DataRegularSeason20242025!$B$3:$B$1315, "&lt;=" &amp; FQ$1, DataRegularSeason20242025!$E$3:$E$1315, $A27)</f>
        <v>57</v>
      </c>
      <c r="FR27">
        <f>SUMIFS(DataRegularSeason20242025!$AA$3:$AA$1315,DataRegularSeason20242025!$B$3:$B$1315, "&lt;=" &amp; FR$1, DataRegularSeason20242025!$D$3:$D$1315, $A27)+SUMIFS(DataRegularSeason20242025!$AB$3:$AB$1315,DataRegularSeason20242025!$B$3:$B$1315, "&lt;=" &amp; FR$1, DataRegularSeason20242025!$E$3:$E$1315, $A27)</f>
        <v>57</v>
      </c>
      <c r="FS27">
        <f>SUMIFS(DataRegularSeason20242025!$AA$3:$AA$1315,DataRegularSeason20242025!$B$3:$B$1315, "&lt;=" &amp; FS$1, DataRegularSeason20242025!$D$3:$D$1315, $A27)+SUMIFS(DataRegularSeason20242025!$AB$3:$AB$1315,DataRegularSeason20242025!$B$3:$B$1315, "&lt;=" &amp; FS$1, DataRegularSeason20242025!$E$3:$E$1315, $A27)</f>
        <v>57</v>
      </c>
      <c r="FT27">
        <f>SUMIFS(DataRegularSeason20242025!$AA$3:$AA$1315,DataRegularSeason20242025!$B$3:$B$1315, "&lt;=" &amp; FT$1, DataRegularSeason20242025!$D$3:$D$1315, $A27)+SUMIFS(DataRegularSeason20242025!$AB$3:$AB$1315,DataRegularSeason20242025!$B$3:$B$1315, "&lt;=" &amp; FT$1, DataRegularSeason20242025!$E$3:$E$1315, $A27)</f>
        <v>57</v>
      </c>
      <c r="FU27">
        <f>SUMIFS(DataRegularSeason20242025!$AA$3:$AA$1315,DataRegularSeason20242025!$B$3:$B$1315, "&lt;=" &amp; FU$1, DataRegularSeason20242025!$D$3:$D$1315, $A27)+SUMIFS(DataRegularSeason20242025!$AB$3:$AB$1315,DataRegularSeason20242025!$B$3:$B$1315, "&lt;=" &amp; FU$1, DataRegularSeason20242025!$E$3:$E$1315, $A27)</f>
        <v>57</v>
      </c>
      <c r="FV27">
        <f>SUMIFS(DataRegularSeason20242025!$AA$3:$AA$1315,DataRegularSeason20242025!$B$3:$B$1315, "&lt;=" &amp; FV$1, DataRegularSeason20242025!$D$3:$D$1315, $A27)+SUMIFS(DataRegularSeason20242025!$AB$3:$AB$1315,DataRegularSeason20242025!$B$3:$B$1315, "&lt;=" &amp; FV$1, DataRegularSeason20242025!$E$3:$E$1315, $A27)</f>
        <v>57</v>
      </c>
      <c r="FW27">
        <f>SUMIFS(DataRegularSeason20242025!$AA$3:$AA$1315,DataRegularSeason20242025!$B$3:$B$1315, "&lt;=" &amp; FW$1, DataRegularSeason20242025!$D$3:$D$1315, $A27)+SUMIFS(DataRegularSeason20242025!$AB$3:$AB$1315,DataRegularSeason20242025!$B$3:$B$1315, "&lt;=" &amp; FW$1, DataRegularSeason20242025!$E$3:$E$1315, $A27)</f>
        <v>57</v>
      </c>
      <c r="FX27">
        <f>SUMIFS(DataRegularSeason20242025!$AA$3:$AA$1315,DataRegularSeason20242025!$B$3:$B$1315, "&lt;=" &amp; FX$1, DataRegularSeason20242025!$D$3:$D$1315, $A27)+SUMIFS(DataRegularSeason20242025!$AB$3:$AB$1315,DataRegularSeason20242025!$B$3:$B$1315, "&lt;=" &amp; FX$1, DataRegularSeason20242025!$E$3:$E$1315, $A27)</f>
        <v>57</v>
      </c>
      <c r="FY27">
        <f>SUMIFS(DataRegularSeason20242025!$AA$3:$AA$1315,DataRegularSeason20242025!$B$3:$B$1315, "&lt;=" &amp; FY$1, DataRegularSeason20242025!$D$3:$D$1315, $A27)+SUMIFS(DataRegularSeason20242025!$AB$3:$AB$1315,DataRegularSeason20242025!$B$3:$B$1315, "&lt;=" &amp; FY$1, DataRegularSeason20242025!$E$3:$E$1315, $A27)</f>
        <v>57</v>
      </c>
      <c r="FZ27">
        <f>SUMIFS(DataRegularSeason20242025!$AA$3:$AA$1315,DataRegularSeason20242025!$B$3:$B$1315, "&lt;=" &amp; FZ$1, DataRegularSeason20242025!$D$3:$D$1315, $A27)+SUMIFS(DataRegularSeason20242025!$AB$3:$AB$1315,DataRegularSeason20242025!$B$3:$B$1315, "&lt;=" &amp; FZ$1, DataRegularSeason20242025!$E$3:$E$1315, $A27)</f>
        <v>57</v>
      </c>
      <c r="GA27">
        <f>SUMIFS(DataRegularSeason20242025!$AA$3:$AA$1315,DataRegularSeason20242025!$B$3:$B$1315, "&lt;=" &amp; GA$1, DataRegularSeason20242025!$D$3:$D$1315, $A27)+SUMIFS(DataRegularSeason20242025!$AB$3:$AB$1315,DataRegularSeason20242025!$B$3:$B$1315, "&lt;=" &amp; GA$1, DataRegularSeason20242025!$E$3:$E$1315, $A27)</f>
        <v>57</v>
      </c>
      <c r="GB27">
        <f>SUMIFS(DataRegularSeason20242025!$AA$3:$AA$1315,DataRegularSeason20242025!$B$3:$B$1315, "&lt;=" &amp; GB$1, DataRegularSeason20242025!$D$3:$D$1315, $A27)+SUMIFS(DataRegularSeason20242025!$AB$3:$AB$1315,DataRegularSeason20242025!$B$3:$B$1315, "&lt;=" &amp; GB$1, DataRegularSeason20242025!$E$3:$E$1315, $A27)</f>
        <v>57</v>
      </c>
      <c r="GC27">
        <f>SUMIFS(DataRegularSeason20242025!$AA$3:$AA$1315,DataRegularSeason20242025!$B$3:$B$1315, "&lt;=" &amp; GC$1, DataRegularSeason20242025!$D$3:$D$1315, $A27)+SUMIFS(DataRegularSeason20242025!$AB$3:$AB$1315,DataRegularSeason20242025!$B$3:$B$1315, "&lt;=" &amp; GC$1, DataRegularSeason20242025!$E$3:$E$1315, $A27)</f>
        <v>57</v>
      </c>
      <c r="GD27">
        <f>SUMIFS(DataRegularSeason20242025!$AA$3:$AA$1315,DataRegularSeason20242025!$B$3:$B$1315, "&lt;=" &amp; GD$1, DataRegularSeason20242025!$D$3:$D$1315, $A27)+SUMIFS(DataRegularSeason20242025!$AB$3:$AB$1315,DataRegularSeason20242025!$B$3:$B$1315, "&lt;=" &amp; GD$1, DataRegularSeason20242025!$E$3:$E$1315, $A27)</f>
        <v>57</v>
      </c>
      <c r="GE27">
        <f>SUMIFS(DataRegularSeason20242025!$AA$3:$AA$1315,DataRegularSeason20242025!$B$3:$B$1315, "&lt;=" &amp; GE$1, DataRegularSeason20242025!$D$3:$D$1315, $A27)+SUMIFS(DataRegularSeason20242025!$AB$3:$AB$1315,DataRegularSeason20242025!$B$3:$B$1315, "&lt;=" &amp; GE$1, DataRegularSeason20242025!$E$3:$E$1315, $A27)</f>
        <v>57</v>
      </c>
      <c r="GF27">
        <f>SUMIFS(DataRegularSeason20242025!$AA$3:$AA$1315,DataRegularSeason20242025!$B$3:$B$1315, "&lt;=" &amp; GF$1, DataRegularSeason20242025!$D$3:$D$1315, $A27)+SUMIFS(DataRegularSeason20242025!$AB$3:$AB$1315,DataRegularSeason20242025!$B$3:$B$1315, "&lt;=" &amp; GF$1, DataRegularSeason20242025!$E$3:$E$1315, $A27)</f>
        <v>57</v>
      </c>
      <c r="GG27">
        <f>SUMIFS(DataRegularSeason20242025!$AA$3:$AA$1315,DataRegularSeason20242025!$B$3:$B$1315, "&lt;=" &amp; GG$1, DataRegularSeason20242025!$D$3:$D$1315, $A27)+SUMIFS(DataRegularSeason20242025!$AB$3:$AB$1315,DataRegularSeason20242025!$B$3:$B$1315, "&lt;=" &amp; GG$1, DataRegularSeason20242025!$E$3:$E$1315, $A27)</f>
        <v>57</v>
      </c>
      <c r="GH27">
        <f>SUMIFS(DataRegularSeason20242025!$AA$3:$AA$1315,DataRegularSeason20242025!$B$3:$B$1315, "&lt;=" &amp; GH$1, DataRegularSeason20242025!$D$3:$D$1315, $A27)+SUMIFS(DataRegularSeason20242025!$AB$3:$AB$1315,DataRegularSeason20242025!$B$3:$B$1315, "&lt;=" &amp; GH$1, DataRegularSeason20242025!$E$3:$E$1315, $A27)</f>
        <v>57</v>
      </c>
      <c r="GI27">
        <f>SUMIFS(DataRegularSeason20242025!$AA$3:$AA$1315,DataRegularSeason20242025!$B$3:$B$1315, "&lt;=" &amp; GI$1, DataRegularSeason20242025!$D$3:$D$1315, $A27)+SUMIFS(DataRegularSeason20242025!$AB$3:$AB$1315,DataRegularSeason20242025!$B$3:$B$1315, "&lt;=" &amp; GI$1, DataRegularSeason20242025!$E$3:$E$1315, $A27)</f>
        <v>57</v>
      </c>
      <c r="GJ27">
        <f>SUMIFS(DataRegularSeason20242025!$AA$3:$AA$1315,DataRegularSeason20242025!$B$3:$B$1315, "&lt;=" &amp; GJ$1, DataRegularSeason20242025!$D$3:$D$1315, $A27)+SUMIFS(DataRegularSeason20242025!$AB$3:$AB$1315,DataRegularSeason20242025!$B$3:$B$1315, "&lt;=" &amp; GJ$1, DataRegularSeason20242025!$E$3:$E$1315, $A27)</f>
        <v>57</v>
      </c>
      <c r="GK27">
        <f>SUMIFS(DataRegularSeason20242025!$AA$3:$AA$1315,DataRegularSeason20242025!$B$3:$B$1315, "&lt;=" &amp; GK$1, DataRegularSeason20242025!$D$3:$D$1315, $A27)+SUMIFS(DataRegularSeason20242025!$AB$3:$AB$1315,DataRegularSeason20242025!$B$3:$B$1315, "&lt;=" &amp; GK$1, DataRegularSeason20242025!$E$3:$E$1315, $A27)</f>
        <v>57</v>
      </c>
      <c r="GL27">
        <f>SUMIFS(DataRegularSeason20242025!$AA$3:$AA$1315,DataRegularSeason20242025!$B$3:$B$1315, "&lt;=" &amp; GL$1, DataRegularSeason20242025!$D$3:$D$1315, $A27)+SUMIFS(DataRegularSeason20242025!$AB$3:$AB$1315,DataRegularSeason20242025!$B$3:$B$1315, "&lt;=" &amp; GL$1, DataRegularSeason20242025!$E$3:$E$1315, $A27)</f>
        <v>57</v>
      </c>
      <c r="GM27">
        <f>SUMIFS(DataRegularSeason20242025!$AA$3:$AA$1315,DataRegularSeason20242025!$B$3:$B$1315, "&lt;=" &amp; GM$1, DataRegularSeason20242025!$D$3:$D$1315, $A27)+SUMIFS(DataRegularSeason20242025!$AB$3:$AB$1315,DataRegularSeason20242025!$B$3:$B$1315, "&lt;=" &amp; GM$1, DataRegularSeason20242025!$E$3:$E$1315, $A27)</f>
        <v>57</v>
      </c>
      <c r="GN27">
        <f>SUMIFS(DataRegularSeason20242025!$AA$3:$AA$1315,DataRegularSeason20242025!$B$3:$B$1315, "&lt;=" &amp; GN$1, DataRegularSeason20242025!$D$3:$D$1315, $A27)+SUMIFS(DataRegularSeason20242025!$AB$3:$AB$1315,DataRegularSeason20242025!$B$3:$B$1315, "&lt;=" &amp; GN$1, DataRegularSeason20242025!$E$3:$E$1315, $A27)</f>
        <v>57</v>
      </c>
      <c r="GO27">
        <f>SUMIFS(DataRegularSeason20242025!$AA$3:$AA$1315,DataRegularSeason20242025!$B$3:$B$1315, "&lt;=" &amp; GO$1, DataRegularSeason20242025!$D$3:$D$1315, $A27)+SUMIFS(DataRegularSeason20242025!$AB$3:$AB$1315,DataRegularSeason20242025!$B$3:$B$1315, "&lt;=" &amp; GO$1, DataRegularSeason20242025!$E$3:$E$1315, $A27)</f>
        <v>57</v>
      </c>
      <c r="GP27">
        <f>SUMIFS(DataRegularSeason20242025!$AA$3:$AA$1315,DataRegularSeason20242025!$B$3:$B$1315, "&lt;=" &amp; GP$1, DataRegularSeason20242025!$D$3:$D$1315, $A27)+SUMIFS(DataRegularSeason20242025!$AB$3:$AB$1315,DataRegularSeason20242025!$B$3:$B$1315, "&lt;=" &amp; GP$1, DataRegularSeason20242025!$E$3:$E$1315, $A27)</f>
        <v>57</v>
      </c>
      <c r="GQ27">
        <f>SUMIFS(DataRegularSeason20242025!$AA$3:$AA$1315,DataRegularSeason20242025!$B$3:$B$1315, "&lt;=" &amp; GQ$1, DataRegularSeason20242025!$D$3:$D$1315, $A27)+SUMIFS(DataRegularSeason20242025!$AB$3:$AB$1315,DataRegularSeason20242025!$B$3:$B$1315, "&lt;=" &amp; GQ$1, DataRegularSeason20242025!$E$3:$E$1315, $A27)</f>
        <v>57</v>
      </c>
      <c r="GR27">
        <f>SUMIFS(DataRegularSeason20242025!$AA$3:$AA$1315,DataRegularSeason20242025!$B$3:$B$1315, "&lt;=" &amp; GR$1, DataRegularSeason20242025!$D$3:$D$1315, $A27)+SUMIFS(DataRegularSeason20242025!$AB$3:$AB$1315,DataRegularSeason20242025!$B$3:$B$1315, "&lt;=" &amp; GR$1, DataRegularSeason20242025!$E$3:$E$1315, $A27)</f>
        <v>57</v>
      </c>
      <c r="GS27">
        <f>SUMIFS(DataRegularSeason20242025!$AA$3:$AA$1315,DataRegularSeason20242025!$B$3:$B$1315, "&lt;=" &amp; GS$1, DataRegularSeason20242025!$D$3:$D$1315, $A27)+SUMIFS(DataRegularSeason20242025!$AB$3:$AB$1315,DataRegularSeason20242025!$B$3:$B$1315, "&lt;=" &amp; GS$1, DataRegularSeason20242025!$E$3:$E$1315, $A27)</f>
        <v>57</v>
      </c>
      <c r="GT27">
        <f>SUMIFS(DataRegularSeason20242025!$AA$3:$AA$1315,DataRegularSeason20242025!$B$3:$B$1315, "&lt;=" &amp; GT$1, DataRegularSeason20242025!$D$3:$D$1315, $A27)+SUMIFS(DataRegularSeason20242025!$AB$3:$AB$1315,DataRegularSeason20242025!$B$3:$B$1315, "&lt;=" &amp; GT$1, DataRegularSeason20242025!$E$3:$E$1315, $A27)</f>
        <v>57</v>
      </c>
      <c r="GU27">
        <f>SUMIFS(DataRegularSeason20242025!$AA$3:$AA$1315,DataRegularSeason20242025!$B$3:$B$1315, "&lt;=" &amp; GU$1, DataRegularSeason20242025!$D$3:$D$1315, $A27)+SUMIFS(DataRegularSeason20242025!$AB$3:$AB$1315,DataRegularSeason20242025!$B$3:$B$1315, "&lt;=" &amp; GU$1, DataRegularSeason20242025!$E$3:$E$1315, $A27)</f>
        <v>57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49</v>
      </c>
      <c r="DC30">
        <f>SUMIFS(DataRegularSeason20242025!$AA$3:$AA$1315,DataRegularSeason20242025!$B$3:$B$1315, "&lt;=" &amp; DC$1, DataRegularSeason20242025!$D$3:$D$1315, $A30)+SUMIFS(DataRegularSeason20242025!$AB$3:$AB$1315,DataRegularSeason20242025!$B$3:$B$1315, "&lt;=" &amp; DC$1, DataRegularSeason20242025!$E$3:$E$1315, $A30)</f>
        <v>49</v>
      </c>
      <c r="DD30">
        <f>SUMIFS(DataRegularSeason20242025!$AA$3:$AA$1315,DataRegularSeason20242025!$B$3:$B$1315, "&lt;=" &amp; DD$1, DataRegularSeason20242025!$D$3:$D$1315, $A30)+SUMIFS(DataRegularSeason20242025!$AB$3:$AB$1315,DataRegularSeason20242025!$B$3:$B$1315, "&lt;=" &amp; DD$1, DataRegularSeason20242025!$E$3:$E$1315, $A30)</f>
        <v>49</v>
      </c>
      <c r="DE30">
        <f>SUMIFS(DataRegularSeason20242025!$AA$3:$AA$1315,DataRegularSeason20242025!$B$3:$B$1315, "&lt;=" &amp; DE$1, DataRegularSeason20242025!$D$3:$D$1315, $A30)+SUMIFS(DataRegularSeason20242025!$AB$3:$AB$1315,DataRegularSeason20242025!$B$3:$B$1315, "&lt;=" &amp; DE$1, DataRegularSeason20242025!$E$3:$E$1315, $A30)</f>
        <v>49</v>
      </c>
      <c r="DF30">
        <f>SUMIFS(DataRegularSeason20242025!$AA$3:$AA$1315,DataRegularSeason20242025!$B$3:$B$1315, "&lt;=" &amp; DF$1, DataRegularSeason20242025!$D$3:$D$1315, $A30)+SUMIFS(DataRegularSeason20242025!$AB$3:$AB$1315,DataRegularSeason20242025!$B$3:$B$1315, "&lt;=" &amp; DF$1, DataRegularSeason20242025!$E$3:$E$1315, $A30)</f>
        <v>49</v>
      </c>
      <c r="DG30">
        <f>SUMIFS(DataRegularSeason20242025!$AA$3:$AA$1315,DataRegularSeason20242025!$B$3:$B$1315, "&lt;=" &amp; DG$1, DataRegularSeason20242025!$D$3:$D$1315, $A30)+SUMIFS(DataRegularSeason20242025!$AB$3:$AB$1315,DataRegularSeason20242025!$B$3:$B$1315, "&lt;=" &amp; DG$1, DataRegularSeason20242025!$E$3:$E$1315, $A30)</f>
        <v>49</v>
      </c>
      <c r="DH30">
        <f>SUMIFS(DataRegularSeason20242025!$AA$3:$AA$1315,DataRegularSeason20242025!$B$3:$B$1315, "&lt;=" &amp; DH$1, DataRegularSeason20242025!$D$3:$D$1315, $A30)+SUMIFS(DataRegularSeason20242025!$AB$3:$AB$1315,DataRegularSeason20242025!$B$3:$B$1315, "&lt;=" &amp; DH$1, DataRegularSeason20242025!$E$3:$E$1315, $A30)</f>
        <v>49</v>
      </c>
      <c r="DI30">
        <f>SUMIFS(DataRegularSeason20242025!$AA$3:$AA$1315,DataRegularSeason20242025!$B$3:$B$1315, "&lt;=" &amp; DI$1, DataRegularSeason20242025!$D$3:$D$1315, $A30)+SUMIFS(DataRegularSeason20242025!$AB$3:$AB$1315,DataRegularSeason20242025!$B$3:$B$1315, "&lt;=" &amp; DI$1, DataRegularSeason20242025!$E$3:$E$1315, $A30)</f>
        <v>49</v>
      </c>
      <c r="DJ30">
        <f>SUMIFS(DataRegularSeason20242025!$AA$3:$AA$1315,DataRegularSeason20242025!$B$3:$B$1315, "&lt;=" &amp; DJ$1, DataRegularSeason20242025!$D$3:$D$1315, $A30)+SUMIFS(DataRegularSeason20242025!$AB$3:$AB$1315,DataRegularSeason20242025!$B$3:$B$1315, "&lt;=" &amp; DJ$1, DataRegularSeason20242025!$E$3:$E$1315, $A30)</f>
        <v>49</v>
      </c>
      <c r="DK30">
        <f>SUMIFS(DataRegularSeason20242025!$AA$3:$AA$1315,DataRegularSeason20242025!$B$3:$B$1315, "&lt;=" &amp; DK$1, DataRegularSeason20242025!$D$3:$D$1315, $A30)+SUMIFS(DataRegularSeason20242025!$AB$3:$AB$1315,DataRegularSeason20242025!$B$3:$B$1315, "&lt;=" &amp; DK$1, DataRegularSeason20242025!$E$3:$E$1315, $A30)</f>
        <v>49</v>
      </c>
      <c r="DL30">
        <f>SUMIFS(DataRegularSeason20242025!$AA$3:$AA$1315,DataRegularSeason20242025!$B$3:$B$1315, "&lt;=" &amp; DL$1, DataRegularSeason20242025!$D$3:$D$1315, $A30)+SUMIFS(DataRegularSeason20242025!$AB$3:$AB$1315,DataRegularSeason20242025!$B$3:$B$1315, "&lt;=" &amp; DL$1, DataRegularSeason20242025!$E$3:$E$1315, $A30)</f>
        <v>49</v>
      </c>
      <c r="DM30">
        <f>SUMIFS(DataRegularSeason20242025!$AA$3:$AA$1315,DataRegularSeason20242025!$B$3:$B$1315, "&lt;=" &amp; DM$1, DataRegularSeason20242025!$D$3:$D$1315, $A30)+SUMIFS(DataRegularSeason20242025!$AB$3:$AB$1315,DataRegularSeason20242025!$B$3:$B$1315, "&lt;=" &amp; DM$1, DataRegularSeason20242025!$E$3:$E$1315, $A30)</f>
        <v>49</v>
      </c>
      <c r="DN30">
        <f>SUMIFS(DataRegularSeason20242025!$AA$3:$AA$1315,DataRegularSeason20242025!$B$3:$B$1315, "&lt;=" &amp; DN$1, DataRegularSeason20242025!$D$3:$D$1315, $A30)+SUMIFS(DataRegularSeason20242025!$AB$3:$AB$1315,DataRegularSeason20242025!$B$3:$B$1315, "&lt;=" &amp; DN$1, DataRegularSeason20242025!$E$3:$E$1315, $A30)</f>
        <v>49</v>
      </c>
      <c r="DO30">
        <f>SUMIFS(DataRegularSeason20242025!$AA$3:$AA$1315,DataRegularSeason20242025!$B$3:$B$1315, "&lt;=" &amp; DO$1, DataRegularSeason20242025!$D$3:$D$1315, $A30)+SUMIFS(DataRegularSeason20242025!$AB$3:$AB$1315,DataRegularSeason20242025!$B$3:$B$1315, "&lt;=" &amp; DO$1, DataRegularSeason20242025!$E$3:$E$1315, $A30)</f>
        <v>49</v>
      </c>
      <c r="DP30">
        <f>SUMIFS(DataRegularSeason20242025!$AA$3:$AA$1315,DataRegularSeason20242025!$B$3:$B$1315, "&lt;=" &amp; DP$1, DataRegularSeason20242025!$D$3:$D$1315, $A30)+SUMIFS(DataRegularSeason20242025!$AB$3:$AB$1315,DataRegularSeason20242025!$B$3:$B$1315, "&lt;=" &amp; DP$1, DataRegularSeason20242025!$E$3:$E$1315, $A30)</f>
        <v>49</v>
      </c>
      <c r="DQ30">
        <f>SUMIFS(DataRegularSeason20242025!$AA$3:$AA$1315,DataRegularSeason20242025!$B$3:$B$1315, "&lt;=" &amp; DQ$1, DataRegularSeason20242025!$D$3:$D$1315, $A30)+SUMIFS(DataRegularSeason20242025!$AB$3:$AB$1315,DataRegularSeason20242025!$B$3:$B$1315, "&lt;=" &amp; DQ$1, DataRegularSeason20242025!$E$3:$E$1315, $A30)</f>
        <v>49</v>
      </c>
      <c r="DR30">
        <f>SUMIFS(DataRegularSeason20242025!$AA$3:$AA$1315,DataRegularSeason20242025!$B$3:$B$1315, "&lt;=" &amp; DR$1, DataRegularSeason20242025!$D$3:$D$1315, $A30)+SUMIFS(DataRegularSeason20242025!$AB$3:$AB$1315,DataRegularSeason20242025!$B$3:$B$1315, "&lt;=" &amp; DR$1, DataRegularSeason20242025!$E$3:$E$1315, $A30)</f>
        <v>49</v>
      </c>
      <c r="DS30">
        <f>SUMIFS(DataRegularSeason20242025!$AA$3:$AA$1315,DataRegularSeason20242025!$B$3:$B$1315, "&lt;=" &amp; DS$1, DataRegularSeason20242025!$D$3:$D$1315, $A30)+SUMIFS(DataRegularSeason20242025!$AB$3:$AB$1315,DataRegularSeason20242025!$B$3:$B$1315, "&lt;=" &amp; DS$1, DataRegularSeason20242025!$E$3:$E$1315, $A30)</f>
        <v>49</v>
      </c>
      <c r="DT30">
        <f>SUMIFS(DataRegularSeason20242025!$AA$3:$AA$1315,DataRegularSeason20242025!$B$3:$B$1315, "&lt;=" &amp; DT$1, DataRegularSeason20242025!$D$3:$D$1315, $A30)+SUMIFS(DataRegularSeason20242025!$AB$3:$AB$1315,DataRegularSeason20242025!$B$3:$B$1315, "&lt;=" &amp; DT$1, DataRegularSeason20242025!$E$3:$E$1315, $A30)</f>
        <v>49</v>
      </c>
      <c r="DU30">
        <f>SUMIFS(DataRegularSeason20242025!$AA$3:$AA$1315,DataRegularSeason20242025!$B$3:$B$1315, "&lt;=" &amp; DU$1, DataRegularSeason20242025!$D$3:$D$1315, $A30)+SUMIFS(DataRegularSeason20242025!$AB$3:$AB$1315,DataRegularSeason20242025!$B$3:$B$1315, "&lt;=" &amp; DU$1, DataRegularSeason20242025!$E$3:$E$1315, $A30)</f>
        <v>49</v>
      </c>
      <c r="DV30">
        <f>SUMIFS(DataRegularSeason20242025!$AA$3:$AA$1315,DataRegularSeason20242025!$B$3:$B$1315, "&lt;=" &amp; DV$1, DataRegularSeason20242025!$D$3:$D$1315, $A30)+SUMIFS(DataRegularSeason20242025!$AB$3:$AB$1315,DataRegularSeason20242025!$B$3:$B$1315, "&lt;=" &amp; DV$1, DataRegularSeason20242025!$E$3:$E$1315, $A30)</f>
        <v>49</v>
      </c>
      <c r="DW30">
        <f>SUMIFS(DataRegularSeason20242025!$AA$3:$AA$1315,DataRegularSeason20242025!$B$3:$B$1315, "&lt;=" &amp; DW$1, DataRegularSeason20242025!$D$3:$D$1315, $A30)+SUMIFS(DataRegularSeason20242025!$AB$3:$AB$1315,DataRegularSeason20242025!$B$3:$B$1315, "&lt;=" &amp; DW$1, DataRegularSeason20242025!$E$3:$E$1315, $A30)</f>
        <v>49</v>
      </c>
      <c r="DX30">
        <f>SUMIFS(DataRegularSeason20242025!$AA$3:$AA$1315,DataRegularSeason20242025!$B$3:$B$1315, "&lt;=" &amp; DX$1, DataRegularSeason20242025!$D$3:$D$1315, $A30)+SUMIFS(DataRegularSeason20242025!$AB$3:$AB$1315,DataRegularSeason20242025!$B$3:$B$1315, "&lt;=" &amp; DX$1, DataRegularSeason20242025!$E$3:$E$1315, $A30)</f>
        <v>49</v>
      </c>
      <c r="DY30">
        <f>SUMIFS(DataRegularSeason20242025!$AA$3:$AA$1315,DataRegularSeason20242025!$B$3:$B$1315, "&lt;=" &amp; DY$1, DataRegularSeason20242025!$D$3:$D$1315, $A30)+SUMIFS(DataRegularSeason20242025!$AB$3:$AB$1315,DataRegularSeason20242025!$B$3:$B$1315, "&lt;=" &amp; DY$1, DataRegularSeason20242025!$E$3:$E$1315, $A30)</f>
        <v>49</v>
      </c>
      <c r="DZ30">
        <f>SUMIFS(DataRegularSeason20242025!$AA$3:$AA$1315,DataRegularSeason20242025!$B$3:$B$1315, "&lt;=" &amp; DZ$1, DataRegularSeason20242025!$D$3:$D$1315, $A30)+SUMIFS(DataRegularSeason20242025!$AB$3:$AB$1315,DataRegularSeason20242025!$B$3:$B$1315, "&lt;=" &amp; DZ$1, DataRegularSeason20242025!$E$3:$E$1315, $A30)</f>
        <v>49</v>
      </c>
      <c r="EA30">
        <f>SUMIFS(DataRegularSeason20242025!$AA$3:$AA$1315,DataRegularSeason20242025!$B$3:$B$1315, "&lt;=" &amp; EA$1, DataRegularSeason20242025!$D$3:$D$1315, $A30)+SUMIFS(DataRegularSeason20242025!$AB$3:$AB$1315,DataRegularSeason20242025!$B$3:$B$1315, "&lt;=" &amp; EA$1, DataRegularSeason20242025!$E$3:$E$1315, $A30)</f>
        <v>49</v>
      </c>
      <c r="EB30">
        <f>SUMIFS(DataRegularSeason20242025!$AA$3:$AA$1315,DataRegularSeason20242025!$B$3:$B$1315, "&lt;=" &amp; EB$1, DataRegularSeason20242025!$D$3:$D$1315, $A30)+SUMIFS(DataRegularSeason20242025!$AB$3:$AB$1315,DataRegularSeason20242025!$B$3:$B$1315, "&lt;=" &amp; EB$1, DataRegularSeason20242025!$E$3:$E$1315, $A30)</f>
        <v>49</v>
      </c>
      <c r="EC30">
        <f>SUMIFS(DataRegularSeason20242025!$AA$3:$AA$1315,DataRegularSeason20242025!$B$3:$B$1315, "&lt;=" &amp; EC$1, DataRegularSeason20242025!$D$3:$D$1315, $A30)+SUMIFS(DataRegularSeason20242025!$AB$3:$AB$1315,DataRegularSeason20242025!$B$3:$B$1315, "&lt;=" &amp; EC$1, DataRegularSeason20242025!$E$3:$E$1315, $A30)</f>
        <v>49</v>
      </c>
      <c r="ED30">
        <f>SUMIFS(DataRegularSeason20242025!$AA$3:$AA$1315,DataRegularSeason20242025!$B$3:$B$1315, "&lt;=" &amp; ED$1, DataRegularSeason20242025!$D$3:$D$1315, $A30)+SUMIFS(DataRegularSeason20242025!$AB$3:$AB$1315,DataRegularSeason20242025!$B$3:$B$1315, "&lt;=" &amp; ED$1, DataRegularSeason20242025!$E$3:$E$1315, $A30)</f>
        <v>49</v>
      </c>
      <c r="EE30">
        <f>SUMIFS(DataRegularSeason20242025!$AA$3:$AA$1315,DataRegularSeason20242025!$B$3:$B$1315, "&lt;=" &amp; EE$1, DataRegularSeason20242025!$D$3:$D$1315, $A30)+SUMIFS(DataRegularSeason20242025!$AB$3:$AB$1315,DataRegularSeason20242025!$B$3:$B$1315, "&lt;=" &amp; EE$1, DataRegularSeason20242025!$E$3:$E$1315, $A30)</f>
        <v>49</v>
      </c>
      <c r="EF30">
        <f>SUMIFS(DataRegularSeason20242025!$AA$3:$AA$1315,DataRegularSeason20242025!$B$3:$B$1315, "&lt;=" &amp; EF$1, DataRegularSeason20242025!$D$3:$D$1315, $A30)+SUMIFS(DataRegularSeason20242025!$AB$3:$AB$1315,DataRegularSeason20242025!$B$3:$B$1315, "&lt;=" &amp; EF$1, DataRegularSeason20242025!$E$3:$E$1315, $A30)</f>
        <v>49</v>
      </c>
      <c r="EG30">
        <f>SUMIFS(DataRegularSeason20242025!$AA$3:$AA$1315,DataRegularSeason20242025!$B$3:$B$1315, "&lt;=" &amp; EG$1, DataRegularSeason20242025!$D$3:$D$1315, $A30)+SUMIFS(DataRegularSeason20242025!$AB$3:$AB$1315,DataRegularSeason20242025!$B$3:$B$1315, "&lt;=" &amp; EG$1, DataRegularSeason20242025!$E$3:$E$1315, $A30)</f>
        <v>49</v>
      </c>
      <c r="EH30">
        <f>SUMIFS(DataRegularSeason20242025!$AA$3:$AA$1315,DataRegularSeason20242025!$B$3:$B$1315, "&lt;=" &amp; EH$1, DataRegularSeason20242025!$D$3:$D$1315, $A30)+SUMIFS(DataRegularSeason20242025!$AB$3:$AB$1315,DataRegularSeason20242025!$B$3:$B$1315, "&lt;=" &amp; EH$1, DataRegularSeason20242025!$E$3:$E$1315, $A30)</f>
        <v>49</v>
      </c>
      <c r="EI30">
        <f>SUMIFS(DataRegularSeason20242025!$AA$3:$AA$1315,DataRegularSeason20242025!$B$3:$B$1315, "&lt;=" &amp; EI$1, DataRegularSeason20242025!$D$3:$D$1315, $A30)+SUMIFS(DataRegularSeason20242025!$AB$3:$AB$1315,DataRegularSeason20242025!$B$3:$B$1315, "&lt;=" &amp; EI$1, DataRegularSeason20242025!$E$3:$E$1315, $A30)</f>
        <v>49</v>
      </c>
      <c r="EJ30">
        <f>SUMIFS(DataRegularSeason20242025!$AA$3:$AA$1315,DataRegularSeason20242025!$B$3:$B$1315, "&lt;=" &amp; EJ$1, DataRegularSeason20242025!$D$3:$D$1315, $A30)+SUMIFS(DataRegularSeason20242025!$AB$3:$AB$1315,DataRegularSeason20242025!$B$3:$B$1315, "&lt;=" &amp; EJ$1, DataRegularSeason20242025!$E$3:$E$1315, $A30)</f>
        <v>49</v>
      </c>
      <c r="EK30">
        <f>SUMIFS(DataRegularSeason20242025!$AA$3:$AA$1315,DataRegularSeason20242025!$B$3:$B$1315, "&lt;=" &amp; EK$1, DataRegularSeason20242025!$D$3:$D$1315, $A30)+SUMIFS(DataRegularSeason20242025!$AB$3:$AB$1315,DataRegularSeason20242025!$B$3:$B$1315, "&lt;=" &amp; EK$1, DataRegularSeason20242025!$E$3:$E$1315, $A30)</f>
        <v>49</v>
      </c>
      <c r="EL30">
        <f>SUMIFS(DataRegularSeason20242025!$AA$3:$AA$1315,DataRegularSeason20242025!$B$3:$B$1315, "&lt;=" &amp; EL$1, DataRegularSeason20242025!$D$3:$D$1315, $A30)+SUMIFS(DataRegularSeason20242025!$AB$3:$AB$1315,DataRegularSeason20242025!$B$3:$B$1315, "&lt;=" &amp; EL$1, DataRegularSeason20242025!$E$3:$E$1315, $A30)</f>
        <v>49</v>
      </c>
      <c r="EM30">
        <f>SUMIFS(DataRegularSeason20242025!$AA$3:$AA$1315,DataRegularSeason20242025!$B$3:$B$1315, "&lt;=" &amp; EM$1, DataRegularSeason20242025!$D$3:$D$1315, $A30)+SUMIFS(DataRegularSeason20242025!$AB$3:$AB$1315,DataRegularSeason20242025!$B$3:$B$1315, "&lt;=" &amp; EM$1, DataRegularSeason20242025!$E$3:$E$1315, $A30)</f>
        <v>49</v>
      </c>
      <c r="EN30">
        <f>SUMIFS(DataRegularSeason20242025!$AA$3:$AA$1315,DataRegularSeason20242025!$B$3:$B$1315, "&lt;=" &amp; EN$1, DataRegularSeason20242025!$D$3:$D$1315, $A30)+SUMIFS(DataRegularSeason20242025!$AB$3:$AB$1315,DataRegularSeason20242025!$B$3:$B$1315, "&lt;=" &amp; EN$1, DataRegularSeason20242025!$E$3:$E$1315, $A30)</f>
        <v>49</v>
      </c>
      <c r="EO30">
        <f>SUMIFS(DataRegularSeason20242025!$AA$3:$AA$1315,DataRegularSeason20242025!$B$3:$B$1315, "&lt;=" &amp; EO$1, DataRegularSeason20242025!$D$3:$D$1315, $A30)+SUMIFS(DataRegularSeason20242025!$AB$3:$AB$1315,DataRegularSeason20242025!$B$3:$B$1315, "&lt;=" &amp; EO$1, DataRegularSeason20242025!$E$3:$E$1315, $A30)</f>
        <v>49</v>
      </c>
      <c r="EP30">
        <f>SUMIFS(DataRegularSeason20242025!$AA$3:$AA$1315,DataRegularSeason20242025!$B$3:$B$1315, "&lt;=" &amp; EP$1, DataRegularSeason20242025!$D$3:$D$1315, $A30)+SUMIFS(DataRegularSeason20242025!$AB$3:$AB$1315,DataRegularSeason20242025!$B$3:$B$1315, "&lt;=" &amp; EP$1, DataRegularSeason20242025!$E$3:$E$1315, $A30)</f>
        <v>49</v>
      </c>
      <c r="EQ30">
        <f>SUMIFS(DataRegularSeason20242025!$AA$3:$AA$1315,DataRegularSeason20242025!$B$3:$B$1315, "&lt;=" &amp; EQ$1, DataRegularSeason20242025!$D$3:$D$1315, $A30)+SUMIFS(DataRegularSeason20242025!$AB$3:$AB$1315,DataRegularSeason20242025!$B$3:$B$1315, "&lt;=" &amp; EQ$1, DataRegularSeason20242025!$E$3:$E$1315, $A30)</f>
        <v>49</v>
      </c>
      <c r="ER30">
        <f>SUMIFS(DataRegularSeason20242025!$AA$3:$AA$1315,DataRegularSeason20242025!$B$3:$B$1315, "&lt;=" &amp; ER$1, DataRegularSeason20242025!$D$3:$D$1315, $A30)+SUMIFS(DataRegularSeason20242025!$AB$3:$AB$1315,DataRegularSeason20242025!$B$3:$B$1315, "&lt;=" &amp; ER$1, DataRegularSeason20242025!$E$3:$E$1315, $A30)</f>
        <v>49</v>
      </c>
      <c r="ES30">
        <f>SUMIFS(DataRegularSeason20242025!$AA$3:$AA$1315,DataRegularSeason20242025!$B$3:$B$1315, "&lt;=" &amp; ES$1, DataRegularSeason20242025!$D$3:$D$1315, $A30)+SUMIFS(DataRegularSeason20242025!$AB$3:$AB$1315,DataRegularSeason20242025!$B$3:$B$1315, "&lt;=" &amp; ES$1, DataRegularSeason20242025!$E$3:$E$1315, $A30)</f>
        <v>49</v>
      </c>
      <c r="ET30">
        <f>SUMIFS(DataRegularSeason20242025!$AA$3:$AA$1315,DataRegularSeason20242025!$B$3:$B$1315, "&lt;=" &amp; ET$1, DataRegularSeason20242025!$D$3:$D$1315, $A30)+SUMIFS(DataRegularSeason20242025!$AB$3:$AB$1315,DataRegularSeason20242025!$B$3:$B$1315, "&lt;=" &amp; ET$1, DataRegularSeason20242025!$E$3:$E$1315, $A30)</f>
        <v>49</v>
      </c>
      <c r="EU30">
        <f>SUMIFS(DataRegularSeason20242025!$AA$3:$AA$1315,DataRegularSeason20242025!$B$3:$B$1315, "&lt;=" &amp; EU$1, DataRegularSeason20242025!$D$3:$D$1315, $A30)+SUMIFS(DataRegularSeason20242025!$AB$3:$AB$1315,DataRegularSeason20242025!$B$3:$B$1315, "&lt;=" &amp; EU$1, DataRegularSeason20242025!$E$3:$E$1315, $A30)</f>
        <v>49</v>
      </c>
      <c r="EV30">
        <f>SUMIFS(DataRegularSeason20242025!$AA$3:$AA$1315,DataRegularSeason20242025!$B$3:$B$1315, "&lt;=" &amp; EV$1, DataRegularSeason20242025!$D$3:$D$1315, $A30)+SUMIFS(DataRegularSeason20242025!$AB$3:$AB$1315,DataRegularSeason20242025!$B$3:$B$1315, "&lt;=" &amp; EV$1, DataRegularSeason20242025!$E$3:$E$1315, $A30)</f>
        <v>49</v>
      </c>
      <c r="EW30">
        <f>SUMIFS(DataRegularSeason20242025!$AA$3:$AA$1315,DataRegularSeason20242025!$B$3:$B$1315, "&lt;=" &amp; EW$1, DataRegularSeason20242025!$D$3:$D$1315, $A30)+SUMIFS(DataRegularSeason20242025!$AB$3:$AB$1315,DataRegularSeason20242025!$B$3:$B$1315, "&lt;=" &amp; EW$1, DataRegularSeason20242025!$E$3:$E$1315, $A30)</f>
        <v>49</v>
      </c>
      <c r="EX30">
        <f>SUMIFS(DataRegularSeason20242025!$AA$3:$AA$1315,DataRegularSeason20242025!$B$3:$B$1315, "&lt;=" &amp; EX$1, DataRegularSeason20242025!$D$3:$D$1315, $A30)+SUMIFS(DataRegularSeason20242025!$AB$3:$AB$1315,DataRegularSeason20242025!$B$3:$B$1315, "&lt;=" &amp; EX$1, DataRegularSeason20242025!$E$3:$E$1315, $A30)</f>
        <v>49</v>
      </c>
      <c r="EY30">
        <f>SUMIFS(DataRegularSeason20242025!$AA$3:$AA$1315,DataRegularSeason20242025!$B$3:$B$1315, "&lt;=" &amp; EY$1, DataRegularSeason20242025!$D$3:$D$1315, $A30)+SUMIFS(DataRegularSeason20242025!$AB$3:$AB$1315,DataRegularSeason20242025!$B$3:$B$1315, "&lt;=" &amp; EY$1, DataRegularSeason20242025!$E$3:$E$1315, $A30)</f>
        <v>49</v>
      </c>
      <c r="EZ30">
        <f>SUMIFS(DataRegularSeason20242025!$AA$3:$AA$1315,DataRegularSeason20242025!$B$3:$B$1315, "&lt;=" &amp; EZ$1, DataRegularSeason20242025!$D$3:$D$1315, $A30)+SUMIFS(DataRegularSeason20242025!$AB$3:$AB$1315,DataRegularSeason20242025!$B$3:$B$1315, "&lt;=" &amp; EZ$1, DataRegularSeason20242025!$E$3:$E$1315, $A30)</f>
        <v>49</v>
      </c>
      <c r="FA30">
        <f>SUMIFS(DataRegularSeason20242025!$AA$3:$AA$1315,DataRegularSeason20242025!$B$3:$B$1315, "&lt;=" &amp; FA$1, DataRegularSeason20242025!$D$3:$D$1315, $A30)+SUMIFS(DataRegularSeason20242025!$AB$3:$AB$1315,DataRegularSeason20242025!$B$3:$B$1315, "&lt;=" &amp; FA$1, DataRegularSeason20242025!$E$3:$E$1315, $A30)</f>
        <v>49</v>
      </c>
      <c r="FB30">
        <f>SUMIFS(DataRegularSeason20242025!$AA$3:$AA$1315,DataRegularSeason20242025!$B$3:$B$1315, "&lt;=" &amp; FB$1, DataRegularSeason20242025!$D$3:$D$1315, $A30)+SUMIFS(DataRegularSeason20242025!$AB$3:$AB$1315,DataRegularSeason20242025!$B$3:$B$1315, "&lt;=" &amp; FB$1, DataRegularSeason20242025!$E$3:$E$1315, $A30)</f>
        <v>49</v>
      </c>
      <c r="FC30">
        <f>SUMIFS(DataRegularSeason20242025!$AA$3:$AA$1315,DataRegularSeason20242025!$B$3:$B$1315, "&lt;=" &amp; FC$1, DataRegularSeason20242025!$D$3:$D$1315, $A30)+SUMIFS(DataRegularSeason20242025!$AB$3:$AB$1315,DataRegularSeason20242025!$B$3:$B$1315, "&lt;=" &amp; FC$1, DataRegularSeason20242025!$E$3:$E$1315, $A30)</f>
        <v>49</v>
      </c>
      <c r="FD30">
        <f>SUMIFS(DataRegularSeason20242025!$AA$3:$AA$1315,DataRegularSeason20242025!$B$3:$B$1315, "&lt;=" &amp; FD$1, DataRegularSeason20242025!$D$3:$D$1315, $A30)+SUMIFS(DataRegularSeason20242025!$AB$3:$AB$1315,DataRegularSeason20242025!$B$3:$B$1315, "&lt;=" &amp; FD$1, DataRegularSeason20242025!$E$3:$E$1315, $A30)</f>
        <v>49</v>
      </c>
      <c r="FE30">
        <f>SUMIFS(DataRegularSeason20242025!$AA$3:$AA$1315,DataRegularSeason20242025!$B$3:$B$1315, "&lt;=" &amp; FE$1, DataRegularSeason20242025!$D$3:$D$1315, $A30)+SUMIFS(DataRegularSeason20242025!$AB$3:$AB$1315,DataRegularSeason20242025!$B$3:$B$1315, "&lt;=" &amp; FE$1, DataRegularSeason20242025!$E$3:$E$1315, $A30)</f>
        <v>49</v>
      </c>
      <c r="FF30">
        <f>SUMIFS(DataRegularSeason20242025!$AA$3:$AA$1315,DataRegularSeason20242025!$B$3:$B$1315, "&lt;=" &amp; FF$1, DataRegularSeason20242025!$D$3:$D$1315, $A30)+SUMIFS(DataRegularSeason20242025!$AB$3:$AB$1315,DataRegularSeason20242025!$B$3:$B$1315, "&lt;=" &amp; FF$1, DataRegularSeason20242025!$E$3:$E$1315, $A30)</f>
        <v>49</v>
      </c>
      <c r="FG30">
        <f>SUMIFS(DataRegularSeason20242025!$AA$3:$AA$1315,DataRegularSeason20242025!$B$3:$B$1315, "&lt;=" &amp; FG$1, DataRegularSeason20242025!$D$3:$D$1315, $A30)+SUMIFS(DataRegularSeason20242025!$AB$3:$AB$1315,DataRegularSeason20242025!$B$3:$B$1315, "&lt;=" &amp; FG$1, DataRegularSeason20242025!$E$3:$E$1315, $A30)</f>
        <v>49</v>
      </c>
      <c r="FH30">
        <f>SUMIFS(DataRegularSeason20242025!$AA$3:$AA$1315,DataRegularSeason20242025!$B$3:$B$1315, "&lt;=" &amp; FH$1, DataRegularSeason20242025!$D$3:$D$1315, $A30)+SUMIFS(DataRegularSeason20242025!$AB$3:$AB$1315,DataRegularSeason20242025!$B$3:$B$1315, "&lt;=" &amp; FH$1, DataRegularSeason20242025!$E$3:$E$1315, $A30)</f>
        <v>49</v>
      </c>
      <c r="FI30">
        <f>SUMIFS(DataRegularSeason20242025!$AA$3:$AA$1315,DataRegularSeason20242025!$B$3:$B$1315, "&lt;=" &amp; FI$1, DataRegularSeason20242025!$D$3:$D$1315, $A30)+SUMIFS(DataRegularSeason20242025!$AB$3:$AB$1315,DataRegularSeason20242025!$B$3:$B$1315, "&lt;=" &amp; FI$1, DataRegularSeason20242025!$E$3:$E$1315, $A30)</f>
        <v>49</v>
      </c>
      <c r="FJ30">
        <f>SUMIFS(DataRegularSeason20242025!$AA$3:$AA$1315,DataRegularSeason20242025!$B$3:$B$1315, "&lt;=" &amp; FJ$1, DataRegularSeason20242025!$D$3:$D$1315, $A30)+SUMIFS(DataRegularSeason20242025!$AB$3:$AB$1315,DataRegularSeason20242025!$B$3:$B$1315, "&lt;=" &amp; FJ$1, DataRegularSeason20242025!$E$3:$E$1315, $A30)</f>
        <v>49</v>
      </c>
      <c r="FK30">
        <f>SUMIFS(DataRegularSeason20242025!$AA$3:$AA$1315,DataRegularSeason20242025!$B$3:$B$1315, "&lt;=" &amp; FK$1, DataRegularSeason20242025!$D$3:$D$1315, $A30)+SUMIFS(DataRegularSeason20242025!$AB$3:$AB$1315,DataRegularSeason20242025!$B$3:$B$1315, "&lt;=" &amp; FK$1, DataRegularSeason20242025!$E$3:$E$1315, $A30)</f>
        <v>49</v>
      </c>
      <c r="FL30">
        <f>SUMIFS(DataRegularSeason20242025!$AA$3:$AA$1315,DataRegularSeason20242025!$B$3:$B$1315, "&lt;=" &amp; FL$1, DataRegularSeason20242025!$D$3:$D$1315, $A30)+SUMIFS(DataRegularSeason20242025!$AB$3:$AB$1315,DataRegularSeason20242025!$B$3:$B$1315, "&lt;=" &amp; FL$1, DataRegularSeason20242025!$E$3:$E$1315, $A30)</f>
        <v>49</v>
      </c>
      <c r="FM30">
        <f>SUMIFS(DataRegularSeason20242025!$AA$3:$AA$1315,DataRegularSeason20242025!$B$3:$B$1315, "&lt;=" &amp; FM$1, DataRegularSeason20242025!$D$3:$D$1315, $A30)+SUMIFS(DataRegularSeason20242025!$AB$3:$AB$1315,DataRegularSeason20242025!$B$3:$B$1315, "&lt;=" &amp; FM$1, DataRegularSeason20242025!$E$3:$E$1315, $A30)</f>
        <v>49</v>
      </c>
      <c r="FN30">
        <f>SUMIFS(DataRegularSeason20242025!$AA$3:$AA$1315,DataRegularSeason20242025!$B$3:$B$1315, "&lt;=" &amp; FN$1, DataRegularSeason20242025!$D$3:$D$1315, $A30)+SUMIFS(DataRegularSeason20242025!$AB$3:$AB$1315,DataRegularSeason20242025!$B$3:$B$1315, "&lt;=" &amp; FN$1, DataRegularSeason20242025!$E$3:$E$1315, $A30)</f>
        <v>49</v>
      </c>
      <c r="FO30">
        <f>SUMIFS(DataRegularSeason20242025!$AA$3:$AA$1315,DataRegularSeason20242025!$B$3:$B$1315, "&lt;=" &amp; FO$1, DataRegularSeason20242025!$D$3:$D$1315, $A30)+SUMIFS(DataRegularSeason20242025!$AB$3:$AB$1315,DataRegularSeason20242025!$B$3:$B$1315, "&lt;=" &amp; FO$1, DataRegularSeason20242025!$E$3:$E$1315, $A30)</f>
        <v>49</v>
      </c>
      <c r="FP30">
        <f>SUMIFS(DataRegularSeason20242025!$AA$3:$AA$1315,DataRegularSeason20242025!$B$3:$B$1315, "&lt;=" &amp; FP$1, DataRegularSeason20242025!$D$3:$D$1315, $A30)+SUMIFS(DataRegularSeason20242025!$AB$3:$AB$1315,DataRegularSeason20242025!$B$3:$B$1315, "&lt;=" &amp; FP$1, DataRegularSeason20242025!$E$3:$E$1315, $A30)</f>
        <v>49</v>
      </c>
      <c r="FQ30">
        <f>SUMIFS(DataRegularSeason20242025!$AA$3:$AA$1315,DataRegularSeason20242025!$B$3:$B$1315, "&lt;=" &amp; FQ$1, DataRegularSeason20242025!$D$3:$D$1315, $A30)+SUMIFS(DataRegularSeason20242025!$AB$3:$AB$1315,DataRegularSeason20242025!$B$3:$B$1315, "&lt;=" &amp; FQ$1, DataRegularSeason20242025!$E$3:$E$1315, $A30)</f>
        <v>49</v>
      </c>
      <c r="FR30">
        <f>SUMIFS(DataRegularSeason20242025!$AA$3:$AA$1315,DataRegularSeason20242025!$B$3:$B$1315, "&lt;=" &amp; FR$1, DataRegularSeason20242025!$D$3:$D$1315, $A30)+SUMIFS(DataRegularSeason20242025!$AB$3:$AB$1315,DataRegularSeason20242025!$B$3:$B$1315, "&lt;=" &amp; FR$1, DataRegularSeason20242025!$E$3:$E$1315, $A30)</f>
        <v>49</v>
      </c>
      <c r="FS30">
        <f>SUMIFS(DataRegularSeason20242025!$AA$3:$AA$1315,DataRegularSeason20242025!$B$3:$B$1315, "&lt;=" &amp; FS$1, DataRegularSeason20242025!$D$3:$D$1315, $A30)+SUMIFS(DataRegularSeason20242025!$AB$3:$AB$1315,DataRegularSeason20242025!$B$3:$B$1315, "&lt;=" &amp; FS$1, DataRegularSeason20242025!$E$3:$E$1315, $A30)</f>
        <v>49</v>
      </c>
      <c r="FT30">
        <f>SUMIFS(DataRegularSeason20242025!$AA$3:$AA$1315,DataRegularSeason20242025!$B$3:$B$1315, "&lt;=" &amp; FT$1, DataRegularSeason20242025!$D$3:$D$1315, $A30)+SUMIFS(DataRegularSeason20242025!$AB$3:$AB$1315,DataRegularSeason20242025!$B$3:$B$1315, "&lt;=" &amp; FT$1, DataRegularSeason20242025!$E$3:$E$1315, $A30)</f>
        <v>49</v>
      </c>
      <c r="FU30">
        <f>SUMIFS(DataRegularSeason20242025!$AA$3:$AA$1315,DataRegularSeason20242025!$B$3:$B$1315, "&lt;=" &amp; FU$1, DataRegularSeason20242025!$D$3:$D$1315, $A30)+SUMIFS(DataRegularSeason20242025!$AB$3:$AB$1315,DataRegularSeason20242025!$B$3:$B$1315, "&lt;=" &amp; FU$1, DataRegularSeason20242025!$E$3:$E$1315, $A30)</f>
        <v>49</v>
      </c>
      <c r="FV30">
        <f>SUMIFS(DataRegularSeason20242025!$AA$3:$AA$1315,DataRegularSeason20242025!$B$3:$B$1315, "&lt;=" &amp; FV$1, DataRegularSeason20242025!$D$3:$D$1315, $A30)+SUMIFS(DataRegularSeason20242025!$AB$3:$AB$1315,DataRegularSeason20242025!$B$3:$B$1315, "&lt;=" &amp; FV$1, DataRegularSeason20242025!$E$3:$E$1315, $A30)</f>
        <v>49</v>
      </c>
      <c r="FW30">
        <f>SUMIFS(DataRegularSeason20242025!$AA$3:$AA$1315,DataRegularSeason20242025!$B$3:$B$1315, "&lt;=" &amp; FW$1, DataRegularSeason20242025!$D$3:$D$1315, $A30)+SUMIFS(DataRegularSeason20242025!$AB$3:$AB$1315,DataRegularSeason20242025!$B$3:$B$1315, "&lt;=" &amp; FW$1, DataRegularSeason20242025!$E$3:$E$1315, $A30)</f>
        <v>49</v>
      </c>
      <c r="FX30">
        <f>SUMIFS(DataRegularSeason20242025!$AA$3:$AA$1315,DataRegularSeason20242025!$B$3:$B$1315, "&lt;=" &amp; FX$1, DataRegularSeason20242025!$D$3:$D$1315, $A30)+SUMIFS(DataRegularSeason20242025!$AB$3:$AB$1315,DataRegularSeason20242025!$B$3:$B$1315, "&lt;=" &amp; FX$1, DataRegularSeason20242025!$E$3:$E$1315, $A30)</f>
        <v>49</v>
      </c>
      <c r="FY30">
        <f>SUMIFS(DataRegularSeason20242025!$AA$3:$AA$1315,DataRegularSeason20242025!$B$3:$B$1315, "&lt;=" &amp; FY$1, DataRegularSeason20242025!$D$3:$D$1315, $A30)+SUMIFS(DataRegularSeason20242025!$AB$3:$AB$1315,DataRegularSeason20242025!$B$3:$B$1315, "&lt;=" &amp; FY$1, DataRegularSeason20242025!$E$3:$E$1315, $A30)</f>
        <v>49</v>
      </c>
      <c r="FZ30">
        <f>SUMIFS(DataRegularSeason20242025!$AA$3:$AA$1315,DataRegularSeason20242025!$B$3:$B$1315, "&lt;=" &amp; FZ$1, DataRegularSeason20242025!$D$3:$D$1315, $A30)+SUMIFS(DataRegularSeason20242025!$AB$3:$AB$1315,DataRegularSeason20242025!$B$3:$B$1315, "&lt;=" &amp; FZ$1, DataRegularSeason20242025!$E$3:$E$1315, $A30)</f>
        <v>49</v>
      </c>
      <c r="GA30">
        <f>SUMIFS(DataRegularSeason20242025!$AA$3:$AA$1315,DataRegularSeason20242025!$B$3:$B$1315, "&lt;=" &amp; GA$1, DataRegularSeason20242025!$D$3:$D$1315, $A30)+SUMIFS(DataRegularSeason20242025!$AB$3:$AB$1315,DataRegularSeason20242025!$B$3:$B$1315, "&lt;=" &amp; GA$1, DataRegularSeason20242025!$E$3:$E$1315, $A30)</f>
        <v>49</v>
      </c>
      <c r="GB30">
        <f>SUMIFS(DataRegularSeason20242025!$AA$3:$AA$1315,DataRegularSeason20242025!$B$3:$B$1315, "&lt;=" &amp; GB$1, DataRegularSeason20242025!$D$3:$D$1315, $A30)+SUMIFS(DataRegularSeason20242025!$AB$3:$AB$1315,DataRegularSeason20242025!$B$3:$B$1315, "&lt;=" &amp; GB$1, DataRegularSeason20242025!$E$3:$E$1315, $A30)</f>
        <v>49</v>
      </c>
      <c r="GC30">
        <f>SUMIFS(DataRegularSeason20242025!$AA$3:$AA$1315,DataRegularSeason20242025!$B$3:$B$1315, "&lt;=" &amp; GC$1, DataRegularSeason20242025!$D$3:$D$1315, $A30)+SUMIFS(DataRegularSeason20242025!$AB$3:$AB$1315,DataRegularSeason20242025!$B$3:$B$1315, "&lt;=" &amp; GC$1, DataRegularSeason20242025!$E$3:$E$1315, $A30)</f>
        <v>49</v>
      </c>
      <c r="GD30">
        <f>SUMIFS(DataRegularSeason20242025!$AA$3:$AA$1315,DataRegularSeason20242025!$B$3:$B$1315, "&lt;=" &amp; GD$1, DataRegularSeason20242025!$D$3:$D$1315, $A30)+SUMIFS(DataRegularSeason20242025!$AB$3:$AB$1315,DataRegularSeason20242025!$B$3:$B$1315, "&lt;=" &amp; GD$1, DataRegularSeason20242025!$E$3:$E$1315, $A30)</f>
        <v>49</v>
      </c>
      <c r="GE30">
        <f>SUMIFS(DataRegularSeason20242025!$AA$3:$AA$1315,DataRegularSeason20242025!$B$3:$B$1315, "&lt;=" &amp; GE$1, DataRegularSeason20242025!$D$3:$D$1315, $A30)+SUMIFS(DataRegularSeason20242025!$AB$3:$AB$1315,DataRegularSeason20242025!$B$3:$B$1315, "&lt;=" &amp; GE$1, DataRegularSeason20242025!$E$3:$E$1315, $A30)</f>
        <v>49</v>
      </c>
      <c r="GF30">
        <f>SUMIFS(DataRegularSeason20242025!$AA$3:$AA$1315,DataRegularSeason20242025!$B$3:$B$1315, "&lt;=" &amp; GF$1, DataRegularSeason20242025!$D$3:$D$1315, $A30)+SUMIFS(DataRegularSeason20242025!$AB$3:$AB$1315,DataRegularSeason20242025!$B$3:$B$1315, "&lt;=" &amp; GF$1, DataRegularSeason20242025!$E$3:$E$1315, $A30)</f>
        <v>49</v>
      </c>
      <c r="GG30">
        <f>SUMIFS(DataRegularSeason20242025!$AA$3:$AA$1315,DataRegularSeason20242025!$B$3:$B$1315, "&lt;=" &amp; GG$1, DataRegularSeason20242025!$D$3:$D$1315, $A30)+SUMIFS(DataRegularSeason20242025!$AB$3:$AB$1315,DataRegularSeason20242025!$B$3:$B$1315, "&lt;=" &amp; GG$1, DataRegularSeason20242025!$E$3:$E$1315, $A30)</f>
        <v>49</v>
      </c>
      <c r="GH30">
        <f>SUMIFS(DataRegularSeason20242025!$AA$3:$AA$1315,DataRegularSeason20242025!$B$3:$B$1315, "&lt;=" &amp; GH$1, DataRegularSeason20242025!$D$3:$D$1315, $A30)+SUMIFS(DataRegularSeason20242025!$AB$3:$AB$1315,DataRegularSeason20242025!$B$3:$B$1315, "&lt;=" &amp; GH$1, DataRegularSeason20242025!$E$3:$E$1315, $A30)</f>
        <v>49</v>
      </c>
      <c r="GI30">
        <f>SUMIFS(DataRegularSeason20242025!$AA$3:$AA$1315,DataRegularSeason20242025!$B$3:$B$1315, "&lt;=" &amp; GI$1, DataRegularSeason20242025!$D$3:$D$1315, $A30)+SUMIFS(DataRegularSeason20242025!$AB$3:$AB$1315,DataRegularSeason20242025!$B$3:$B$1315, "&lt;=" &amp; GI$1, DataRegularSeason20242025!$E$3:$E$1315, $A30)</f>
        <v>49</v>
      </c>
      <c r="GJ30">
        <f>SUMIFS(DataRegularSeason20242025!$AA$3:$AA$1315,DataRegularSeason20242025!$B$3:$B$1315, "&lt;=" &amp; GJ$1, DataRegularSeason20242025!$D$3:$D$1315, $A30)+SUMIFS(DataRegularSeason20242025!$AB$3:$AB$1315,DataRegularSeason20242025!$B$3:$B$1315, "&lt;=" &amp; GJ$1, DataRegularSeason20242025!$E$3:$E$1315, $A30)</f>
        <v>49</v>
      </c>
      <c r="GK30">
        <f>SUMIFS(DataRegularSeason20242025!$AA$3:$AA$1315,DataRegularSeason20242025!$B$3:$B$1315, "&lt;=" &amp; GK$1, DataRegularSeason20242025!$D$3:$D$1315, $A30)+SUMIFS(DataRegularSeason20242025!$AB$3:$AB$1315,DataRegularSeason20242025!$B$3:$B$1315, "&lt;=" &amp; GK$1, DataRegularSeason20242025!$E$3:$E$1315, $A30)</f>
        <v>49</v>
      </c>
      <c r="GL30">
        <f>SUMIFS(DataRegularSeason20242025!$AA$3:$AA$1315,DataRegularSeason20242025!$B$3:$B$1315, "&lt;=" &amp; GL$1, DataRegularSeason20242025!$D$3:$D$1315, $A30)+SUMIFS(DataRegularSeason20242025!$AB$3:$AB$1315,DataRegularSeason20242025!$B$3:$B$1315, "&lt;=" &amp; GL$1, DataRegularSeason20242025!$E$3:$E$1315, $A30)</f>
        <v>49</v>
      </c>
      <c r="GM30">
        <f>SUMIFS(DataRegularSeason20242025!$AA$3:$AA$1315,DataRegularSeason20242025!$B$3:$B$1315, "&lt;=" &amp; GM$1, DataRegularSeason20242025!$D$3:$D$1315, $A30)+SUMIFS(DataRegularSeason20242025!$AB$3:$AB$1315,DataRegularSeason20242025!$B$3:$B$1315, "&lt;=" &amp; GM$1, DataRegularSeason20242025!$E$3:$E$1315, $A30)</f>
        <v>49</v>
      </c>
      <c r="GN30">
        <f>SUMIFS(DataRegularSeason20242025!$AA$3:$AA$1315,DataRegularSeason20242025!$B$3:$B$1315, "&lt;=" &amp; GN$1, DataRegularSeason20242025!$D$3:$D$1315, $A30)+SUMIFS(DataRegularSeason20242025!$AB$3:$AB$1315,DataRegularSeason20242025!$B$3:$B$1315, "&lt;=" &amp; GN$1, DataRegularSeason20242025!$E$3:$E$1315, $A30)</f>
        <v>49</v>
      </c>
      <c r="GO30">
        <f>SUMIFS(DataRegularSeason20242025!$AA$3:$AA$1315,DataRegularSeason20242025!$B$3:$B$1315, "&lt;=" &amp; GO$1, DataRegularSeason20242025!$D$3:$D$1315, $A30)+SUMIFS(DataRegularSeason20242025!$AB$3:$AB$1315,DataRegularSeason20242025!$B$3:$B$1315, "&lt;=" &amp; GO$1, DataRegularSeason20242025!$E$3:$E$1315, $A30)</f>
        <v>49</v>
      </c>
      <c r="GP30">
        <f>SUMIFS(DataRegularSeason20242025!$AA$3:$AA$1315,DataRegularSeason20242025!$B$3:$B$1315, "&lt;=" &amp; GP$1, DataRegularSeason20242025!$D$3:$D$1315, $A30)+SUMIFS(DataRegularSeason20242025!$AB$3:$AB$1315,DataRegularSeason20242025!$B$3:$B$1315, "&lt;=" &amp; GP$1, DataRegularSeason20242025!$E$3:$E$1315, $A30)</f>
        <v>49</v>
      </c>
      <c r="GQ30">
        <f>SUMIFS(DataRegularSeason20242025!$AA$3:$AA$1315,DataRegularSeason20242025!$B$3:$B$1315, "&lt;=" &amp; GQ$1, DataRegularSeason20242025!$D$3:$D$1315, $A30)+SUMIFS(DataRegularSeason20242025!$AB$3:$AB$1315,DataRegularSeason20242025!$B$3:$B$1315, "&lt;=" &amp; GQ$1, DataRegularSeason20242025!$E$3:$E$1315, $A30)</f>
        <v>49</v>
      </c>
      <c r="GR30">
        <f>SUMIFS(DataRegularSeason20242025!$AA$3:$AA$1315,DataRegularSeason20242025!$B$3:$B$1315, "&lt;=" &amp; GR$1, DataRegularSeason20242025!$D$3:$D$1315, $A30)+SUMIFS(DataRegularSeason20242025!$AB$3:$AB$1315,DataRegularSeason20242025!$B$3:$B$1315, "&lt;=" &amp; GR$1, DataRegularSeason20242025!$E$3:$E$1315, $A30)</f>
        <v>49</v>
      </c>
      <c r="GS30">
        <f>SUMIFS(DataRegularSeason20242025!$AA$3:$AA$1315,DataRegularSeason20242025!$B$3:$B$1315, "&lt;=" &amp; GS$1, DataRegularSeason20242025!$D$3:$D$1315, $A30)+SUMIFS(DataRegularSeason20242025!$AB$3:$AB$1315,DataRegularSeason20242025!$B$3:$B$1315, "&lt;=" &amp; GS$1, DataRegularSeason20242025!$E$3:$E$1315, $A30)</f>
        <v>49</v>
      </c>
      <c r="GT30">
        <f>SUMIFS(DataRegularSeason20242025!$AA$3:$AA$1315,DataRegularSeason20242025!$B$3:$B$1315, "&lt;=" &amp; GT$1, DataRegularSeason20242025!$D$3:$D$1315, $A30)+SUMIFS(DataRegularSeason20242025!$AB$3:$AB$1315,DataRegularSeason20242025!$B$3:$B$1315, "&lt;=" &amp; GT$1, DataRegularSeason20242025!$E$3:$E$1315, $A30)</f>
        <v>49</v>
      </c>
      <c r="GU30">
        <f>SUMIFS(DataRegularSeason20242025!$AA$3:$AA$1315,DataRegularSeason20242025!$B$3:$B$1315, "&lt;=" &amp; GU$1, DataRegularSeason20242025!$D$3:$D$1315, $A30)+SUMIFS(DataRegularSeason20242025!$AB$3:$AB$1315,DataRegularSeason20242025!$B$3:$B$1315, "&lt;=" &amp; GU$1, DataRegularSeason20242025!$E$3:$E$1315, $A30)</f>
        <v>49</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46.90625</v>
      </c>
      <c r="DA34">
        <f>SUBTOTAL(101,Table4[2025-01-12])</f>
        <v>47.25</v>
      </c>
      <c r="DB34">
        <f>SUBTOTAL(101,Table4[2025-01-13])</f>
        <v>47.4375</v>
      </c>
      <c r="DC34">
        <f>SUBTOTAL(101,Table4[2025-01-14])</f>
        <v>47.5625</v>
      </c>
      <c r="DD34">
        <f>SUBTOTAL(101,Table4[2025-01-15])</f>
        <v>47.5625</v>
      </c>
      <c r="DE34">
        <f>SUBTOTAL(101,Table4[2025-01-16])</f>
        <v>47.5625</v>
      </c>
      <c r="DF34">
        <f>SUBTOTAL(101,Table4[2025-01-17])</f>
        <v>47.5625</v>
      </c>
      <c r="DG34">
        <f>SUBTOTAL(101,Table4[2025-01-18])</f>
        <v>47.5625</v>
      </c>
      <c r="DH34">
        <f>SUBTOTAL(101,Table4[2025-01-19])</f>
        <v>47.5625</v>
      </c>
      <c r="DI34">
        <f>SUBTOTAL(101,Table4[2025-01-20])</f>
        <v>47.5625</v>
      </c>
      <c r="DJ34">
        <f>SUBTOTAL(101,Table4[2025-01-21])</f>
        <v>47.5625</v>
      </c>
      <c r="DK34">
        <f>SUBTOTAL(101,Table4[2025-01-22])</f>
        <v>47.5625</v>
      </c>
      <c r="DL34">
        <f>SUBTOTAL(101,Table4[2025-01-23])</f>
        <v>47.5625</v>
      </c>
      <c r="DM34">
        <f>SUBTOTAL(101,Table4[2025-01-24])</f>
        <v>47.5625</v>
      </c>
      <c r="DN34">
        <f>SUBTOTAL(101,Table4[2025-01-25])</f>
        <v>47.5625</v>
      </c>
      <c r="DO34">
        <f>SUBTOTAL(101,Table4[2025-01-26])</f>
        <v>47.5625</v>
      </c>
      <c r="DP34">
        <f>SUBTOTAL(101,Table4[2025-01-27])</f>
        <v>47.5625</v>
      </c>
      <c r="DQ34">
        <f>SUBTOTAL(101,Table4[2025-01-28])</f>
        <v>47.5625</v>
      </c>
      <c r="DR34">
        <f>SUBTOTAL(101,Table4[2025-01-29])</f>
        <v>47.5625</v>
      </c>
      <c r="DS34">
        <f>SUBTOTAL(101,Table4[2025-01-30])</f>
        <v>47.5625</v>
      </c>
      <c r="DT34">
        <f>SUBTOTAL(101,Table4[2025-01-31])</f>
        <v>47.5625</v>
      </c>
      <c r="DU34">
        <f>SUBTOTAL(101,Table4[2025-02-01])</f>
        <v>47.5625</v>
      </c>
      <c r="DV34">
        <f>SUBTOTAL(101,Table4[2025-02-02])</f>
        <v>47.5625</v>
      </c>
      <c r="DW34">
        <f>SUBTOTAL(101,Table4[2025-02-03])</f>
        <v>47.5625</v>
      </c>
      <c r="DX34">
        <f>SUBTOTAL(101,Table4[2025-02-04])</f>
        <v>47.5625</v>
      </c>
      <c r="DY34">
        <f>SUBTOTAL(101,Table4[2025-02-05])</f>
        <v>47.5625</v>
      </c>
      <c r="DZ34">
        <f>SUBTOTAL(101,Table4[2025-02-06])</f>
        <v>47.5625</v>
      </c>
      <c r="EA34">
        <f>SUBTOTAL(101,Table4[2025-02-07])</f>
        <v>47.5625</v>
      </c>
      <c r="EB34">
        <f>SUBTOTAL(101,Table4[2025-02-08])</f>
        <v>47.5625</v>
      </c>
      <c r="EC34">
        <f>SUBTOTAL(101,Table4[2025-02-09])</f>
        <v>47.5625</v>
      </c>
      <c r="ED34">
        <f>SUBTOTAL(101,Table4[2025-02-10])</f>
        <v>47.5625</v>
      </c>
      <c r="EE34">
        <f>SUBTOTAL(101,Table4[2025-02-11])</f>
        <v>47.5625</v>
      </c>
      <c r="EF34">
        <f>SUBTOTAL(101,Table4[2025-02-12])</f>
        <v>47.5625</v>
      </c>
      <c r="EG34">
        <f>SUBTOTAL(101,Table4[2025-02-13])</f>
        <v>47.5625</v>
      </c>
      <c r="EH34">
        <f>SUBTOTAL(101,Table4[2025-02-14])</f>
        <v>47.5625</v>
      </c>
      <c r="EI34">
        <f>SUBTOTAL(101,Table4[2025-02-15])</f>
        <v>47.5625</v>
      </c>
      <c r="EJ34">
        <f>SUBTOTAL(101,Table4[2025-02-16])</f>
        <v>47.5625</v>
      </c>
      <c r="EK34">
        <f>SUBTOTAL(101,Table4[2025-02-17])</f>
        <v>47.5625</v>
      </c>
      <c r="EL34">
        <f>SUBTOTAL(101,Table4[2025-02-18])</f>
        <v>47.5625</v>
      </c>
      <c r="EM34">
        <f>SUBTOTAL(101,Table4[2025-02-19])</f>
        <v>47.5625</v>
      </c>
      <c r="EN34">
        <f>SUBTOTAL(101,Table4[2025-02-20])</f>
        <v>47.5625</v>
      </c>
      <c r="EO34">
        <f>SUBTOTAL(101,Table4[2025-02-21])</f>
        <v>47.5625</v>
      </c>
      <c r="EP34">
        <f>SUBTOTAL(101,Table4[2025-02-22])</f>
        <v>47.5625</v>
      </c>
      <c r="EQ34">
        <f>SUBTOTAL(101,Table4[2025-02-23])</f>
        <v>47.5625</v>
      </c>
      <c r="ER34">
        <f>SUBTOTAL(101,Table4[2025-02-24])</f>
        <v>47.5625</v>
      </c>
      <c r="ES34">
        <f>SUBTOTAL(101,Table4[2025-02-25])</f>
        <v>47.5625</v>
      </c>
      <c r="ET34">
        <f>SUBTOTAL(101,Table4[2025-02-26])</f>
        <v>47.5625</v>
      </c>
      <c r="EU34">
        <f>SUBTOTAL(101,Table4[2025-02-27])</f>
        <v>47.5625</v>
      </c>
      <c r="EV34">
        <f>SUBTOTAL(101,Table4[2025-02-28])</f>
        <v>47.5625</v>
      </c>
      <c r="EW34">
        <f>SUBTOTAL(101,Table4[2025-03-01])</f>
        <v>47.5625</v>
      </c>
      <c r="EX34">
        <f>SUBTOTAL(101,Table4[2025-03-02])</f>
        <v>47.5625</v>
      </c>
      <c r="EY34">
        <f>SUBTOTAL(101,Table4[2025-03-03])</f>
        <v>47.5625</v>
      </c>
      <c r="EZ34">
        <f>SUBTOTAL(101,Table4[2025-03-04])</f>
        <v>47.5625</v>
      </c>
      <c r="FA34">
        <f>SUBTOTAL(101,Table4[2025-03-05])</f>
        <v>47.5625</v>
      </c>
      <c r="FB34">
        <f>SUBTOTAL(101,Table4[2025-03-06])</f>
        <v>47.5625</v>
      </c>
      <c r="FC34">
        <f>SUBTOTAL(101,Table4[2025-03-07])</f>
        <v>47.5625</v>
      </c>
      <c r="FD34">
        <f>SUBTOTAL(101,Table4[2025-03-08])</f>
        <v>47.5625</v>
      </c>
      <c r="FE34">
        <f>SUBTOTAL(101,Table4[2025-03-09])</f>
        <v>47.5625</v>
      </c>
      <c r="FF34">
        <f>SUBTOTAL(101,Table4[2025-03-10])</f>
        <v>47.5625</v>
      </c>
      <c r="FG34">
        <f>SUBTOTAL(101,Table4[2025-03-11])</f>
        <v>47.5625</v>
      </c>
      <c r="FH34">
        <f>SUBTOTAL(101,Table4[2025-03-12])</f>
        <v>47.5625</v>
      </c>
      <c r="FI34">
        <f>SUBTOTAL(101,Table4[2025-03-13])</f>
        <v>47.5625</v>
      </c>
      <c r="FJ34">
        <f>SUBTOTAL(101,Table4[2025-03-14])</f>
        <v>47.5625</v>
      </c>
      <c r="FK34">
        <f>SUBTOTAL(101,Table4[2025-03-15])</f>
        <v>47.5625</v>
      </c>
      <c r="FL34">
        <f>SUBTOTAL(101,Table4[2025-03-16])</f>
        <v>47.5625</v>
      </c>
      <c r="FM34">
        <f>SUBTOTAL(101,Table4[2025-03-17])</f>
        <v>47.5625</v>
      </c>
      <c r="FN34">
        <f>SUBTOTAL(101,Table4[2025-03-18])</f>
        <v>47.5625</v>
      </c>
      <c r="FO34">
        <f>SUBTOTAL(101,Table4[2025-03-19])</f>
        <v>47.5625</v>
      </c>
      <c r="FP34">
        <f>SUBTOTAL(101,Table4[2025-03-20])</f>
        <v>47.5625</v>
      </c>
      <c r="FQ34">
        <f>SUBTOTAL(101,Table4[2025-03-21])</f>
        <v>47.5625</v>
      </c>
      <c r="FR34">
        <f>SUBTOTAL(101,Table4[2025-03-22])</f>
        <v>47.5625</v>
      </c>
      <c r="FS34">
        <f>SUBTOTAL(101,Table4[2025-03-23])</f>
        <v>47.5625</v>
      </c>
      <c r="FT34">
        <f>SUBTOTAL(101,Table4[2025-03-24])</f>
        <v>47.5625</v>
      </c>
      <c r="FU34">
        <f>SUBTOTAL(101,Table4[2025-03-25])</f>
        <v>47.5625</v>
      </c>
      <c r="FV34">
        <f>SUBTOTAL(101,Table4[2025-03-26])</f>
        <v>47.5625</v>
      </c>
      <c r="FW34">
        <f>SUBTOTAL(101,Table4[2025-03-27])</f>
        <v>47.5625</v>
      </c>
      <c r="FX34">
        <f>SUBTOTAL(101,Table4[2025-03-28])</f>
        <v>47.5625</v>
      </c>
      <c r="FY34">
        <f>SUBTOTAL(101,Table4[2025-03-29])</f>
        <v>47.5625</v>
      </c>
      <c r="FZ34">
        <f>SUBTOTAL(101,Table4[2025-03-30])</f>
        <v>47.5625</v>
      </c>
      <c r="GA34">
        <f>SUBTOTAL(101,Table4[2025-03-31])</f>
        <v>47.5625</v>
      </c>
      <c r="GB34">
        <f>SUBTOTAL(101,Table4[2025-04-01])</f>
        <v>47.5625</v>
      </c>
      <c r="GC34">
        <f>SUBTOTAL(101,Table4[2025-04-02])</f>
        <v>47.5625</v>
      </c>
      <c r="GD34">
        <f>SUBTOTAL(101,Table4[2025-04-03])</f>
        <v>47.5625</v>
      </c>
      <c r="GE34">
        <f>SUBTOTAL(101,Table4[2025-04-04])</f>
        <v>47.5625</v>
      </c>
      <c r="GF34">
        <f>SUBTOTAL(101,Table4[2025-04-05])</f>
        <v>47.5625</v>
      </c>
      <c r="GG34">
        <f>SUBTOTAL(101,Table4[2025-04-06])</f>
        <v>47.5625</v>
      </c>
      <c r="GH34">
        <f>SUBTOTAL(101,Table4[2025-04-07])</f>
        <v>47.5625</v>
      </c>
      <c r="GI34">
        <f>SUBTOTAL(101,Table4[2025-04-08])</f>
        <v>47.5625</v>
      </c>
      <c r="GJ34">
        <f>SUBTOTAL(101,Table4[2025-04-09])</f>
        <v>47.5625</v>
      </c>
      <c r="GK34">
        <f>SUBTOTAL(101,Table4[2025-04-10])</f>
        <v>47.5625</v>
      </c>
      <c r="GL34">
        <f>SUBTOTAL(101,Table4[2025-04-11])</f>
        <v>47.5625</v>
      </c>
      <c r="GM34">
        <f>SUBTOTAL(101,Table4[2025-04-12])</f>
        <v>47.5625</v>
      </c>
      <c r="GN34">
        <f>SUBTOTAL(101,Table4[2025-04-13])</f>
        <v>47.5625</v>
      </c>
      <c r="GO34">
        <f>SUBTOTAL(101,Table4[2025-04-14])</f>
        <v>47.5625</v>
      </c>
      <c r="GP34">
        <f>SUBTOTAL(101,Table4[2025-04-15])</f>
        <v>47.5625</v>
      </c>
      <c r="GQ34">
        <f>SUBTOTAL(101,Table4[2025-04-16])</f>
        <v>47.5625</v>
      </c>
      <c r="GR34">
        <f>SUBTOTAL(101,Table4[2025-04-17])</f>
        <v>47.5625</v>
      </c>
      <c r="GS34">
        <f>SUBTOTAL(101,Table4[2025-04-18])</f>
        <v>47.5625</v>
      </c>
      <c r="GT34">
        <f>SUBTOTAL(101,Table4[2025-04-19])</f>
        <v>47.5625</v>
      </c>
      <c r="GU34">
        <f>SUBTOTAL(101,Table4[2025-04-20])</f>
        <v>47.5625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5">
        <f>BO3+BO4</f>
        <v>82</v>
      </c>
    </row>
    <row r="4" spans="1:68" ht="9.9499999999999993" customHeight="1" x14ac:dyDescent="0.25">
      <c r="A4" s="9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5"/>
    </row>
    <row r="5" spans="1:68" ht="9.9499999999999993" customHeight="1" x14ac:dyDescent="0.25">
      <c r="A5" s="9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5">
        <f t="shared" ref="BP5" si="1">BO5+BO6</f>
        <v>82</v>
      </c>
    </row>
    <row r="6" spans="1:68" ht="9.9499999999999993" customHeight="1" x14ac:dyDescent="0.25">
      <c r="A6" s="9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5"/>
    </row>
    <row r="7" spans="1:68" ht="9.9499999999999993" customHeight="1" x14ac:dyDescent="0.25">
      <c r="A7" s="9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5">
        <f t="shared" ref="BP7" si="2">BO7+BO8</f>
        <v>82</v>
      </c>
    </row>
    <row r="8" spans="1:68" ht="9.9499999999999993" customHeight="1" x14ac:dyDescent="0.25">
      <c r="A8" s="9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5"/>
    </row>
    <row r="9" spans="1:68" ht="9.9499999999999993" customHeight="1" x14ac:dyDescent="0.25">
      <c r="A9" s="9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5">
        <f t="shared" ref="BP9" si="3">BO9+BO10</f>
        <v>82</v>
      </c>
    </row>
    <row r="10" spans="1:68" ht="9.9499999999999993" customHeight="1" x14ac:dyDescent="0.25">
      <c r="A10" s="9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5"/>
    </row>
    <row r="11" spans="1:68" ht="9.9499999999999993" customHeight="1" x14ac:dyDescent="0.25">
      <c r="A11" s="9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5">
        <f t="shared" ref="BP11" si="4">BO11+BO12</f>
        <v>82</v>
      </c>
    </row>
    <row r="12" spans="1:68" ht="9.9499999999999993" customHeight="1" x14ac:dyDescent="0.25">
      <c r="A12" s="9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5"/>
    </row>
    <row r="13" spans="1:68" ht="9.9499999999999993" customHeight="1" x14ac:dyDescent="0.25">
      <c r="A13" s="9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5">
        <f t="shared" ref="BP13" si="5">BO13+BO14</f>
        <v>82</v>
      </c>
    </row>
    <row r="14" spans="1:68" ht="9.9499999999999993" customHeight="1" x14ac:dyDescent="0.25">
      <c r="A14" s="9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5"/>
    </row>
    <row r="15" spans="1:68" ht="9.9499999999999993" customHeight="1" x14ac:dyDescent="0.25">
      <c r="A15" s="9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5">
        <f t="shared" ref="BP15" si="6">BO15+BO16</f>
        <v>82</v>
      </c>
    </row>
    <row r="16" spans="1:68" ht="9.9499999999999993" customHeight="1" x14ac:dyDescent="0.25">
      <c r="A16" s="9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5"/>
    </row>
    <row r="17" spans="1:68" ht="9.9499999999999993" customHeight="1" x14ac:dyDescent="0.25">
      <c r="A17" s="9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5">
        <f t="shared" ref="BP17" si="7">BO17+BO18</f>
        <v>82</v>
      </c>
    </row>
    <row r="18" spans="1:68" ht="9.9499999999999993" customHeight="1" x14ac:dyDescent="0.25">
      <c r="A18" s="9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5"/>
    </row>
    <row r="19" spans="1:68" ht="9.9499999999999993" customHeight="1" x14ac:dyDescent="0.25">
      <c r="A19" s="9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5">
        <f t="shared" ref="BP19" si="8">BO19+BO20</f>
        <v>82</v>
      </c>
    </row>
    <row r="20" spans="1:68" ht="9.9499999999999993" customHeight="1" x14ac:dyDescent="0.25">
      <c r="A20" s="9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5"/>
    </row>
    <row r="21" spans="1:68" ht="9.9499999999999993" customHeight="1" x14ac:dyDescent="0.25">
      <c r="A21" s="9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5">
        <f t="shared" ref="BP21" si="9">BO21+BO22</f>
        <v>82</v>
      </c>
    </row>
    <row r="22" spans="1:68" ht="9.9499999999999993" customHeight="1" x14ac:dyDescent="0.25">
      <c r="A22" s="9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5"/>
    </row>
    <row r="23" spans="1:68" ht="9.9499999999999993" customHeight="1" x14ac:dyDescent="0.25">
      <c r="A23" s="9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5">
        <f t="shared" ref="BP23" si="10">BO23+BO24</f>
        <v>82</v>
      </c>
    </row>
    <row r="24" spans="1:68" ht="9.9499999999999993" customHeight="1" x14ac:dyDescent="0.25">
      <c r="A24" s="9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5"/>
    </row>
    <row r="25" spans="1:68" ht="9.9499999999999993" customHeight="1" x14ac:dyDescent="0.25">
      <c r="A25" s="9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5">
        <f t="shared" ref="BP25" si="11">BO25+BO26</f>
        <v>82</v>
      </c>
    </row>
    <row r="26" spans="1:68" ht="9.9499999999999993" customHeight="1" x14ac:dyDescent="0.25">
      <c r="A26" s="9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5"/>
    </row>
    <row r="27" spans="1:68" ht="9.9499999999999993" customHeight="1" x14ac:dyDescent="0.25">
      <c r="A27" s="9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5">
        <f t="shared" ref="BP27" si="12">BO27+BO28</f>
        <v>82</v>
      </c>
    </row>
    <row r="28" spans="1:68" ht="9.9499999999999993" customHeight="1" x14ac:dyDescent="0.25">
      <c r="A28" s="9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5"/>
    </row>
    <row r="29" spans="1:68" ht="9.9499999999999993" customHeight="1" x14ac:dyDescent="0.25">
      <c r="A29" s="9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5">
        <f t="shared" ref="BP29" si="13">BO29+BO30</f>
        <v>82</v>
      </c>
    </row>
    <row r="30" spans="1:68" ht="9.9499999999999993" customHeight="1" x14ac:dyDescent="0.25">
      <c r="A30" s="9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5"/>
    </row>
    <row r="31" spans="1:68" ht="9.9499999999999993" customHeight="1" x14ac:dyDescent="0.25">
      <c r="A31" s="9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5">
        <f t="shared" ref="BP31" si="14">BO31+BO32</f>
        <v>82</v>
      </c>
    </row>
    <row r="32" spans="1:68" ht="9.9499999999999993" customHeight="1" x14ac:dyDescent="0.25">
      <c r="A32" s="9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5"/>
    </row>
    <row r="33" spans="1:68" ht="9.9499999999999993" customHeight="1" x14ac:dyDescent="0.25">
      <c r="A33" s="9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5">
        <f t="shared" ref="BP33" si="15">BO33+BO34</f>
        <v>82</v>
      </c>
    </row>
    <row r="34" spans="1:68" ht="9.9499999999999993" customHeight="1" x14ac:dyDescent="0.25">
      <c r="A34" s="9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5"/>
    </row>
    <row r="35" spans="1:68" ht="9.9499999999999993" customHeight="1" x14ac:dyDescent="0.25">
      <c r="A35" s="9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5">
        <f t="shared" ref="BP35" si="16">BO35+BO36</f>
        <v>82</v>
      </c>
    </row>
    <row r="36" spans="1:68" ht="9.9499999999999993" customHeight="1" x14ac:dyDescent="0.25">
      <c r="A36" s="9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5"/>
    </row>
    <row r="37" spans="1:68" ht="9.9499999999999993" customHeight="1" x14ac:dyDescent="0.25">
      <c r="A37" s="9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5">
        <f t="shared" ref="BP37" si="17">BO37+BO38</f>
        <v>82</v>
      </c>
    </row>
    <row r="38" spans="1:68" ht="9.9499999999999993" customHeight="1" x14ac:dyDescent="0.25">
      <c r="A38" s="9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5"/>
    </row>
    <row r="39" spans="1:68" ht="9.9499999999999993" customHeight="1" x14ac:dyDescent="0.25">
      <c r="A39" s="9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5">
        <f t="shared" ref="BP39" si="18">BO39+BO40</f>
        <v>82</v>
      </c>
    </row>
    <row r="40" spans="1:68" ht="9.9499999999999993" customHeight="1" x14ac:dyDescent="0.25">
      <c r="A40" s="9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5"/>
    </row>
    <row r="41" spans="1:68" ht="9.9499999999999993" customHeight="1" x14ac:dyDescent="0.25">
      <c r="A41" s="9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5">
        <f t="shared" ref="BP41" si="19">BO41+BO42</f>
        <v>82</v>
      </c>
    </row>
    <row r="42" spans="1:68" ht="9.9499999999999993" customHeight="1" x14ac:dyDescent="0.25">
      <c r="A42" s="9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5"/>
    </row>
    <row r="43" spans="1:68" ht="9.9499999999999993" customHeight="1" x14ac:dyDescent="0.25">
      <c r="A43" s="9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5">
        <f t="shared" ref="BP43" si="20">BO43+BO44</f>
        <v>82</v>
      </c>
    </row>
    <row r="44" spans="1:68" ht="9.9499999999999993" customHeight="1" x14ac:dyDescent="0.25">
      <c r="A44" s="9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5"/>
    </row>
    <row r="45" spans="1:68" ht="9.9499999999999993" customHeight="1" x14ac:dyDescent="0.25">
      <c r="A45" s="9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5">
        <f t="shared" ref="BP45" si="21">BO45+BO46</f>
        <v>82</v>
      </c>
    </row>
    <row r="46" spans="1:68" ht="9.9499999999999993" customHeight="1" x14ac:dyDescent="0.25">
      <c r="A46" s="9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5"/>
    </row>
    <row r="47" spans="1:68" ht="9.9499999999999993" customHeight="1" x14ac:dyDescent="0.25">
      <c r="A47" s="9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5">
        <f t="shared" ref="BP47" si="22">BO47+BO48</f>
        <v>82</v>
      </c>
    </row>
    <row r="48" spans="1:68" ht="9.9499999999999993" customHeight="1" x14ac:dyDescent="0.25">
      <c r="A48" s="9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5"/>
    </row>
    <row r="49" spans="1:68" ht="9.9499999999999993" customHeight="1" x14ac:dyDescent="0.25">
      <c r="A49" s="9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5">
        <f t="shared" ref="BP49" si="23">BO49+BO50</f>
        <v>82</v>
      </c>
    </row>
    <row r="50" spans="1:68" ht="9.9499999999999993" customHeight="1" x14ac:dyDescent="0.25">
      <c r="A50" s="9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5"/>
    </row>
    <row r="51" spans="1:68" ht="9.9499999999999993" customHeight="1" x14ac:dyDescent="0.25">
      <c r="A51" s="9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5">
        <f t="shared" ref="BP51" si="24">BO51+BO52</f>
        <v>82</v>
      </c>
    </row>
    <row r="52" spans="1:68" ht="9.9499999999999993" customHeight="1" x14ac:dyDescent="0.25">
      <c r="A52" s="9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5"/>
    </row>
    <row r="53" spans="1:68" ht="9.9499999999999993" customHeight="1" x14ac:dyDescent="0.25">
      <c r="A53" s="9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5">
        <f t="shared" ref="BP53" si="25">BO53+BO54</f>
        <v>82</v>
      </c>
    </row>
    <row r="54" spans="1:68" ht="9.9499999999999993" customHeight="1" x14ac:dyDescent="0.25">
      <c r="A54" s="9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5"/>
    </row>
    <row r="55" spans="1:68" ht="9.9499999999999993" customHeight="1" x14ac:dyDescent="0.25">
      <c r="A55" s="9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5">
        <f t="shared" ref="BP55" si="26">BO55+BO56</f>
        <v>82</v>
      </c>
    </row>
    <row r="56" spans="1:68" ht="9.9499999999999993" customHeight="1" x14ac:dyDescent="0.25">
      <c r="A56" s="9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5"/>
    </row>
    <row r="57" spans="1:68" ht="9.9499999999999993" customHeight="1" x14ac:dyDescent="0.25">
      <c r="A57" s="9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5">
        <f t="shared" ref="BP57" si="27">BO57+BO58</f>
        <v>82</v>
      </c>
    </row>
    <row r="58" spans="1:68" ht="9.9499999999999993" customHeight="1" x14ac:dyDescent="0.25">
      <c r="A58" s="9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5"/>
    </row>
    <row r="59" spans="1:68" ht="9.9499999999999993" customHeight="1" x14ac:dyDescent="0.25">
      <c r="A59" s="9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5">
        <f t="shared" ref="BP59" si="28">BO59+BO60</f>
        <v>82</v>
      </c>
    </row>
    <row r="60" spans="1:68" ht="9.9499999999999993" customHeight="1" x14ac:dyDescent="0.25">
      <c r="A60" s="9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5"/>
    </row>
    <row r="61" spans="1:68" ht="9.9499999999999993" customHeight="1" x14ac:dyDescent="0.25">
      <c r="A61" s="9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5">
        <f t="shared" ref="BP61" si="29">BO61+BO62</f>
        <v>82</v>
      </c>
    </row>
    <row r="62" spans="1:68" ht="9.9499999999999993" customHeight="1" x14ac:dyDescent="0.25">
      <c r="A62" s="9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5"/>
    </row>
    <row r="63" spans="1:68" ht="9.9499999999999993" customHeight="1" x14ac:dyDescent="0.25">
      <c r="A63" s="9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5">
        <f t="shared" ref="BP63" si="30">BO63+BO64</f>
        <v>82</v>
      </c>
    </row>
    <row r="64" spans="1:68" ht="9.9499999999999993" customHeight="1" x14ac:dyDescent="0.25">
      <c r="A64" s="9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5"/>
    </row>
    <row r="65" spans="1:68" ht="9.9499999999999993" customHeight="1" x14ac:dyDescent="0.25">
      <c r="A65" s="9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5">
        <f t="shared" ref="BP65" si="31">BO65+BO66</f>
        <v>82</v>
      </c>
    </row>
    <row r="66" spans="1:68" ht="9.9499999999999993" customHeight="1" x14ac:dyDescent="0.25">
      <c r="A66" s="9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95">
        <f>BO3+BO4</f>
        <v>43</v>
      </c>
      <c r="BQ3" s="91">
        <f>82-BP3</f>
        <v>39</v>
      </c>
    </row>
    <row r="4" spans="1:69" ht="9.9499999999999993" customHeight="1" x14ac:dyDescent="0.25">
      <c r="A4" s="9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5"/>
      <c r="BQ4" s="91"/>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5">
        <f t="shared" ref="BP5" si="1">BO5+BO6</f>
        <v>45</v>
      </c>
      <c r="BQ5" s="91">
        <f t="shared" ref="BQ5" si="2">82-BP5</f>
        <v>37</v>
      </c>
    </row>
    <row r="6" spans="1:69" ht="9.9499999999999993" customHeight="1" x14ac:dyDescent="0.25">
      <c r="A6" s="9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95"/>
      <c r="BQ6" s="91"/>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5">
        <f t="shared" ref="BP7" si="3">BO7+BO8</f>
        <v>43</v>
      </c>
      <c r="BQ7" s="91">
        <f t="shared" ref="BQ7" si="4">82-BP7</f>
        <v>39</v>
      </c>
    </row>
    <row r="8" spans="1:69" ht="9.9499999999999993" customHeight="1" x14ac:dyDescent="0.25">
      <c r="A8" s="9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5"/>
      <c r="BQ8" s="91"/>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5">
        <f t="shared" ref="BP9" si="5">BO9+BO10</f>
        <v>43</v>
      </c>
      <c r="BQ9" s="91">
        <f t="shared" ref="BQ9" si="6">82-BP9</f>
        <v>39</v>
      </c>
    </row>
    <row r="10" spans="1:69" ht="9.9499999999999993" customHeight="1" x14ac:dyDescent="0.25">
      <c r="A10" s="92"/>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95"/>
      <c r="BQ10" s="91"/>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5">
        <f t="shared" ref="BP11" si="7">BO11+BO12</f>
        <v>43</v>
      </c>
      <c r="BQ11" s="91">
        <f t="shared" ref="BQ11" si="8">82-BP11</f>
        <v>39</v>
      </c>
    </row>
    <row r="12" spans="1:69" ht="9.9499999999999993" customHeight="1" x14ac:dyDescent="0.25">
      <c r="A12" s="92"/>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5"/>
      <c r="BQ12" s="91"/>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1</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19</v>
      </c>
      <c r="BP13" s="95">
        <f t="shared" ref="BP13" si="9">BO13+BO14</f>
        <v>42</v>
      </c>
      <c r="BQ13" s="91">
        <f t="shared" ref="BQ13" si="10">82-BP13</f>
        <v>40</v>
      </c>
    </row>
    <row r="14" spans="1:69" ht="9.9499999999999993" customHeight="1" x14ac:dyDescent="0.25">
      <c r="A14" s="9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95"/>
      <c r="BQ14" s="91"/>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5">
        <f t="shared" ref="BP15" si="11">BO15+BO16</f>
        <v>44</v>
      </c>
      <c r="BQ15" s="91">
        <f t="shared" ref="BQ15" si="12">82-BP15</f>
        <v>38</v>
      </c>
    </row>
    <row r="16" spans="1:69" ht="9.9499999999999993" customHeight="1" x14ac:dyDescent="0.25">
      <c r="A16" s="9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1</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22</v>
      </c>
      <c r="BP16" s="95"/>
      <c r="BQ16" s="91"/>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5">
        <f t="shared" ref="BP17" si="13">BO17+BO18</f>
        <v>44</v>
      </c>
      <c r="BQ17" s="91">
        <f t="shared" ref="BQ17" si="14">82-BP17</f>
        <v>38</v>
      </c>
    </row>
    <row r="18" spans="1:69" ht="9.9499999999999993" customHeight="1" x14ac:dyDescent="0.25">
      <c r="A18" s="9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5"/>
      <c r="BQ18" s="91"/>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20</v>
      </c>
      <c r="BP19" s="95">
        <f t="shared" ref="BP19" si="15">BO19+BO20</f>
        <v>42</v>
      </c>
      <c r="BQ19" s="91">
        <f t="shared" ref="BQ19" si="16">82-BP19</f>
        <v>40</v>
      </c>
    </row>
    <row r="20" spans="1:69" ht="9.9499999999999993" customHeight="1" x14ac:dyDescent="0.25">
      <c r="A20" s="9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5"/>
      <c r="BQ20" s="91"/>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5">
        <f t="shared" ref="BP21" si="17">BO21+BO22</f>
        <v>42</v>
      </c>
      <c r="BQ21" s="91">
        <f t="shared" ref="BQ21" si="18">82-BP21</f>
        <v>40</v>
      </c>
    </row>
    <row r="22" spans="1:69" ht="9.9499999999999993" customHeight="1" x14ac:dyDescent="0.25">
      <c r="A22" s="9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24</v>
      </c>
      <c r="BP22" s="95"/>
      <c r="BQ22" s="91"/>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5">
        <f t="shared" ref="BP23" si="19">BO23+BO24</f>
        <v>43</v>
      </c>
      <c r="BQ23" s="91">
        <f t="shared" ref="BQ23" si="20">82-BP23</f>
        <v>39</v>
      </c>
    </row>
    <row r="24" spans="1:69" ht="9.9499999999999993" customHeight="1" x14ac:dyDescent="0.25">
      <c r="A24" s="92"/>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1</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23</v>
      </c>
      <c r="BP24" s="95"/>
      <c r="BQ24" s="91"/>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2</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22</v>
      </c>
      <c r="BP25" s="95">
        <f t="shared" ref="BP25" si="21">BO25+BO26</f>
        <v>44</v>
      </c>
      <c r="BQ25" s="91">
        <f t="shared" ref="BQ25" si="22">82-BP25</f>
        <v>38</v>
      </c>
    </row>
    <row r="26" spans="1:69" ht="9.9499999999999993" customHeight="1" x14ac:dyDescent="0.25">
      <c r="A26" s="9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5"/>
      <c r="BQ26" s="91"/>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1</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24</v>
      </c>
      <c r="BP27" s="95">
        <f t="shared" ref="BP27" si="23">BO27+BO28</f>
        <v>41</v>
      </c>
      <c r="BQ27" s="91">
        <f t="shared" ref="BQ27" si="24">82-BP27</f>
        <v>41</v>
      </c>
    </row>
    <row r="28" spans="1:69" ht="9.9499999999999993" customHeight="1" x14ac:dyDescent="0.25">
      <c r="A28" s="9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5"/>
      <c r="BQ28" s="91"/>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1</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23</v>
      </c>
      <c r="BP29" s="95">
        <f t="shared" ref="BP29" si="25">BO29+BO30</f>
        <v>44</v>
      </c>
      <c r="BQ29" s="91">
        <f t="shared" ref="BQ29" si="26">82-BP29</f>
        <v>38</v>
      </c>
    </row>
    <row r="30" spans="1:69" ht="9.9499999999999993" customHeight="1" x14ac:dyDescent="0.25">
      <c r="A30" s="9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5"/>
      <c r="BQ30" s="91"/>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1</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22</v>
      </c>
      <c r="BP31" s="95">
        <f t="shared" ref="BP31" si="27">BO31+BO32</f>
        <v>43</v>
      </c>
      <c r="BQ31" s="91">
        <f t="shared" ref="BQ31" si="28">82-BP31</f>
        <v>39</v>
      </c>
    </row>
    <row r="32" spans="1:69" ht="9.9499999999999993" customHeight="1" x14ac:dyDescent="0.25">
      <c r="A32" s="9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5"/>
      <c r="BQ32" s="91"/>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5">
        <f t="shared" ref="BP33" si="29">BO33+BO34</f>
        <v>45</v>
      </c>
      <c r="BQ33" s="91">
        <f t="shared" ref="BQ33" si="30">82-BP33</f>
        <v>37</v>
      </c>
    </row>
    <row r="34" spans="1:69" ht="9.9499999999999993" customHeight="1" x14ac:dyDescent="0.25">
      <c r="A34" s="9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5"/>
      <c r="BQ34" s="91"/>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5">
        <f t="shared" ref="BP35" si="31">BO35+BO36</f>
        <v>42</v>
      </c>
      <c r="BQ35" s="91">
        <f t="shared" ref="BQ35" si="32">82-BP35</f>
        <v>40</v>
      </c>
    </row>
    <row r="36" spans="1:69" ht="9.9499999999999993" customHeight="1" x14ac:dyDescent="0.25">
      <c r="A36" s="9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5"/>
      <c r="BQ36" s="91"/>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95">
        <f t="shared" ref="BP37" si="33">BO37+BO38</f>
        <v>43</v>
      </c>
      <c r="BQ37" s="91">
        <f t="shared" ref="BQ37" si="34">82-BP37</f>
        <v>39</v>
      </c>
    </row>
    <row r="38" spans="1:69" ht="9.9499999999999993" customHeight="1" x14ac:dyDescent="0.25">
      <c r="A38" s="9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1</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19</v>
      </c>
      <c r="BP38" s="95"/>
      <c r="BQ38" s="91"/>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95">
        <f t="shared" ref="BP39" si="35">BO39+BO40</f>
        <v>42</v>
      </c>
      <c r="BQ39" s="91">
        <f t="shared" ref="BQ39" si="36">82-BP39</f>
        <v>40</v>
      </c>
    </row>
    <row r="40" spans="1:69" ht="9.9499999999999993" customHeight="1" x14ac:dyDescent="0.25">
      <c r="A40" s="9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5"/>
      <c r="BQ40" s="91"/>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1</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24</v>
      </c>
      <c r="BP41" s="95">
        <f t="shared" ref="BP41" si="37">BO41+BO42</f>
        <v>43</v>
      </c>
      <c r="BQ41" s="91">
        <f t="shared" ref="BQ41" si="38">82-BP41</f>
        <v>39</v>
      </c>
    </row>
    <row r="42" spans="1:69" ht="9.9499999999999993" customHeight="1" x14ac:dyDescent="0.25">
      <c r="A42" s="9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95"/>
      <c r="BQ42" s="91"/>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5">
        <f t="shared" ref="BP43" si="39">BO43+BO44</f>
        <v>44</v>
      </c>
      <c r="BQ43" s="91">
        <f t="shared" ref="BQ43" si="40">82-BP43</f>
        <v>38</v>
      </c>
    </row>
    <row r="44" spans="1:69" ht="9.9499999999999993" customHeight="1" x14ac:dyDescent="0.25">
      <c r="A44" s="92"/>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2</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22</v>
      </c>
      <c r="BP44" s="95"/>
      <c r="BQ44" s="91"/>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5">
        <f t="shared" ref="BP45" si="41">BO45+BO46</f>
        <v>45</v>
      </c>
      <c r="BQ45" s="91">
        <f t="shared" ref="BQ45" si="42">82-BP45</f>
        <v>37</v>
      </c>
    </row>
    <row r="46" spans="1:69" ht="9.9499999999999993" customHeight="1" x14ac:dyDescent="0.25">
      <c r="A46" s="9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24</v>
      </c>
      <c r="BP46" s="95"/>
      <c r="BQ46" s="91"/>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22</v>
      </c>
      <c r="BP47" s="95">
        <f t="shared" ref="BP47" si="43">BO47+BO48</f>
        <v>44</v>
      </c>
      <c r="BQ47" s="91">
        <f t="shared" ref="BQ47" si="44">82-BP47</f>
        <v>38</v>
      </c>
    </row>
    <row r="48" spans="1:69" ht="9.9499999999999993" customHeight="1" x14ac:dyDescent="0.25">
      <c r="A48" s="9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5"/>
      <c r="BQ48" s="91"/>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5">
        <f t="shared" ref="BP49" si="45">BO49+BO50</f>
        <v>45</v>
      </c>
      <c r="BQ49" s="91">
        <f t="shared" ref="BQ49" si="46">82-BP49</f>
        <v>37</v>
      </c>
    </row>
    <row r="50" spans="1:69" ht="9.9499999999999993" customHeight="1" x14ac:dyDescent="0.25">
      <c r="A50" s="9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95"/>
      <c r="BQ50" s="91"/>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5">
        <f t="shared" ref="BP51" si="47">BO51+BO52</f>
        <v>44</v>
      </c>
      <c r="BQ51" s="91">
        <f t="shared" ref="BQ51" si="48">82-BP51</f>
        <v>38</v>
      </c>
    </row>
    <row r="52" spans="1:69" ht="9.9499999999999993" customHeight="1" x14ac:dyDescent="0.25">
      <c r="A52" s="92"/>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5"/>
      <c r="BQ52" s="91"/>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21</v>
      </c>
      <c r="BP53" s="95">
        <f t="shared" ref="BP53" si="49">BO53+BO54</f>
        <v>40</v>
      </c>
      <c r="BQ53" s="91">
        <f t="shared" ref="BQ53" si="50">82-BP53</f>
        <v>42</v>
      </c>
    </row>
    <row r="54" spans="1:69" ht="9.9499999999999993" customHeight="1" x14ac:dyDescent="0.25">
      <c r="A54" s="9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95"/>
      <c r="BQ54" s="91"/>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5">
        <f t="shared" ref="BP55" si="51">BO55+BO56</f>
        <v>44</v>
      </c>
      <c r="BQ55" s="91">
        <f t="shared" ref="BQ55" si="52">82-BP55</f>
        <v>38</v>
      </c>
    </row>
    <row r="56" spans="1:69" ht="9.9499999999999993" customHeight="1" x14ac:dyDescent="0.25">
      <c r="A56" s="9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95"/>
      <c r="BQ56" s="91"/>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5">
        <f t="shared" ref="BP57" si="53">BO57+BO58</f>
        <v>43</v>
      </c>
      <c r="BQ57" s="91">
        <f t="shared" ref="BQ57" si="54">82-BP57</f>
        <v>39</v>
      </c>
    </row>
    <row r="58" spans="1:69" ht="9.9499999999999993" customHeight="1" x14ac:dyDescent="0.25">
      <c r="A58" s="92"/>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1</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20</v>
      </c>
      <c r="BP58" s="95"/>
      <c r="BQ58" s="91"/>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5">
        <f t="shared" ref="BP59" si="55">BO59+BO60</f>
        <v>42</v>
      </c>
      <c r="BQ59" s="91">
        <f t="shared" ref="BQ59" si="56">82-BP59</f>
        <v>40</v>
      </c>
    </row>
    <row r="60" spans="1:69" ht="9.9499999999999993" customHeight="1" x14ac:dyDescent="0.25">
      <c r="A60" s="9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5"/>
      <c r="BQ60" s="91"/>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5">
        <f t="shared" ref="BP61" si="57">BO61+BO62</f>
        <v>43</v>
      </c>
      <c r="BQ61" s="91">
        <f t="shared" ref="BQ61" si="58">82-BP61</f>
        <v>39</v>
      </c>
    </row>
    <row r="62" spans="1:69" ht="9.9499999999999993" customHeight="1" x14ac:dyDescent="0.25">
      <c r="A62" s="92"/>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1</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24</v>
      </c>
      <c r="BP62" s="95"/>
      <c r="BQ62" s="91"/>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5">
        <f t="shared" ref="BP63" si="59">BO63+BO64</f>
        <v>44</v>
      </c>
      <c r="BQ63" s="91">
        <f t="shared" ref="BQ63" si="60">82-BP63</f>
        <v>38</v>
      </c>
    </row>
    <row r="64" spans="1:69" ht="9.9499999999999993" customHeight="1" x14ac:dyDescent="0.25">
      <c r="A64" s="92"/>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5"/>
      <c r="BQ64" s="91"/>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5">
        <f t="shared" ref="BP65" si="61">BO65+BO66</f>
        <v>43</v>
      </c>
      <c r="BQ65" s="91">
        <f t="shared" ref="BQ65" si="62">82-BP65</f>
        <v>39</v>
      </c>
    </row>
    <row r="66" spans="1:69" ht="9.9499999999999993" customHeight="1" x14ac:dyDescent="0.25">
      <c r="A66" s="9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691</v>
      </c>
      <c r="BQ67" s="35">
        <f>SUM(BQ3:BQ66)/2</f>
        <v>621</v>
      </c>
    </row>
    <row r="68" spans="1:69" x14ac:dyDescent="0.25">
      <c r="BP68" s="51">
        <f>2*BP67/SUM(BP3:BQ66)</f>
        <v>0.52667682926829273</v>
      </c>
      <c r="BQ68" s="51">
        <f>2*BQ67/SUM(BP3:BQ66)</f>
        <v>0.47332317073170732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6" workbookViewId="0">
      <selection activeCell="BB6" sqref="BB6:BO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9.9499999999999993"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5">
        <f t="shared" ref="BP5" si="1">BO5+BO6</f>
        <v>42</v>
      </c>
      <c r="BQ5" s="91">
        <f t="shared" ref="BQ5" si="2">82-BP5</f>
        <v>40</v>
      </c>
    </row>
    <row r="6" spans="1:69" ht="9.9499999999999993"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43</v>
      </c>
      <c r="BQ7" s="91">
        <f t="shared" ref="BQ7" si="4">82-BP7</f>
        <v>39</v>
      </c>
    </row>
    <row r="8" spans="1:69" ht="9.9499999999999993"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5"/>
      <c r="BQ8" s="91"/>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5">
        <f t="shared" ref="BP9" si="5">BO9+BO10</f>
        <v>41</v>
      </c>
      <c r="BQ9" s="91">
        <f t="shared" ref="BQ9" si="6">82-BP9</f>
        <v>41</v>
      </c>
    </row>
    <row r="10" spans="1:69" ht="9.9499999999999993"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5">
        <f t="shared" ref="BP11" si="7">BO11+BO12</f>
        <v>44</v>
      </c>
      <c r="BQ11" s="91">
        <f t="shared" ref="BQ11" si="8">82-BP11</f>
        <v>38</v>
      </c>
    </row>
    <row r="12" spans="1:69" ht="9.9499999999999993"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9.9499999999999993"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9.9499999999999993"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43</v>
      </c>
      <c r="BQ17" s="91">
        <f t="shared" ref="BQ17" si="14">82-BP17</f>
        <v>39</v>
      </c>
    </row>
    <row r="18" spans="1:69" ht="9.9499999999999993"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5"/>
      <c r="BQ18" s="91"/>
    </row>
    <row r="19" spans="1:69" ht="9.9499999999999993"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44</v>
      </c>
      <c r="BQ19" s="91">
        <f t="shared" ref="BQ19" si="16">82-BP19</f>
        <v>38</v>
      </c>
    </row>
    <row r="20" spans="1:69" ht="9.9499999999999993"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5"/>
      <c r="BQ20" s="91"/>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9.9499999999999993"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9.9499999999999993"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5">
        <f t="shared" ref="BP25" si="21">BO25+BO26</f>
        <v>44</v>
      </c>
      <c r="BQ25" s="91">
        <f t="shared" ref="BQ25" si="22">82-BP25</f>
        <v>38</v>
      </c>
    </row>
    <row r="26" spans="1:69" ht="9.9499999999999993"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9.9499999999999993"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9.9499999999999993"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43</v>
      </c>
      <c r="BQ31" s="91">
        <f t="shared" ref="BQ31" si="28">82-BP31</f>
        <v>39</v>
      </c>
    </row>
    <row r="32" spans="1:69" ht="9.9499999999999993"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5"/>
      <c r="BQ32" s="91"/>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9.9499999999999993"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9.9499999999999993"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43</v>
      </c>
      <c r="BQ35" s="91">
        <f t="shared" ref="BQ35" si="32">82-BP35</f>
        <v>39</v>
      </c>
    </row>
    <row r="36" spans="1:69" ht="9.9499999999999993"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9.9499999999999993"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9.9499999999999993"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43</v>
      </c>
      <c r="BQ41" s="91">
        <f t="shared" ref="BQ41" si="38">82-BP41</f>
        <v>39</v>
      </c>
    </row>
    <row r="42" spans="1:69" ht="9.9499999999999993"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5"/>
      <c r="BQ42" s="91"/>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9.9499999999999993"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44</v>
      </c>
      <c r="BQ45" s="91">
        <f t="shared" ref="BQ45" si="42">82-BP45</f>
        <v>38</v>
      </c>
    </row>
    <row r="46" spans="1:69" ht="9.9499999999999993"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5"/>
      <c r="BQ46" s="91"/>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45</v>
      </c>
      <c r="BQ47" s="91">
        <f t="shared" ref="BQ47" si="44">82-BP47</f>
        <v>37</v>
      </c>
    </row>
    <row r="48" spans="1:69" ht="9.9499999999999993"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5"/>
      <c r="BQ48" s="91"/>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9.9499999999999993"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9.9499999999999993"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9.9499999999999993"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9.9499999999999993"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9.9499999999999993"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5">
        <f t="shared" ref="BP57" si="53">BO57+BO58</f>
        <v>44</v>
      </c>
      <c r="BQ57" s="91">
        <f t="shared" ref="BQ57" si="54">82-BP57</f>
        <v>38</v>
      </c>
    </row>
    <row r="58" spans="1:69" ht="9.9499999999999993"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5">
        <f t="shared" ref="BP59" si="55">BO59+BO60</f>
        <v>43</v>
      </c>
      <c r="BQ59" s="91">
        <f t="shared" ref="BQ59" si="56">82-BP59</f>
        <v>39</v>
      </c>
    </row>
    <row r="60" spans="1:69" ht="9.9499999999999993"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5">
        <f t="shared" ref="BP61" si="57">BO61+BO62</f>
        <v>43</v>
      </c>
      <c r="BQ61" s="91">
        <f t="shared" ref="BQ61" si="58">82-BP61</f>
        <v>39</v>
      </c>
    </row>
    <row r="62" spans="1:69" ht="9.9499999999999993"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5">
        <f t="shared" ref="BP63" si="59">BO63+BO64</f>
        <v>40</v>
      </c>
      <c r="BQ63" s="91">
        <f t="shared" ref="BQ63" si="60">82-BP63</f>
        <v>42</v>
      </c>
    </row>
    <row r="64" spans="1:69" ht="9.9499999999999993"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9.9499999999999993"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691</v>
      </c>
      <c r="BQ67" s="35">
        <f>SUM(BQ3:BQ66)/2</f>
        <v>621</v>
      </c>
    </row>
    <row r="68" spans="1:69" x14ac:dyDescent="0.25">
      <c r="BP68" s="51">
        <f>2*BP67/SUM(BP3:BQ66)</f>
        <v>0.52667682926829273</v>
      </c>
      <c r="BQ68" s="51">
        <f>2*BQ67/SUM(BP3:BQ66)</f>
        <v>0.47332317073170732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9" t="s">
        <v>47</v>
      </c>
      <c r="D1" s="90"/>
      <c r="E1" s="89" t="s">
        <v>16</v>
      </c>
      <c r="F1" s="90"/>
      <c r="G1" s="89" t="s">
        <v>29</v>
      </c>
      <c r="H1" s="90"/>
      <c r="I1" s="89" t="s">
        <v>44</v>
      </c>
      <c r="J1" s="90"/>
      <c r="K1" s="89" t="s">
        <v>36</v>
      </c>
      <c r="L1" s="90"/>
      <c r="M1" s="89" t="s">
        <v>24</v>
      </c>
      <c r="N1" s="90"/>
      <c r="O1" s="89" t="s">
        <v>17</v>
      </c>
      <c r="P1" s="90"/>
      <c r="Q1" s="89" t="s">
        <v>26</v>
      </c>
      <c r="R1" s="90"/>
      <c r="S1" s="89" t="s">
        <v>34</v>
      </c>
      <c r="T1" s="90"/>
      <c r="U1" s="89" t="s">
        <v>31</v>
      </c>
      <c r="V1" s="90"/>
      <c r="W1" s="89" t="s">
        <v>23</v>
      </c>
      <c r="X1" s="90"/>
      <c r="Y1" s="89" t="s">
        <v>14</v>
      </c>
      <c r="Z1" s="90"/>
      <c r="AA1" s="89" t="s">
        <v>28</v>
      </c>
      <c r="AB1" s="90"/>
      <c r="AC1" s="89" t="s">
        <v>37</v>
      </c>
      <c r="AD1" s="90"/>
      <c r="AE1" s="89" t="s">
        <v>19</v>
      </c>
      <c r="AF1" s="90"/>
      <c r="AG1" s="89" t="s">
        <v>32</v>
      </c>
      <c r="AH1" s="90"/>
      <c r="AI1" s="89" t="s">
        <v>35</v>
      </c>
      <c r="AJ1" s="90"/>
      <c r="AK1" s="89" t="s">
        <v>33</v>
      </c>
      <c r="AL1" s="90"/>
      <c r="AM1" s="89" t="s">
        <v>20</v>
      </c>
      <c r="AN1" s="90"/>
      <c r="AO1" s="89" t="s">
        <v>30</v>
      </c>
      <c r="AP1" s="90"/>
      <c r="AQ1" s="89" t="s">
        <v>45</v>
      </c>
      <c r="AR1" s="90"/>
      <c r="AS1" s="89" t="s">
        <v>21</v>
      </c>
      <c r="AT1" s="90"/>
      <c r="AU1" s="89" t="s">
        <v>12</v>
      </c>
      <c r="AV1" s="90"/>
      <c r="AW1" s="89" t="s">
        <v>38</v>
      </c>
      <c r="AX1" s="90"/>
      <c r="AY1" s="89" t="s">
        <v>13</v>
      </c>
      <c r="AZ1" s="90"/>
      <c r="BA1" s="89" t="s">
        <v>43</v>
      </c>
      <c r="BB1" s="90"/>
      <c r="BC1" s="89" t="s">
        <v>18</v>
      </c>
      <c r="BD1" s="90"/>
      <c r="BE1" s="89" t="s">
        <v>15</v>
      </c>
      <c r="BF1" s="89"/>
      <c r="BG1" s="93" t="s">
        <v>25</v>
      </c>
      <c r="BH1" s="94"/>
      <c r="BI1" s="89" t="s">
        <v>27</v>
      </c>
      <c r="BJ1" s="90"/>
      <c r="BK1" s="89" t="s">
        <v>22</v>
      </c>
      <c r="BL1" s="90"/>
      <c r="BM1" s="89" t="s">
        <v>46</v>
      </c>
      <c r="BN1" s="9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95">
        <f>BO3+BO4</f>
        <v>34</v>
      </c>
      <c r="BQ3" s="91">
        <f>82-BP3</f>
        <v>48</v>
      </c>
      <c r="BT3" s="45">
        <f>DataRegularSeason20242025!$A$3:$A$8</f>
        <v>45569</v>
      </c>
    </row>
    <row r="4" spans="1:72" s="35" customFormat="1" ht="9.9499999999999993" customHeight="1" x14ac:dyDescent="0.2">
      <c r="A4" s="9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5"/>
      <c r="BQ4" s="91"/>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5">
        <f t="shared" ref="BP5" si="1">BO5+BO6</f>
        <v>42</v>
      </c>
      <c r="BQ5" s="91">
        <f t="shared" ref="BQ5" si="2">82-BP5</f>
        <v>40</v>
      </c>
    </row>
    <row r="6" spans="1:72" s="35" customFormat="1" ht="9.9499999999999993" customHeight="1" x14ac:dyDescent="0.2">
      <c r="A6" s="9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95"/>
      <c r="BQ6" s="91"/>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5">
        <f t="shared" ref="BP7" si="3">BO7+BO8</f>
        <v>31</v>
      </c>
      <c r="BQ7" s="91">
        <f t="shared" ref="BQ7" si="4">82-BP7</f>
        <v>51</v>
      </c>
    </row>
    <row r="8" spans="1:72" s="35" customFormat="1" ht="9.9499999999999993" customHeight="1" x14ac:dyDescent="0.2">
      <c r="A8" s="9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5"/>
      <c r="BQ8" s="91"/>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5">
        <f t="shared" ref="BP9" si="5">BO9+BO10</f>
        <v>38</v>
      </c>
      <c r="BQ9" s="91">
        <f t="shared" ref="BQ9" si="6">82-BP9</f>
        <v>44</v>
      </c>
    </row>
    <row r="10" spans="1:72" s="35" customFormat="1" ht="9.9499999999999993" customHeight="1" x14ac:dyDescent="0.2">
      <c r="A10" s="92"/>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95"/>
      <c r="BQ10" s="91"/>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5">
        <f t="shared" ref="BP11" si="7">BO11+BO12</f>
        <v>34</v>
      </c>
      <c r="BQ11" s="91">
        <f t="shared" ref="BQ11" si="8">82-BP11</f>
        <v>48</v>
      </c>
    </row>
    <row r="12" spans="1:72" s="35" customFormat="1" ht="9.9499999999999993" customHeight="1" x14ac:dyDescent="0.2">
      <c r="A12" s="92"/>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5"/>
      <c r="BQ12" s="91"/>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1</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18</v>
      </c>
      <c r="BP13" s="95">
        <f t="shared" ref="BP13" si="9">BO13+BO14</f>
        <v>40</v>
      </c>
      <c r="BQ13" s="91">
        <f t="shared" ref="BQ13" si="10">82-BP13</f>
        <v>42</v>
      </c>
    </row>
    <row r="14" spans="1:72" s="35" customFormat="1" ht="9.9499999999999993" customHeight="1" x14ac:dyDescent="0.2">
      <c r="A14" s="9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95"/>
      <c r="BQ14" s="91"/>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5">
        <f t="shared" ref="BP15" si="11">BO15+BO16</f>
        <v>38</v>
      </c>
      <c r="BQ15" s="91">
        <f t="shared" ref="BQ15" si="12">82-BP15</f>
        <v>44</v>
      </c>
    </row>
    <row r="16" spans="1:72" s="35" customFormat="1" ht="9.9499999999999993" customHeight="1" x14ac:dyDescent="0.2">
      <c r="A16" s="9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1</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18</v>
      </c>
      <c r="BP16" s="95"/>
      <c r="BQ16" s="91"/>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5">
        <f t="shared" ref="BP17" si="13">BO17+BO18</f>
        <v>38</v>
      </c>
      <c r="BQ17" s="91">
        <f t="shared" ref="BQ17" si="14">82-BP17</f>
        <v>44</v>
      </c>
    </row>
    <row r="18" spans="1:69" s="35" customFormat="1" ht="9.9499999999999993" customHeight="1" x14ac:dyDescent="0.2">
      <c r="A18" s="9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5"/>
      <c r="BQ18" s="91"/>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95">
        <f t="shared" ref="BP19" si="15">BO19+BO20</f>
        <v>32</v>
      </c>
      <c r="BQ19" s="91">
        <f t="shared" ref="BQ19" si="16">82-BP19</f>
        <v>50</v>
      </c>
    </row>
    <row r="20" spans="1:69" s="35" customFormat="1" ht="9.9499999999999993" customHeight="1" x14ac:dyDescent="0.2">
      <c r="A20" s="9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5"/>
      <c r="BQ20" s="91"/>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5">
        <f t="shared" ref="BP21" si="17">BO21+BO22</f>
        <v>33</v>
      </c>
      <c r="BQ21" s="91">
        <f t="shared" ref="BQ21" si="18">82-BP21</f>
        <v>49</v>
      </c>
    </row>
    <row r="22" spans="1:69" s="35" customFormat="1" ht="9.9499999999999993" customHeight="1" x14ac:dyDescent="0.2">
      <c r="A22" s="9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19</v>
      </c>
      <c r="BP22" s="95"/>
      <c r="BQ22" s="91"/>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5">
        <f t="shared" ref="BP23" si="19">BO23+BO24</f>
        <v>40</v>
      </c>
      <c r="BQ23" s="91">
        <f t="shared" ref="BQ23" si="20">82-BP23</f>
        <v>42</v>
      </c>
    </row>
    <row r="24" spans="1:69" s="35" customFormat="1" ht="9.9499999999999993" customHeight="1" x14ac:dyDescent="0.2">
      <c r="A24" s="92"/>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1</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21</v>
      </c>
      <c r="BP24" s="95"/>
      <c r="BQ24" s="91"/>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2</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21</v>
      </c>
      <c r="BP25" s="95">
        <f t="shared" ref="BP25" si="21">BO25+BO26</f>
        <v>42</v>
      </c>
      <c r="BQ25" s="91">
        <f t="shared" ref="BQ25" si="22">82-BP25</f>
        <v>40</v>
      </c>
    </row>
    <row r="26" spans="1:69" s="35" customFormat="1" ht="9.9499999999999993" customHeight="1" x14ac:dyDescent="0.2">
      <c r="A26" s="9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5"/>
      <c r="BQ26" s="91"/>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1</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19</v>
      </c>
      <c r="BP27" s="95">
        <f t="shared" ref="BP27" si="23">BO27+BO28</f>
        <v>35</v>
      </c>
      <c r="BQ27" s="91">
        <f t="shared" ref="BQ27" si="24">82-BP27</f>
        <v>47</v>
      </c>
    </row>
    <row r="28" spans="1:69" s="35" customFormat="1" ht="9.9499999999999993" customHeight="1" x14ac:dyDescent="0.2">
      <c r="A28" s="9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5"/>
      <c r="BQ28" s="91"/>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1</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21</v>
      </c>
      <c r="BP29" s="95">
        <f t="shared" ref="BP29" si="25">BO29+BO30</f>
        <v>38</v>
      </c>
      <c r="BQ29" s="91">
        <f t="shared" ref="BQ29" si="26">82-BP29</f>
        <v>44</v>
      </c>
    </row>
    <row r="30" spans="1:69" s="35" customFormat="1" ht="9.9499999999999993" customHeight="1" x14ac:dyDescent="0.2">
      <c r="A30" s="9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5"/>
      <c r="BQ30" s="91"/>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5">
        <f t="shared" ref="BP31" si="27">BO31+BO32</f>
        <v>16</v>
      </c>
      <c r="BQ31" s="91">
        <f t="shared" ref="BQ31" si="28">82-BP31</f>
        <v>66</v>
      </c>
    </row>
    <row r="32" spans="1:69" s="35" customFormat="1" ht="9.9499999999999993" customHeight="1" x14ac:dyDescent="0.2">
      <c r="A32" s="9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5"/>
      <c r="BQ32" s="91"/>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5">
        <f t="shared" ref="BP33" si="29">BO33+BO34</f>
        <v>37</v>
      </c>
      <c r="BQ33" s="91">
        <f t="shared" ref="BQ33" si="30">82-BP33</f>
        <v>45</v>
      </c>
    </row>
    <row r="34" spans="1:69" s="35" customFormat="1" ht="9.9499999999999993" customHeight="1" x14ac:dyDescent="0.2">
      <c r="A34" s="9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5"/>
      <c r="BQ34" s="91"/>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5">
        <f t="shared" ref="BP35" si="31">BO35+BO36</f>
        <v>37</v>
      </c>
      <c r="BQ35" s="91">
        <f t="shared" ref="BQ35" si="32">82-BP35</f>
        <v>45</v>
      </c>
    </row>
    <row r="36" spans="1:69" s="35" customFormat="1" ht="9.9499999999999993" customHeight="1" x14ac:dyDescent="0.2">
      <c r="A36" s="9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5"/>
      <c r="BQ36" s="91"/>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95">
        <f t="shared" ref="BP37" si="33">BO37+BO38</f>
        <v>32</v>
      </c>
      <c r="BQ37" s="91">
        <f t="shared" ref="BQ37" si="34">82-BP37</f>
        <v>50</v>
      </c>
    </row>
    <row r="38" spans="1:69" s="35" customFormat="1" ht="9.9499999999999993" customHeight="1" x14ac:dyDescent="0.2">
      <c r="A38" s="9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5"/>
      <c r="BQ38" s="91"/>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95">
        <f t="shared" ref="BP39" si="35">BO39+BO40</f>
        <v>35</v>
      </c>
      <c r="BQ39" s="91">
        <f t="shared" ref="BQ39" si="36">82-BP39</f>
        <v>47</v>
      </c>
    </row>
    <row r="40" spans="1:69" s="35" customFormat="1" ht="9.9499999999999993" customHeight="1" x14ac:dyDescent="0.2">
      <c r="A40" s="9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5"/>
      <c r="BQ40" s="91"/>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5">
        <f t="shared" ref="BP41" si="37">BO41+BO42</f>
        <v>12</v>
      </c>
      <c r="BQ41" s="91">
        <f t="shared" ref="BQ41" si="38">82-BP41</f>
        <v>70</v>
      </c>
    </row>
    <row r="42" spans="1:69" s="35" customFormat="1" ht="9.9499999999999993" customHeight="1" x14ac:dyDescent="0.2">
      <c r="A42" s="9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5"/>
      <c r="BQ42" s="91"/>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5">
        <f t="shared" ref="BP43" si="39">BO43+BO44</f>
        <v>38</v>
      </c>
      <c r="BQ43" s="91">
        <f t="shared" ref="BQ43" si="40">82-BP43</f>
        <v>44</v>
      </c>
    </row>
    <row r="44" spans="1:69" s="35" customFormat="1" ht="9.9499999999999993" customHeight="1" x14ac:dyDescent="0.2">
      <c r="A44" s="92"/>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2</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19</v>
      </c>
      <c r="BP44" s="95"/>
      <c r="BQ44" s="91"/>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5">
        <f t="shared" ref="BP45" si="41">BO45+BO46</f>
        <v>40</v>
      </c>
      <c r="BQ45" s="91">
        <f t="shared" ref="BQ45" si="42">82-BP45</f>
        <v>42</v>
      </c>
    </row>
    <row r="46" spans="1:69" s="35" customFormat="1" ht="9.9499999999999993" customHeight="1" x14ac:dyDescent="0.2">
      <c r="A46" s="9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22</v>
      </c>
      <c r="BP46" s="95"/>
      <c r="BQ46" s="91"/>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18</v>
      </c>
      <c r="BP47" s="95">
        <f t="shared" ref="BP47" si="43">BO47+BO48</f>
        <v>35</v>
      </c>
      <c r="BQ47" s="91">
        <f t="shared" ref="BQ47" si="44">82-BP47</f>
        <v>47</v>
      </c>
    </row>
    <row r="48" spans="1:69" s="35" customFormat="1" ht="9.9499999999999993" customHeight="1" x14ac:dyDescent="0.2">
      <c r="A48" s="9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5"/>
      <c r="BQ48" s="91"/>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5">
        <f t="shared" ref="BP49" si="45">BO49+BO50</f>
        <v>36</v>
      </c>
      <c r="BQ49" s="91">
        <f t="shared" ref="BQ49" si="46">82-BP49</f>
        <v>46</v>
      </c>
    </row>
    <row r="50" spans="1:69" s="35" customFormat="1" ht="9.9499999999999993" customHeight="1" x14ac:dyDescent="0.2">
      <c r="A50" s="9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95"/>
      <c r="BQ50" s="91"/>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5">
        <f t="shared" ref="BP51" si="47">BO51+BO52</f>
        <v>36</v>
      </c>
      <c r="BQ51" s="91">
        <f t="shared" ref="BQ51" si="48">82-BP51</f>
        <v>46</v>
      </c>
    </row>
    <row r="52" spans="1:69" s="35" customFormat="1" ht="9.9499999999999993" customHeight="1" x14ac:dyDescent="0.2">
      <c r="A52" s="92"/>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5"/>
      <c r="BQ52" s="91"/>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20</v>
      </c>
      <c r="BP53" s="95">
        <f t="shared" ref="BP53" si="49">BO53+BO54</f>
        <v>36</v>
      </c>
      <c r="BQ53" s="91">
        <f t="shared" ref="BQ53" si="50">82-BP53</f>
        <v>46</v>
      </c>
    </row>
    <row r="54" spans="1:69" s="35" customFormat="1" ht="9.9499999999999993" customHeight="1" x14ac:dyDescent="0.2">
      <c r="A54" s="9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5"/>
      <c r="BQ54" s="91"/>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5">
        <f t="shared" ref="BP55" si="51">BO55+BO56</f>
        <v>36</v>
      </c>
      <c r="BQ55" s="91">
        <f t="shared" ref="BQ55" si="52">82-BP55</f>
        <v>46</v>
      </c>
    </row>
    <row r="56" spans="1:69" s="35" customFormat="1" ht="9.9499999999999993" customHeight="1" x14ac:dyDescent="0.2">
      <c r="A56" s="9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95"/>
      <c r="BQ56" s="91"/>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5">
        <f t="shared" ref="BP57" si="53">BO57+BO58</f>
        <v>36</v>
      </c>
      <c r="BQ57" s="91">
        <f t="shared" ref="BQ57" si="54">82-BP57</f>
        <v>46</v>
      </c>
    </row>
    <row r="58" spans="1:69" s="35" customFormat="1" ht="9.9499999999999993" customHeight="1" x14ac:dyDescent="0.2">
      <c r="A58" s="9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95"/>
      <c r="BQ58" s="91"/>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5">
        <f t="shared" ref="BP59" si="55">BO59+BO60</f>
        <v>38</v>
      </c>
      <c r="BQ59" s="91">
        <f t="shared" ref="BQ59" si="56">82-BP59</f>
        <v>44</v>
      </c>
    </row>
    <row r="60" spans="1:69" s="35" customFormat="1" ht="9.9499999999999993" customHeight="1" x14ac:dyDescent="0.2">
      <c r="A60" s="9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5"/>
      <c r="BQ60" s="91"/>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5">
        <f t="shared" ref="BP61" si="57">BO61+BO62</f>
        <v>35</v>
      </c>
      <c r="BQ61" s="91">
        <f t="shared" ref="BQ61" si="58">82-BP61</f>
        <v>47</v>
      </c>
    </row>
    <row r="62" spans="1:69" s="35" customFormat="1" ht="9.9499999999999993" customHeight="1" x14ac:dyDescent="0.2">
      <c r="A62" s="92"/>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1</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19</v>
      </c>
      <c r="BP62" s="95"/>
      <c r="BQ62" s="91"/>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5">
        <f t="shared" ref="BP63" si="59">BO63+BO64</f>
        <v>42</v>
      </c>
      <c r="BQ63" s="91">
        <f t="shared" ref="BQ63" si="60">82-BP63</f>
        <v>40</v>
      </c>
    </row>
    <row r="64" spans="1:69" s="35" customFormat="1" ht="9.9499999999999993" customHeight="1" x14ac:dyDescent="0.2">
      <c r="A64" s="92"/>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5"/>
      <c r="BQ64" s="91"/>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5">
        <f t="shared" ref="BP65" si="61">BO65+BO66</f>
        <v>36</v>
      </c>
      <c r="BQ65" s="91">
        <f t="shared" ref="BQ65" si="62">82-BP65</f>
        <v>46</v>
      </c>
    </row>
    <row r="66" spans="1:69" s="35" customFormat="1" ht="9.9499999999999993" customHeight="1" x14ac:dyDescent="0.2">
      <c r="A66" s="9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5"/>
      <c r="BQ66" s="9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564</v>
      </c>
      <c r="BQ67" s="34">
        <f>SUM(BQ3:BQ66)/2</f>
        <v>748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S99"/>
  <sheetViews>
    <sheetView workbookViewId="0">
      <pane xSplit="1" topLeftCell="B1" activePane="topRight" state="frozen"/>
      <selection pane="topRight" activeCell="AX16" sqref="AX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3.5703125" style="2" customWidth="1"/>
    <col min="37" max="37" width="3.140625" customWidth="1"/>
    <col min="38" max="38" width="3" customWidth="1"/>
    <col min="39" max="40" width="8.7109375" style="15" customWidth="1"/>
    <col min="41" max="42" width="4" bestFit="1" customWidth="1"/>
    <col min="43" max="44" width="4" customWidth="1"/>
    <col min="45" max="45" width="7" customWidth="1"/>
    <col min="46" max="46" width="3.7109375" customWidth="1"/>
    <col min="47" max="48" width="3" bestFit="1" customWidth="1"/>
    <col min="49" max="49" width="3.7109375" bestFit="1" customWidth="1"/>
    <col min="50" max="50" width="2.7109375" customWidth="1"/>
    <col min="51"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4" width="6.28515625" customWidth="1"/>
    <col min="65" max="65" width="8" customWidth="1"/>
    <col min="66" max="68" width="3.7109375" bestFit="1" customWidth="1"/>
    <col min="69" max="71" width="2.7109375" bestFit="1" customWidth="1"/>
    <col min="72" max="73" width="2" bestFit="1" customWidth="1"/>
    <col min="74" max="74" width="5" bestFit="1" customWidth="1"/>
    <col min="75" max="75" width="2.140625" customWidth="1"/>
    <col min="76" max="76" width="2" customWidth="1"/>
    <col min="77" max="77" width="49.5703125" customWidth="1"/>
    <col min="78" max="78" width="11.5703125" customWidth="1"/>
  </cols>
  <sheetData>
    <row r="1" spans="1:87"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01" t="s">
        <v>1844</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CF1" s="16" t="s">
        <v>1473</v>
      </c>
      <c r="CG1" s="16" t="s">
        <v>1474</v>
      </c>
    </row>
    <row r="2" spans="1:87"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35</v>
      </c>
      <c r="E2" s="15">
        <f>Table3[[#This Row],[Watched]]/Table3[[#This Row],[GP]]</f>
        <v>0.81395348837209303</v>
      </c>
      <c r="F2">
        <f>COUNTIFS(DataRegularSeason20242025!$N$3:$N$1315,1,DataRegularSeason20242025!$D$3:$D$1315,$A2)</f>
        <v>19</v>
      </c>
      <c r="G2">
        <f>41-Table3[[#This Row],[GP_A]]</f>
        <v>22</v>
      </c>
      <c r="H2">
        <f>COUNTIFS(DataRegularSeason20242025!$E$3:$E$1315,$A2,DataRegularSeason20242025!$N$3:$N$1315,1)</f>
        <v>24</v>
      </c>
      <c r="I2">
        <f>41-Table3[[#This Row],[GP_H]]</f>
        <v>17</v>
      </c>
      <c r="J2">
        <f>F2+H2</f>
        <v>43</v>
      </c>
      <c r="K2">
        <f>82-Table3[[#This Row],[GP]]</f>
        <v>39</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18</v>
      </c>
      <c r="U2">
        <f>COUNTIFS(DataRegularSeason20242025!$E$3:$E$1315,$A2, DataRegularSeason20242025!$L$3:$L$1315, $A2,DataRegularSeason20242025!$N$3:$N$1315,1,DataRegularSeason20242025!$M$3:$M$1315,"REG")</f>
        <v>17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29</v>
      </c>
      <c r="AC2">
        <f>Table3[[#This Row],[L_A]]+Table3[[#This Row],[L_H]]</f>
        <v>14</v>
      </c>
      <c r="AD2">
        <f>Table3[[#This Row],[RW_A]]+Table3[[#This Row],[RW_H]]</f>
        <v>26</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s="20" t="str">
        <f>_xlfn.CONCAT(TEXT(Table3[[#This Row],[OTW]]+Table3[[#This Row],[SOW]], "0"), "-", TEXT(Table3[[#This Row],[OTL]]+Table3[[#This Row],[SOL]],"0"))</f>
        <v>3-3</v>
      </c>
      <c r="AK2">
        <f>(2*(Table3[[#This Row],[W_A]]+Table3[[#This Row],[W_H]]))+Table3[[#This Row],[OTL_A]]+Table3[[#This Row],[SOL_A]]+Table3[[#This Row],[OTL_H]]+Table3[[#This Row],[SOL_H]]</f>
        <v>61</v>
      </c>
      <c r="AL2">
        <f>(3*(Table3[[#This Row],[RW_A]]+Table3[[#This Row],[RW_H]]))+(2*(Table3[[#This Row],[OTW_A]]+Table3[[#This Row],[SOW_A]]+Table3[[#This Row],[OTW_H]]+Table3[[#This Row],[SOW_H]]))+Table3[[#This Row],[OTL_A]]+Table3[[#This Row],[SOL_A]]+Table3[[#This Row],[OTL_H]]+Table3[[#This Row],[SOL_H]]</f>
        <v>87</v>
      </c>
      <c r="AM2" s="15">
        <f>Table3[[#This Row],[PTS]]/(2*Table3[[#This Row],[GP]])</f>
        <v>0.70930232558139539</v>
      </c>
      <c r="AN2" s="15">
        <f>Table3[[#This Row],[PTS2]]/(3*Table3[[#This Row],[GP]])</f>
        <v>0.67441860465116277</v>
      </c>
      <c r="AO2">
        <f>(2*Table3[[#This Row],[GR]])+Table3[[#This Row],[PTS]]</f>
        <v>139</v>
      </c>
      <c r="AP2">
        <f>(3*Table3[[#This Row],[GR]])+Table3[[#This Row],[PTS2]]</f>
        <v>204</v>
      </c>
      <c r="AQ2">
        <f>Table3[[#This Row],[PTS]]+(2 * Table3[[#This Row],[GR]] * Table3[[#This Row],[PTS%]])</f>
        <v>116.32558139534885</v>
      </c>
      <c r="AR2">
        <f>Table3[[#This Row],[PTS2]]+(3 * Table3[[#This Row],[GR]] * Table3[[#This Row],[PTS%2]])</f>
        <v>165.90697674418604</v>
      </c>
      <c r="AS2" s="20" t="str">
        <f>_xlfn.CONCAT(TEXT(Table3[[#This Row],[W]], "0"), "-", TEXT(Table3[[#This Row],[RL]],"0"), "-", TEXT(Table3[[#This Row],[OTL]]+Table3[[#This Row],[SOL]], "0"))</f>
        <v>29-11-3</v>
      </c>
      <c r="AT2">
        <f>COUNTIFS(DataRegularSeason20242025!$D$3:$D$1315,Table3[[#This Row],[Teams]],DataRegularSeason20242025!$K$3:$K$1315,0)</f>
        <v>0</v>
      </c>
      <c r="AU2">
        <f>SUMIF(DataRegularSeason20242025!$D$3:$D$1315,$A2, DataRegularSeason20242025!$J$3:$J$1315)</f>
        <v>63</v>
      </c>
      <c r="AV2">
        <f>SUMIF(DataRegularSeason20242025!$D$3:$D$1315,$A2, DataRegularSeason20242025!$K$3:$K$1315)</f>
        <v>57</v>
      </c>
      <c r="AW2">
        <f>AU2-AV2</f>
        <v>6</v>
      </c>
      <c r="AX2">
        <f>COUNTIFS(DataRegularSeason20242025!$E$3:$E$1315,Table3[[#This Row],[Teams]],DataRegularSeason20242025!$J$3:$J$1315,0)</f>
        <v>3</v>
      </c>
      <c r="AY2">
        <f>SUMIF(DataRegularSeason20242025!$E$3:$E$1315,$A2,DataRegularSeason20242025!$K$3:$K$1315)</f>
        <v>85</v>
      </c>
      <c r="AZ2">
        <f>SUMIF(DataRegularSeason20242025!$E$3:$E$1315,$A2,DataRegularSeason20242025!$J$3:$J$1315)</f>
        <v>57</v>
      </c>
      <c r="BA2">
        <f>AY2-AZ2</f>
        <v>28</v>
      </c>
      <c r="BB2">
        <f>AU2+AY2</f>
        <v>148</v>
      </c>
      <c r="BC2">
        <f>AV2+AZ2</f>
        <v>114</v>
      </c>
      <c r="BD2">
        <f>BB2-BC2</f>
        <v>34</v>
      </c>
      <c r="BE2" s="17">
        <f>Table3[[#This Row],[GF]]/Table3[[#This Row],[GP]]</f>
        <v>3.441860465116279</v>
      </c>
      <c r="BF2" s="17">
        <f>Table3[[#This Row],[GA]]/Table3[[#This Row],[GP]]</f>
        <v>2.6511627906976742</v>
      </c>
      <c r="BG2" s="17">
        <f>(Table3[[#This Row],[GF]]-Table3[[#This Row],[GA]])/Table3[[#This Row],[GP]]</f>
        <v>0.79069767441860461</v>
      </c>
      <c r="BH2" s="50" t="str">
        <f>_xlfn.CONCAT(TEXT(Table3[[#This Row],[W_H]], "0"), "-", TEXT(Table3[[#This Row],[RL_H]],"0"), "-", TEXT(Table3[[#This Row],[OTL_H]]+Table3[[#This Row],[SOL_H]], "0"))</f>
        <v>18-6-0</v>
      </c>
      <c r="BI2" s="50" t="str">
        <f>_xlfn.CONCAT(TEXT(Table3[[#This Row],[W_A]], "0"), "-", TEXT(Table3[[#This Row],[RL_A]],"0"), "-", TEXT(Table3[[#This Row],[OTL_A]]+Table3[[#This Row],[SOL_A]], "0"))</f>
        <v>11-5-3</v>
      </c>
      <c r="BJ2" s="50">
        <f>((2*(Table3[[#This Row],[W_H]]))+Table3[[#This Row],[OTL_H]]+Table3[[#This Row],[SOL_H]])/(2*Table3[[#This Row],[GP_H]])</f>
        <v>0.75</v>
      </c>
      <c r="BK2" s="50">
        <f>((2*(Table3[[#This Row],[W_A]]))+Table3[[#This Row],[OTL_A]]+Table3[[#This Row],[SOL_A]])/(2*Table3[[#This Row],[GP_A]])</f>
        <v>0.65789473684210531</v>
      </c>
      <c r="BL2" s="21">
        <f>(Table3[[#This Row],[W]]*$CE$3)+(Table3[[#This Row],[L]]*$CE$4)+(Table3[[#This Row],[GF]]*$CE$5)+(Table3[[#This Row],[GA]]*$CE$6)</f>
        <v>52.3</v>
      </c>
      <c r="BM2" s="21">
        <f>(82*(((Table3[[#This Row],[PTS%]]*$CE$3)+((1-Table3[[#This Row],[PTS%]])*$CE$4)+(Table3[[#This Row],[GF]]*$CE$5)+(Table3[[#This Row],[GA]]*$CE$6))/Table3[[#This Row],[GP]])) + (Table3[[#This Row],[W]]*$CE$3)+(Table3[[#This Row],[L]]*$CE$4)+(Table3[[#This Row],[GF]]*$CE$5)+(Table3[[#This Row],[GA]]*$CE$6)</f>
        <v>117.21703623580315</v>
      </c>
      <c r="BN2">
        <f>COUNTIFS(DataRegularSeason20242025!$D$3:$D$1315,$A2,DataRegularSeason20242025!$H$3:$H$1315, $A2)</f>
        <v>13</v>
      </c>
      <c r="BO2">
        <f>COUNTIFS(DataRegularSeason20242025!$E$3:$E$1315,$A2,DataRegularSeason20242025!$H$3:$H$1315, $A2)</f>
        <v>16</v>
      </c>
      <c r="BP2">
        <f>BN2+BO2</f>
        <v>29</v>
      </c>
      <c r="BQ2">
        <f>F2-BN2</f>
        <v>6</v>
      </c>
      <c r="BR2">
        <f>H2-BO2</f>
        <v>8</v>
      </c>
      <c r="BS2">
        <f>BQ2+BR2</f>
        <v>14</v>
      </c>
      <c r="BV2">
        <v>2023</v>
      </c>
      <c r="BY2" t="s">
        <v>1461</v>
      </c>
      <c r="BZ2">
        <f>SUM($J$2:$J$33)/2</f>
        <v>691</v>
      </c>
      <c r="CD2" t="s">
        <v>63</v>
      </c>
      <c r="CE2" s="19" t="s">
        <v>1472</v>
      </c>
      <c r="CF2">
        <f>INDEX($J$2:$J$33,MATCH("CGY",$A$2:$A$33,0),1)</f>
        <v>42</v>
      </c>
    </row>
    <row r="3" spans="1:87"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F3+H3</f>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s="20" t="str">
        <f>_xlfn.CONCAT(TEXT(Table3[[#This Row],[OTW]]+Table3[[#This Row],[SOW]], "0"), "-", TEXT(Table3[[#This Row],[OTL]]+Table3[[#This Row],[SOL]],"0"))</f>
        <v>4-5</v>
      </c>
      <c r="AK3">
        <f>(2*(Table3[[#This Row],[W_A]]+Table3[[#This Row],[W_H]]))+Table3[[#This Row],[OTL_A]]+Table3[[#This Row],[SOL_A]]+Table3[[#This Row],[OTL_H]]+Table3[[#This Row],[SOL_H]]</f>
        <v>61</v>
      </c>
      <c r="AL3">
        <f>(3*(Table3[[#This Row],[RW_A]]+Table3[[#This Row],[RW_H]]))+(2*(Table3[[#This Row],[OTW_A]]+Table3[[#This Row],[SOW_A]]+Table3[[#This Row],[OTW_H]]+Table3[[#This Row],[SOW_H]]))+Table3[[#This Row],[OTL_A]]+Table3[[#This Row],[SOL_A]]+Table3[[#This Row],[OTL_H]]+Table3[[#This Row],[SOL_H]]</f>
        <v>85</v>
      </c>
      <c r="AM3" s="15">
        <f>Table3[[#This Row],[PTS]]/(2*Table3[[#This Row],[GP]])</f>
        <v>0.70930232558139539</v>
      </c>
      <c r="AN3" s="15">
        <f>Table3[[#This Row],[PTS2]]/(3*Table3[[#This Row],[GP]])</f>
        <v>0.65891472868217049</v>
      </c>
      <c r="AO3">
        <f>(2*Table3[[#This Row],[GR]])+Table3[[#This Row],[PTS]]</f>
        <v>139</v>
      </c>
      <c r="AP3">
        <f>(3*Table3[[#This Row],[GR]])+Table3[[#This Row],[PTS2]]</f>
        <v>202</v>
      </c>
      <c r="AQ3">
        <f>Table3[[#This Row],[PTS]]+(2 * Table3[[#This Row],[GR]] * Table3[[#This Row],[PTS%]])</f>
        <v>116.32558139534885</v>
      </c>
      <c r="AR3">
        <f>Table3[[#This Row],[PTS2]]+(3 * Table3[[#This Row],[GR]] * Table3[[#This Row],[PTS%2]])</f>
        <v>162.09302325581393</v>
      </c>
      <c r="AS3" s="20" t="str">
        <f>_xlfn.CONCAT(TEXT(Table3[[#This Row],[W]], "0"), "-", TEXT(Table3[[#This Row],[RL]],"0"), "-", TEXT(Table3[[#This Row],[OTL]]+Table3[[#This Row],[SOL]], "0"))</f>
        <v>28-10-5</v>
      </c>
      <c r="AT3">
        <f>COUNTIFS(DataRegularSeason20242025!$D$3:$D$1315,Table3[[#This Row],[Teams]],DataRegularSeason20242025!$K$3:$K$1315,0)</f>
        <v>0</v>
      </c>
      <c r="AU3">
        <f>SUMIF(DataRegularSeason20242025!$D$3:$D$1315,$A3, DataRegularSeason20242025!$J$3:$J$1315)</f>
        <v>78</v>
      </c>
      <c r="AV3">
        <f>SUMIF(DataRegularSeason20242025!$D$3:$D$1315,$A3, DataRegularSeason20242025!$K$3:$K$1315)</f>
        <v>55</v>
      </c>
      <c r="AW3">
        <f>AU3-AV3</f>
        <v>23</v>
      </c>
      <c r="AX3">
        <f>COUNTIFS(DataRegularSeason20242025!$E$3:$E$1315,Table3[[#This Row],[Teams]],DataRegularSeason20242025!$J$3:$J$1315,0)</f>
        <v>0</v>
      </c>
      <c r="AY3">
        <f>SUMIF(DataRegularSeason20242025!$E$3:$E$1315,$A3,DataRegularSeason20242025!$K$3:$K$1315)</f>
        <v>78</v>
      </c>
      <c r="AZ3">
        <f>SUMIF(DataRegularSeason20242025!$E$3:$E$1315,$A3,DataRegularSeason20242025!$J$3:$J$1315)</f>
        <v>58</v>
      </c>
      <c r="BA3">
        <f>AY3-AZ3</f>
        <v>20</v>
      </c>
      <c r="BB3">
        <f>AU3+AY3</f>
        <v>156</v>
      </c>
      <c r="BC3">
        <f>AV3+AZ3</f>
        <v>113</v>
      </c>
      <c r="BD3">
        <f>BB3-BC3</f>
        <v>43</v>
      </c>
      <c r="BE3" s="17">
        <f>Table3[[#This Row],[GF]]/Table3[[#This Row],[GP]]</f>
        <v>3.6279069767441858</v>
      </c>
      <c r="BF3" s="17">
        <f>Table3[[#This Row],[GA]]/Table3[[#This Row],[GP]]</f>
        <v>2.6279069767441858</v>
      </c>
      <c r="BG3" s="17">
        <f>(Table3[[#This Row],[GF]]-Table3[[#This Row],[GA]])/Table3[[#This Row],[GP]]</f>
        <v>1</v>
      </c>
      <c r="BH3" s="50" t="str">
        <f>_xlfn.CONCAT(TEXT(Table3[[#This Row],[W_H]], "0"), "-", TEXT(Table3[[#This Row],[RL_H]],"0"), "-", TEXT(Table3[[#This Row],[OTL_H]]+Table3[[#This Row],[SOL_H]], "0"))</f>
        <v>14-4-4</v>
      </c>
      <c r="BI3" s="50" t="str">
        <f>_xlfn.CONCAT(TEXT(Table3[[#This Row],[W_A]], "0"), "-", TEXT(Table3[[#This Row],[RL_A]],"0"), "-", TEXT(Table3[[#This Row],[OTL_A]]+Table3[[#This Row],[SOL_A]], "0"))</f>
        <v>14-6-1</v>
      </c>
      <c r="BJ3" s="50">
        <f>((2*(Table3[[#This Row],[W_H]]))+Table3[[#This Row],[OTL_H]]+Table3[[#This Row],[SOL_H]])/(2*Table3[[#This Row],[GP_H]])</f>
        <v>0.72727272727272729</v>
      </c>
      <c r="BK3" s="50">
        <f>((2*(Table3[[#This Row],[W_A]]))+Table3[[#This Row],[OTL_A]]+Table3[[#This Row],[SOL_A]])/(2*Table3[[#This Row],[GP_A]])</f>
        <v>0.69047619047619047</v>
      </c>
      <c r="BL3" s="21">
        <f>(Table3[[#This Row],[W]]*$CE$3)+(Table3[[#This Row],[L]]*$CE$4)+(Table3[[#This Row],[GF]]*$CE$5)+(Table3[[#This Row],[GA]]*$CE$6)</f>
        <v>53.2</v>
      </c>
      <c r="BM3" s="21">
        <f>(82*(((Table3[[#This Row],[PTS%]]*$CE$3)+((1-Table3[[#This Row],[PTS%]])*$CE$4)+(Table3[[#This Row],[GF]]*$CE$5)+(Table3[[#This Row],[GA]]*$CE$6))/Table3[[#This Row],[GP]])) + (Table3[[#This Row],[W]]*$CE$3)+(Table3[[#This Row],[L]]*$CE$4)+(Table3[[#This Row],[GF]]*$CE$5)+(Table3[[#This Row],[GA]]*$CE$6)</f>
        <v>120.2147106544078</v>
      </c>
      <c r="BN3">
        <f>COUNTIFS(DataRegularSeason20242025!$D$3:$D$1315,$A3,DataRegularSeason20242025!$H$3:$H$1315, $A3)</f>
        <v>15</v>
      </c>
      <c r="BO3">
        <f>COUNTIFS(DataRegularSeason20242025!$E$3:$E$1315,$A3,DataRegularSeason20242025!$H$3:$H$1315, $A3)</f>
        <v>18</v>
      </c>
      <c r="BP3">
        <f>BN3+BO3</f>
        <v>33</v>
      </c>
      <c r="BQ3">
        <f>F3-BN3</f>
        <v>6</v>
      </c>
      <c r="BR3">
        <f>H3-BO3</f>
        <v>4</v>
      </c>
      <c r="BS3">
        <f>BQ3+BR3</f>
        <v>10</v>
      </c>
      <c r="BV3">
        <v>2018</v>
      </c>
      <c r="BY3" t="s">
        <v>1459</v>
      </c>
      <c r="BZ3">
        <f>SUM($D$2:$D$33)/2</f>
        <v>564</v>
      </c>
      <c r="CD3" t="s">
        <v>97</v>
      </c>
      <c r="CE3" s="21">
        <v>0.5</v>
      </c>
      <c r="CF3">
        <f>INDEX($AB$2:$AB$33,MATCH("CGY",$A$2:$A$33,0),1)</f>
        <v>21</v>
      </c>
      <c r="CH3" s="21">
        <f>CE3*CF3</f>
        <v>10.5</v>
      </c>
      <c r="CI3" s="15">
        <f>CH3/$CH$7</f>
        <v>0.22556390977443611</v>
      </c>
    </row>
    <row r="4" spans="1:87"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F4+H4</f>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s="20" t="str">
        <f>_xlfn.CONCAT(TEXT(Table3[[#This Row],[OTW]]+Table3[[#This Row],[SOW]], "0"), "-", TEXT(Table3[[#This Row],[OTL]]+Table3[[#This Row],[SOL]],"0"))</f>
        <v>4-3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86</v>
      </c>
      <c r="AM4" s="15">
        <f>Table3[[#This Row],[PTS]]/(2*Table3[[#This Row],[GP]])</f>
        <v>0.69318181818181823</v>
      </c>
      <c r="AN4" s="15">
        <f>Table3[[#This Row],[PTS2]]/(3*Table3[[#This Row],[GP]])</f>
        <v>0.65151515151515149</v>
      </c>
      <c r="AO4">
        <f>(2*Table3[[#This Row],[GR]])+Table3[[#This Row],[PTS]]</f>
        <v>137</v>
      </c>
      <c r="AP4">
        <f>(3*Table3[[#This Row],[GR]])+Table3[[#This Row],[PTS2]]</f>
        <v>200</v>
      </c>
      <c r="AQ4">
        <f>Table3[[#This Row],[PTS]]+(2 * Table3[[#This Row],[GR]] * Table3[[#This Row],[PTS%]])</f>
        <v>113.68181818181819</v>
      </c>
      <c r="AR4">
        <f>Table3[[#This Row],[PTS2]]+(3 * Table3[[#This Row],[GR]] * Table3[[#This Row],[PTS%2]])</f>
        <v>160.27272727272725</v>
      </c>
      <c r="AS4" s="20" t="str">
        <f>_xlfn.CONCAT(TEXT(Table3[[#This Row],[W]], "0"), "-", TEXT(Table3[[#This Row],[RL]],"0"), "-", TEXT(Table3[[#This Row],[OTL]]+Table3[[#This Row],[SOL]], "0"))</f>
        <v>29-12-3</v>
      </c>
      <c r="AT4">
        <f>COUNTIFS(DataRegularSeason20242025!$D$3:$D$1315,Table3[[#This Row],[Teams]],DataRegularSeason20242025!$K$3:$K$1315,0)</f>
        <v>1</v>
      </c>
      <c r="AU4">
        <f>SUMIF(DataRegularSeason20242025!$D$3:$D$1315,$A4, DataRegularSeason20242025!$J$3:$J$1315)</f>
        <v>71</v>
      </c>
      <c r="AV4">
        <f>SUMIF(DataRegularSeason20242025!$D$3:$D$1315,$A4, DataRegularSeason20242025!$K$3:$K$1315)</f>
        <v>58</v>
      </c>
      <c r="AW4">
        <f>AU4-AV4</f>
        <v>13</v>
      </c>
      <c r="AX4">
        <f>COUNTIFS(DataRegularSeason20242025!$E$3:$E$1315,Table3[[#This Row],[Teams]],DataRegularSeason20242025!$J$3:$J$1315,0)</f>
        <v>5</v>
      </c>
      <c r="AY4">
        <f>SUMIF(DataRegularSeason20242025!$E$3:$E$1315,$A4,DataRegularSeason20242025!$K$3:$K$1315)</f>
        <v>85</v>
      </c>
      <c r="AZ4">
        <f>SUMIF(DataRegularSeason20242025!$E$3:$E$1315,$A4,DataRegularSeason20242025!$J$3:$J$1315)</f>
        <v>50</v>
      </c>
      <c r="BA4">
        <f>AY4-AZ4</f>
        <v>35</v>
      </c>
      <c r="BB4">
        <f>AU4+AY4</f>
        <v>156</v>
      </c>
      <c r="BC4">
        <f>AV4+AZ4</f>
        <v>108</v>
      </c>
      <c r="BD4">
        <f>BB4-BC4</f>
        <v>48</v>
      </c>
      <c r="BE4" s="17">
        <f>Table3[[#This Row],[GF]]/Table3[[#This Row],[GP]]</f>
        <v>3.5454545454545454</v>
      </c>
      <c r="BF4" s="17">
        <f>Table3[[#This Row],[GA]]/Table3[[#This Row],[GP]]</f>
        <v>2.4545454545454546</v>
      </c>
      <c r="BG4" s="17">
        <f>(Table3[[#This Row],[GF]]-Table3[[#This Row],[GA]])/Table3[[#This Row],[GP]]</f>
        <v>1.0909090909090908</v>
      </c>
      <c r="BH4" s="50" t="str">
        <f>_xlfn.CONCAT(TEXT(Table3[[#This Row],[W_H]], "0"), "-", TEXT(Table3[[#This Row],[RL_H]],"0"), "-", TEXT(Table3[[#This Row],[OTL_H]]+Table3[[#This Row],[SOL_H]], "0"))</f>
        <v>16-4-3</v>
      </c>
      <c r="BI4" s="50" t="str">
        <f>_xlfn.CONCAT(TEXT(Table3[[#This Row],[W_A]], "0"), "-", TEXT(Table3[[#This Row],[RL_A]],"0"), "-", TEXT(Table3[[#This Row],[OTL_A]]+Table3[[#This Row],[SOL_A]], "0"))</f>
        <v>13-8-0</v>
      </c>
      <c r="BJ4" s="50">
        <f>((2*(Table3[[#This Row],[W_H]]))+Table3[[#This Row],[OTL_H]]+Table3[[#This Row],[SOL_H]])/(2*Table3[[#This Row],[GP_H]])</f>
        <v>0.76086956521739135</v>
      </c>
      <c r="BK4" s="50">
        <f>((2*(Table3[[#This Row],[W_A]]))+Table3[[#This Row],[OTL_A]]+Table3[[#This Row],[SOL_A]])/(2*Table3[[#This Row],[GP_A]])</f>
        <v>0.61904761904761907</v>
      </c>
      <c r="BL4" s="21">
        <f>(Table3[[#This Row],[W]]*$CE$3)+(Table3[[#This Row],[L]]*$CE$4)+(Table3[[#This Row],[GF]]*$CE$5)+(Table3[[#This Row],[GA]]*$CE$6)</f>
        <v>53.2</v>
      </c>
      <c r="BM4" s="21">
        <f>(82*(((Table3[[#This Row],[PTS%]]*$CE$3)+((1-Table3[[#This Row],[PTS%]])*$CE$4)+(Table3[[#This Row],[GF]]*$CE$5)+(Table3[[#This Row],[GA]]*$CE$6))/Table3[[#This Row],[GP]])) + (Table3[[#This Row],[W]]*$CE$3)+(Table3[[#This Row],[L]]*$CE$4)+(Table3[[#This Row],[GF]]*$CE$5)+(Table3[[#This Row],[GA]]*$CE$6)</f>
        <v>117.7538223140496</v>
      </c>
      <c r="BN4">
        <f>COUNTIFS(DataRegularSeason20242025!$D$3:$D$1315,$A4,DataRegularSeason20242025!$H$3:$H$1315, $A4)</f>
        <v>16</v>
      </c>
      <c r="BO4">
        <f>COUNTIFS(DataRegularSeason20242025!$E$3:$E$1315,$A4,DataRegularSeason20242025!$H$3:$H$1315, $A4)</f>
        <v>22</v>
      </c>
      <c r="BP4">
        <f>BN4+BO4</f>
        <v>38</v>
      </c>
      <c r="BQ4">
        <f>F4-BN4</f>
        <v>5</v>
      </c>
      <c r="BR4">
        <f>H4-BO4</f>
        <v>1</v>
      </c>
      <c r="BS4">
        <f>BQ4+BR4</f>
        <v>6</v>
      </c>
      <c r="BY4" t="s">
        <v>1460</v>
      </c>
      <c r="BZ4">
        <f>$BZ$2-$BZ$3</f>
        <v>127</v>
      </c>
      <c r="CD4" t="s">
        <v>1434</v>
      </c>
      <c r="CE4" s="21">
        <v>0.3</v>
      </c>
      <c r="CF4">
        <f>INDEX($AC$2:$AC$33,MATCH("CGY",$A$2:$A$33,0),1)</f>
        <v>21</v>
      </c>
      <c r="CH4" s="21">
        <f>CE4*CF4</f>
        <v>6.3</v>
      </c>
      <c r="CI4" s="15">
        <f>CH4/$CH$7</f>
        <v>0.13533834586466165</v>
      </c>
    </row>
    <row r="5" spans="1:87"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40</v>
      </c>
      <c r="E5" s="15">
        <f>Table3[[#This Row],[Watched]]/Table3[[#This Row],[GP]]</f>
        <v>0.93023255813953487</v>
      </c>
      <c r="F5">
        <f>COUNTIFS(DataRegularSeason20242025!$N$3:$N$1315,1,DataRegularSeason20242025!$D$3:$D$1315,$A5)</f>
        <v>20</v>
      </c>
      <c r="G5">
        <f>41-Table3[[#This Row],[GP_A]]</f>
        <v>21</v>
      </c>
      <c r="H5">
        <f>COUNTIFS(DataRegularSeason20242025!$E$3:$E$1315,$A5,DataRegularSeason20242025!$N$3:$N$1315,1)</f>
        <v>23</v>
      </c>
      <c r="I5">
        <f>41-Table3[[#This Row],[GP_H]]</f>
        <v>18</v>
      </c>
      <c r="J5">
        <f>F5+H5</f>
        <v>43</v>
      </c>
      <c r="K5">
        <f>82-Table3[[#This Row],[GP]]</f>
        <v>39</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10</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27</v>
      </c>
      <c r="AC5">
        <f>Table3[[#This Row],[L_A]]+Table3[[#This Row],[L_H]]</f>
        <v>16</v>
      </c>
      <c r="AD5">
        <f>Table3[[#This Row],[RW_A]]+Table3[[#This Row],[RW_H]]</f>
        <v>20</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57</v>
      </c>
      <c r="AL5">
        <f>(3*(Table3[[#This Row],[RW_A]]+Table3[[#This Row],[RW_H]]))+(2*(Table3[[#This Row],[OTW_A]]+Table3[[#This Row],[SOW_A]]+Table3[[#This Row],[OTW_H]]+Table3[[#This Row],[SOW_H]]))+Table3[[#This Row],[OTL_A]]+Table3[[#This Row],[SOL_A]]+Table3[[#This Row],[OTL_H]]+Table3[[#This Row],[SOL_H]]</f>
        <v>77</v>
      </c>
      <c r="AM5" s="15">
        <f>Table3[[#This Row],[PTS]]/(2*Table3[[#This Row],[GP]])</f>
        <v>0.66279069767441856</v>
      </c>
      <c r="AN5" s="15">
        <f>Table3[[#This Row],[PTS2]]/(3*Table3[[#This Row],[GP]])</f>
        <v>0.5968992248062015</v>
      </c>
      <c r="AO5">
        <f>(2*Table3[[#This Row],[GR]])+Table3[[#This Row],[PTS]]</f>
        <v>135</v>
      </c>
      <c r="AP5">
        <f>(3*Table3[[#This Row],[GR]])+Table3[[#This Row],[PTS2]]</f>
        <v>194</v>
      </c>
      <c r="AQ5">
        <f>Table3[[#This Row],[PTS]]+(2 * Table3[[#This Row],[GR]] * Table3[[#This Row],[PTS%]])</f>
        <v>108.69767441860465</v>
      </c>
      <c r="AR5">
        <f>Table3[[#This Row],[PTS2]]+(3 * Table3[[#This Row],[GR]] * Table3[[#This Row],[PTS%2]])</f>
        <v>146.83720930232556</v>
      </c>
      <c r="AS5" s="20" t="str">
        <f>_xlfn.CONCAT(TEXT(Table3[[#This Row],[W]], "0"), "-", TEXT(Table3[[#This Row],[RL]],"0"), "-", TEXT(Table3[[#This Row],[OTL]]+Table3[[#This Row],[SOL]], "0"))</f>
        <v>27-13-3</v>
      </c>
      <c r="AT5">
        <f>COUNTIFS(DataRegularSeason20242025!$D$3:$D$1315,Table3[[#This Row],[Teams]],DataRegularSeason20242025!$K$3:$K$1315,0)</f>
        <v>1</v>
      </c>
      <c r="AU5">
        <f>SUMIF(DataRegularSeason20242025!$D$3:$D$1315,$A5, DataRegularSeason20242025!$J$3:$J$1315)</f>
        <v>69</v>
      </c>
      <c r="AV5">
        <f>SUMIF(DataRegularSeason20242025!$D$3:$D$1315,$A5, DataRegularSeason20242025!$K$3:$K$1315)</f>
        <v>54</v>
      </c>
      <c r="AW5">
        <f>AU5-AV5</f>
        <v>15</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140</v>
      </c>
      <c r="BC5">
        <f>AV5+AZ5</f>
        <v>117</v>
      </c>
      <c r="BD5">
        <f>BB5-BC5</f>
        <v>23</v>
      </c>
      <c r="BE5" s="17">
        <f>Table3[[#This Row],[GF]]/Table3[[#This Row],[GP]]</f>
        <v>3.2558139534883721</v>
      </c>
      <c r="BF5" s="17">
        <f>Table3[[#This Row],[GA]]/Table3[[#This Row],[GP]]</f>
        <v>2.7209302325581395</v>
      </c>
      <c r="BG5" s="17">
        <f>(Table3[[#This Row],[GF]]-Table3[[#This Row],[GA]])/Table3[[#This Row],[GP]]</f>
        <v>0.53488372093023251</v>
      </c>
      <c r="BH5" s="50" t="str">
        <f>_xlfn.CONCAT(TEXT(Table3[[#This Row],[W_H]], "0"), "-", TEXT(Table3[[#This Row],[RL_H]],"0"), "-", TEXT(Table3[[#This Row],[OTL_H]]+Table3[[#This Row],[SOL_H]], "0"))</f>
        <v>15-7-1</v>
      </c>
      <c r="BI5" s="50" t="str">
        <f>_xlfn.CONCAT(TEXT(Table3[[#This Row],[W_A]], "0"), "-", TEXT(Table3[[#This Row],[RL_A]],"0"), "-", TEXT(Table3[[#This Row],[OTL_A]]+Table3[[#This Row],[SOL_A]], "0"))</f>
        <v>12-6-2</v>
      </c>
      <c r="BJ5" s="50">
        <f>((2*(Table3[[#This Row],[W_H]]))+Table3[[#This Row],[OTL_H]]+Table3[[#This Row],[SOL_H]])/(2*Table3[[#This Row],[GP_H]])</f>
        <v>0.67391304347826086</v>
      </c>
      <c r="BK5" s="50">
        <f>((2*(Table3[[#This Row],[W_A]]))+Table3[[#This Row],[OTL_A]]+Table3[[#This Row],[SOL_A]])/(2*Table3[[#This Row],[GP_A]])</f>
        <v>0.65</v>
      </c>
      <c r="BL5" s="21">
        <f>(Table3[[#This Row],[W]]*$CE$3)+(Table3[[#This Row],[L]]*$CE$4)+(Table3[[#This Row],[GF]]*$CE$5)+(Table3[[#This Row],[GA]]*$CE$6)</f>
        <v>51</v>
      </c>
      <c r="BM5" s="21">
        <f>(82*(((Table3[[#This Row],[PTS%]]*$CE$3)+((1-Table3[[#This Row],[PTS%]])*$CE$4)+(Table3[[#This Row],[GF]]*$CE$5)+(Table3[[#This Row],[GA]]*$CE$6))/Table3[[#This Row],[GP]])) + (Table3[[#This Row],[W]]*$CE$3)+(Table3[[#This Row],[L]]*$CE$4)+(Table3[[#This Row],[GF]]*$CE$5)+(Table3[[#This Row],[GA]]*$CE$6)</f>
        <v>114.18301784748513</v>
      </c>
      <c r="BN5">
        <f>COUNTIFS(DataRegularSeason20242025!$D$3:$D$1315,$A5,DataRegularSeason20242025!$H$3:$H$1315, $A5)</f>
        <v>15</v>
      </c>
      <c r="BO5">
        <f>COUNTIFS(DataRegularSeason20242025!$E$3:$E$1315,$A5,DataRegularSeason20242025!$H$3:$H$1315, $A5)</f>
        <v>13</v>
      </c>
      <c r="BP5">
        <f>BN5+BO5</f>
        <v>28</v>
      </c>
      <c r="BQ5">
        <f>F5-BN5</f>
        <v>5</v>
      </c>
      <c r="BR5">
        <f>H5-BO5</f>
        <v>10</v>
      </c>
      <c r="BS5">
        <f>BQ5+BR5</f>
        <v>15</v>
      </c>
      <c r="BV5">
        <v>1990</v>
      </c>
      <c r="BY5" t="s">
        <v>1462</v>
      </c>
      <c r="BZ5">
        <f>SUM($BB$2:$BB$33)</f>
        <v>4183</v>
      </c>
      <c r="CD5" t="s">
        <v>73</v>
      </c>
      <c r="CE5" s="21">
        <v>0.15</v>
      </c>
      <c r="CF5">
        <f>INDEX($BB$2:$BB$33,MATCH("CGY",$A$2:$A$33,0),1)</f>
        <v>115</v>
      </c>
      <c r="CG5">
        <f>CF5/CF2</f>
        <v>2.7380952380952381</v>
      </c>
      <c r="CH5" s="21">
        <f>CE5*CF5</f>
        <v>17.25</v>
      </c>
      <c r="CI5" s="15">
        <f>CH5/$CH$7</f>
        <v>0.37056928034371645</v>
      </c>
    </row>
    <row r="6" spans="1:87"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38</v>
      </c>
      <c r="E6" s="15">
        <f>Table3[[#This Row],[Watched]]/Table3[[#This Row],[GP]]</f>
        <v>0.86363636363636365</v>
      </c>
      <c r="F6">
        <f>COUNTIFS(DataRegularSeason20242025!$N$3:$N$1315,1,DataRegularSeason20242025!$D$3:$D$1315,$A6)</f>
        <v>23</v>
      </c>
      <c r="G6">
        <f>41-Table3[[#This Row],[GP_A]]</f>
        <v>18</v>
      </c>
      <c r="H6">
        <f>COUNTIFS(DataRegularSeason20242025!$E$3:$E$1315,$A6,DataRegularSeason20242025!$N$3:$N$1315,1)</f>
        <v>21</v>
      </c>
      <c r="I6">
        <f>41-Table3[[#This Row],[GP_H]]</f>
        <v>20</v>
      </c>
      <c r="J6">
        <f>F6+H6</f>
        <v>44</v>
      </c>
      <c r="K6">
        <f>82-Table3[[#This Row],[GP]]</f>
        <v>38</v>
      </c>
      <c r="L6">
        <f>COUNTIFS(DataRegularSeason20242025!$D$3:$D$1315,$A6, DataRegularSeason20242025!$L$3:$L$1315, $A6,DataRegularSeason20242025!$N$3:$N$1315,1)</f>
        <v>16</v>
      </c>
      <c r="M6">
        <f>COUNTIFS(DataRegularSeason20242025!$D$3:$D$1315,$A6, DataRegularSeason20242025!$L$3:$L$1315, $A6,DataRegularSeason20242025!$N$3:$N$1315,1,DataRegularSeason20242025!$M$3:$M$1315,"REG")</f>
        <v>13</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10</v>
      </c>
      <c r="Y6">
        <f>COUNTIFS(DataRegularSeason20242025!$E$3:$E$1315,$A6, DataRegularSeason20242025!$S$3:$S$1315, $A6,DataRegularSeason20242025!$M$3:$M$1315,"REG")</f>
        <v>9</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27</v>
      </c>
      <c r="AC6">
        <f>Table3[[#This Row],[L_A]]+Table3[[#This Row],[L_H]]</f>
        <v>17</v>
      </c>
      <c r="AD6">
        <f>Table3[[#This Row],[RW_A]]+Table3[[#This Row],[RW_H]]</f>
        <v>21</v>
      </c>
      <c r="AE6">
        <f>Table3[[#This Row],[RL_A]]+Table3[[#This Row],[RL_H]]</f>
        <v>13</v>
      </c>
      <c r="AF6">
        <f>Table3[[#This Row],[OTW_A]]+Table3[[#This Row],[OTW_H]]</f>
        <v>4</v>
      </c>
      <c r="AG6">
        <f>Table3[[#This Row],[OTL_A]]+Table3[[#This Row],[OTL_H]]</f>
        <v>2</v>
      </c>
      <c r="AH6">
        <f>Table3[[#This Row],[SOW_A]]+Table3[[#This Row],[SOW_H]]</f>
        <v>2</v>
      </c>
      <c r="AI6">
        <f>Table3[[#This Row],[SOL_A]]+Table3[[#This Row],[SOL_H]]</f>
        <v>2</v>
      </c>
      <c r="AJ6" s="20" t="str">
        <f>_xlfn.CONCAT(TEXT(Table3[[#This Row],[OTW]]+Table3[[#This Row],[SOW]], "0"), "-", TEXT(Table3[[#This Row],[OTL]]+Table3[[#This Row],[SOL]],"0"))</f>
        <v>6-4</v>
      </c>
      <c r="AK6">
        <f>(2*(Table3[[#This Row],[W_A]]+Table3[[#This Row],[W_H]]))+Table3[[#This Row],[OTL_A]]+Table3[[#This Row],[SOL_A]]+Table3[[#This Row],[OTL_H]]+Table3[[#This Row],[SOL_H]]</f>
        <v>58</v>
      </c>
      <c r="AL6">
        <f>(3*(Table3[[#This Row],[RW_A]]+Table3[[#This Row],[RW_H]]))+(2*(Table3[[#This Row],[OTW_A]]+Table3[[#This Row],[SOW_A]]+Table3[[#This Row],[OTW_H]]+Table3[[#This Row],[SOW_H]]))+Table3[[#This Row],[OTL_A]]+Table3[[#This Row],[SOL_A]]+Table3[[#This Row],[OTL_H]]+Table3[[#This Row],[SOL_H]]</f>
        <v>79</v>
      </c>
      <c r="AM6" s="15">
        <f>Table3[[#This Row],[PTS]]/(2*Table3[[#This Row],[GP]])</f>
        <v>0.65909090909090906</v>
      </c>
      <c r="AN6" s="15">
        <f>Table3[[#This Row],[PTS2]]/(3*Table3[[#This Row],[GP]])</f>
        <v>0.59848484848484851</v>
      </c>
      <c r="AO6">
        <f>(2*Table3[[#This Row],[GR]])+Table3[[#This Row],[PTS]]</f>
        <v>134</v>
      </c>
      <c r="AP6">
        <f>(3*Table3[[#This Row],[GR]])+Table3[[#This Row],[PTS2]]</f>
        <v>193</v>
      </c>
      <c r="AQ6">
        <f>Table3[[#This Row],[PTS]]+(2 * Table3[[#This Row],[GR]] * Table3[[#This Row],[PTS%]])</f>
        <v>108.09090909090909</v>
      </c>
      <c r="AR6">
        <f>Table3[[#This Row],[PTS2]]+(3 * Table3[[#This Row],[GR]] * Table3[[#This Row],[PTS%2]])</f>
        <v>147.22727272727275</v>
      </c>
      <c r="AS6" s="20" t="str">
        <f>_xlfn.CONCAT(TEXT(Table3[[#This Row],[W]], "0"), "-", TEXT(Table3[[#This Row],[RL]],"0"), "-", TEXT(Table3[[#This Row],[OTL]]+Table3[[#This Row],[SOL]], "0"))</f>
        <v>27-13-4</v>
      </c>
      <c r="AT6">
        <f>COUNTIFS(DataRegularSeason20242025!$D$3:$D$1315,Table3[[#This Row],[Teams]],DataRegularSeason20242025!$K$3:$K$1315,0)</f>
        <v>2</v>
      </c>
      <c r="AU6">
        <f>SUMIF(DataRegularSeason20242025!$D$3:$D$1315,$A6, DataRegularSeason20242025!$J$3:$J$1315)</f>
        <v>77</v>
      </c>
      <c r="AV6">
        <f>SUMIF(DataRegularSeason20242025!$D$3:$D$1315,$A6, DataRegularSeason20242025!$K$3:$K$1315)</f>
        <v>56</v>
      </c>
      <c r="AW6">
        <f>AU6-AV6</f>
        <v>21</v>
      </c>
      <c r="AX6">
        <f>COUNTIFS(DataRegularSeason20242025!$E$3:$E$1315,Table3[[#This Row],[Teams]],DataRegularSeason20242025!$J$3:$J$1315,0)</f>
        <v>1</v>
      </c>
      <c r="AY6">
        <f>SUMIF(DataRegularSeason20242025!$E$3:$E$1315,$A6,DataRegularSeason20242025!$K$3:$K$1315)</f>
        <v>55</v>
      </c>
      <c r="AZ6">
        <f>SUMIF(DataRegularSeason20242025!$E$3:$E$1315,$A6,DataRegularSeason20242025!$J$3:$J$1315)</f>
        <v>66</v>
      </c>
      <c r="BA6">
        <f>AY6-AZ6</f>
        <v>-11</v>
      </c>
      <c r="BB6">
        <f>AU6+AY6</f>
        <v>132</v>
      </c>
      <c r="BC6">
        <f>AV6+AZ6</f>
        <v>122</v>
      </c>
      <c r="BD6">
        <f>BB6-BC6</f>
        <v>10</v>
      </c>
      <c r="BE6" s="17">
        <f>Table3[[#This Row],[GF]]/Table3[[#This Row],[GP]]</f>
        <v>3</v>
      </c>
      <c r="BF6" s="17">
        <f>Table3[[#This Row],[GA]]/Table3[[#This Row],[GP]]</f>
        <v>2.7727272727272729</v>
      </c>
      <c r="BG6" s="17">
        <f>(Table3[[#This Row],[GF]]-Table3[[#This Row],[GA]])/Table3[[#This Row],[GP]]</f>
        <v>0.22727272727272727</v>
      </c>
      <c r="BH6" s="50" t="str">
        <f>_xlfn.CONCAT(TEXT(Table3[[#This Row],[W_H]], "0"), "-", TEXT(Table3[[#This Row],[RL_H]],"0"), "-", TEXT(Table3[[#This Row],[OTL_H]]+Table3[[#This Row],[SOL_H]], "0"))</f>
        <v>11-9-1</v>
      </c>
      <c r="BI6" s="50" t="str">
        <f>_xlfn.CONCAT(TEXT(Table3[[#This Row],[W_A]], "0"), "-", TEXT(Table3[[#This Row],[RL_A]],"0"), "-", TEXT(Table3[[#This Row],[OTL_A]]+Table3[[#This Row],[SOL_A]], "0"))</f>
        <v>16-4-3</v>
      </c>
      <c r="BJ6" s="50">
        <f>((2*(Table3[[#This Row],[W_H]]))+Table3[[#This Row],[OTL_H]]+Table3[[#This Row],[SOL_H]])/(2*Table3[[#This Row],[GP_H]])</f>
        <v>0.54761904761904767</v>
      </c>
      <c r="BK6" s="50">
        <f>((2*(Table3[[#This Row],[W_A]]))+Table3[[#This Row],[OTL_A]]+Table3[[#This Row],[SOL_A]])/(2*Table3[[#This Row],[GP_A]])</f>
        <v>0.76086956521739135</v>
      </c>
      <c r="BL6" s="21">
        <f>(Table3[[#This Row],[W]]*$CE$3)+(Table3[[#This Row],[L]]*$CE$4)+(Table3[[#This Row],[GF]]*$CE$5)+(Table3[[#This Row],[GA]]*$CE$6)</f>
        <v>50.600000000000009</v>
      </c>
      <c r="BM6" s="21">
        <f>(82*(((Table3[[#This Row],[PTS%]]*$CE$3)+((1-Table3[[#This Row],[PTS%]])*$CE$4)+(Table3[[#This Row],[GF]]*$CE$5)+(Table3[[#This Row],[GA]]*$CE$6))/Table3[[#This Row],[GP]])) + (Table3[[#This Row],[W]]*$CE$3)+(Table3[[#This Row],[L]]*$CE$4)+(Table3[[#This Row],[GF]]*$CE$5)+(Table3[[#This Row],[GA]]*$CE$6)</f>
        <v>111.04111570247935</v>
      </c>
      <c r="BN6">
        <f>COUNTIFS(DataRegularSeason20242025!$D$3:$D$1315,$A6,DataRegularSeason20242025!$H$3:$H$1315, $A6)</f>
        <v>17</v>
      </c>
      <c r="BO6">
        <f>COUNTIFS(DataRegularSeason20242025!$E$3:$E$1315,$A6,DataRegularSeason20242025!$H$3:$H$1315, $A6)</f>
        <v>18</v>
      </c>
      <c r="BP6">
        <f>BN6+BO6</f>
        <v>35</v>
      </c>
      <c r="BQ6">
        <f>F6-BN6</f>
        <v>6</v>
      </c>
      <c r="BR6">
        <f>H6-BO6</f>
        <v>3</v>
      </c>
      <c r="BS6">
        <f>BQ6+BR6</f>
        <v>9</v>
      </c>
      <c r="BY6" t="s">
        <v>1463</v>
      </c>
      <c r="BZ6">
        <f>SUM($AT$2:$AT$33)+SUM($AX$2:$AX$33)</f>
        <v>84</v>
      </c>
      <c r="CD6" t="s">
        <v>74</v>
      </c>
      <c r="CE6" s="21">
        <v>0.1</v>
      </c>
      <c r="CF6">
        <f>INDEX($BC$2:$BC$33,MATCH("CGY",$A$2:$A$33,0),1)</f>
        <v>125</v>
      </c>
      <c r="CG6">
        <f>CF6/CF2</f>
        <v>2.9761904761904763</v>
      </c>
      <c r="CH6" s="21">
        <f>CE6*CF6</f>
        <v>12.5</v>
      </c>
      <c r="CI6" s="15">
        <f>CH6/$CH$7</f>
        <v>0.26852846401718583</v>
      </c>
    </row>
    <row r="7" spans="1:87"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0.76190476190476186</v>
      </c>
      <c r="F7">
        <f>COUNTIFS(DataRegularSeason20242025!$N$3:$N$1315,1,DataRegularSeason20242025!$D$3:$D$1315,$A7)</f>
        <v>20</v>
      </c>
      <c r="G7">
        <f>41-Table3[[#This Row],[GP_A]]</f>
        <v>21</v>
      </c>
      <c r="H7">
        <f>COUNTIFS(DataRegularSeason20242025!$E$3:$E$1315,$A7,DataRegularSeason20242025!$N$3:$N$1315,1)</f>
        <v>22</v>
      </c>
      <c r="I7">
        <f>41-Table3[[#This Row],[GP_H]]</f>
        <v>19</v>
      </c>
      <c r="J7">
        <f>F7+H7</f>
        <v>42</v>
      </c>
      <c r="K7">
        <f>82-Table3[[#This Row],[GP]]</f>
        <v>40</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1</v>
      </c>
      <c r="P7">
        <f>F7-L7</f>
        <v>9</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H7-T7</f>
        <v>6</v>
      </c>
      <c r="Y7">
        <f>COUNTIFS(DataRegularSeason20242025!$E$3:$E$1315,$A7, DataRegularSeason20242025!$S$3:$S$1315, $A7,DataRegularSeason20242025!$M$3:$M$1315,"REG")</f>
        <v>5</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27</v>
      </c>
      <c r="AC7">
        <f>Table3[[#This Row],[L_A]]+Table3[[#This Row],[L_H]]</f>
        <v>15</v>
      </c>
      <c r="AD7">
        <f>Table3[[#This Row],[RW_A]]+Table3[[#This Row],[RW_H]]</f>
        <v>22</v>
      </c>
      <c r="AE7">
        <f>Table3[[#This Row],[RL_A]]+Table3[[#This Row],[RL_H]]</f>
        <v>14</v>
      </c>
      <c r="AF7">
        <f>Table3[[#This Row],[OTW_A]]+Table3[[#This Row],[OTW_H]]</f>
        <v>3</v>
      </c>
      <c r="AG7">
        <f>Table3[[#This Row],[OTL_A]]+Table3[[#This Row],[OTL_H]]</f>
        <v>1</v>
      </c>
      <c r="AH7">
        <f>Table3[[#This Row],[SOW_A]]+Table3[[#This Row],[SOW_H]]</f>
        <v>2</v>
      </c>
      <c r="AI7">
        <f>Table3[[#This Row],[SOL_A]]+Table3[[#This Row],[SOL_H]]</f>
        <v>0</v>
      </c>
      <c r="AJ7" s="20" t="str">
        <f>_xlfn.CONCAT(TEXT(Table3[[#This Row],[OTW]]+Table3[[#This Row],[SOW]], "0"), "-", TEXT(Table3[[#This Row],[OTL]]+Table3[[#This Row],[SOL]],"0"))</f>
        <v>5-1</v>
      </c>
      <c r="AK7">
        <f>(2*(Table3[[#This Row],[W_A]]+Table3[[#This Row],[W_H]]))+Table3[[#This Row],[OTL_A]]+Table3[[#This Row],[SOL_A]]+Table3[[#This Row],[OTL_H]]+Table3[[#This Row],[SOL_H]]</f>
        <v>55</v>
      </c>
      <c r="AL7">
        <f>(3*(Table3[[#This Row],[RW_A]]+Table3[[#This Row],[RW_H]]))+(2*(Table3[[#This Row],[OTW_A]]+Table3[[#This Row],[SOW_A]]+Table3[[#This Row],[OTW_H]]+Table3[[#This Row],[SOW_H]]))+Table3[[#This Row],[OTL_A]]+Table3[[#This Row],[SOL_A]]+Table3[[#This Row],[OTL_H]]+Table3[[#This Row],[SOL_H]]</f>
        <v>77</v>
      </c>
      <c r="AM7" s="15">
        <f>Table3[[#This Row],[PTS]]/(2*Table3[[#This Row],[GP]])</f>
        <v>0.65476190476190477</v>
      </c>
      <c r="AN7" s="15">
        <f>Table3[[#This Row],[PTS2]]/(3*Table3[[#This Row],[GP]])</f>
        <v>0.61111111111111116</v>
      </c>
      <c r="AO7">
        <f>(2*Table3[[#This Row],[GR]])+Table3[[#This Row],[PTS]]</f>
        <v>135</v>
      </c>
      <c r="AP7">
        <f>(3*Table3[[#This Row],[GR]])+Table3[[#This Row],[PTS2]]</f>
        <v>197</v>
      </c>
      <c r="AQ7">
        <f>Table3[[#This Row],[PTS]]+(2 * Table3[[#This Row],[GR]] * Table3[[#This Row],[PTS%]])</f>
        <v>107.38095238095238</v>
      </c>
      <c r="AR7">
        <f>Table3[[#This Row],[PTS2]]+(3 * Table3[[#This Row],[GR]] * Table3[[#This Row],[PTS%2]])</f>
        <v>150.33333333333334</v>
      </c>
      <c r="AS7" s="20" t="str">
        <f>_xlfn.CONCAT(TEXT(Table3[[#This Row],[W]], "0"), "-", TEXT(Table3[[#This Row],[RL]],"0"), "-", TEXT(Table3[[#This Row],[OTL]]+Table3[[#This Row],[SOL]], "0"))</f>
        <v>27-14-1</v>
      </c>
      <c r="AT7">
        <f>COUNTIFS(DataRegularSeason20242025!$D$3:$D$1315,Table3[[#This Row],[Teams]],DataRegularSeason20242025!$K$3:$K$1315,0)</f>
        <v>0</v>
      </c>
      <c r="AU7">
        <f>SUMIF(DataRegularSeason20242025!$D$3:$D$1315,$A7, DataRegularSeason20242025!$J$3:$J$1315)</f>
        <v>62</v>
      </c>
      <c r="AV7">
        <f>SUMIF(DataRegularSeason20242025!$D$3:$D$1315,$A7, DataRegularSeason20242025!$K$3:$K$1315)</f>
        <v>55</v>
      </c>
      <c r="AW7">
        <f>AU7-AV7</f>
        <v>7</v>
      </c>
      <c r="AX7">
        <f>COUNTIFS(DataRegularSeason20242025!$E$3:$E$1315,Table3[[#This Row],[Teams]],DataRegularSeason20242025!$J$3:$J$1315,0)</f>
        <v>2</v>
      </c>
      <c r="AY7">
        <f>SUMIF(DataRegularSeason20242025!$E$3:$E$1315,$A7,DataRegularSeason20242025!$K$3:$K$1315)</f>
        <v>74</v>
      </c>
      <c r="AZ7">
        <f>SUMIF(DataRegularSeason20242025!$E$3:$E$1315,$A7,DataRegularSeason20242025!$J$3:$J$1315)</f>
        <v>49</v>
      </c>
      <c r="BA7">
        <f>AY7-AZ7</f>
        <v>25</v>
      </c>
      <c r="BB7">
        <f>AU7+AY7</f>
        <v>136</v>
      </c>
      <c r="BC7">
        <f>AV7+AZ7</f>
        <v>104</v>
      </c>
      <c r="BD7">
        <f>BB7-BC7</f>
        <v>32</v>
      </c>
      <c r="BE7" s="17">
        <f>Table3[[#This Row],[GF]]/Table3[[#This Row],[GP]]</f>
        <v>3.2380952380952381</v>
      </c>
      <c r="BF7" s="17">
        <f>Table3[[#This Row],[GA]]/Table3[[#This Row],[GP]]</f>
        <v>2.4761904761904763</v>
      </c>
      <c r="BG7" s="17">
        <f>(Table3[[#This Row],[GF]]-Table3[[#This Row],[GA]])/Table3[[#This Row],[GP]]</f>
        <v>0.76190476190476186</v>
      </c>
      <c r="BH7" s="50" t="str">
        <f>_xlfn.CONCAT(TEXT(Table3[[#This Row],[W_H]], "0"), "-", TEXT(Table3[[#This Row],[RL_H]],"0"), "-", TEXT(Table3[[#This Row],[OTL_H]]+Table3[[#This Row],[SOL_H]], "0"))</f>
        <v>16-5-1</v>
      </c>
      <c r="BI7" s="50" t="str">
        <f>_xlfn.CONCAT(TEXT(Table3[[#This Row],[W_A]], "0"), "-", TEXT(Table3[[#This Row],[RL_A]],"0"), "-", TEXT(Table3[[#This Row],[OTL_A]]+Table3[[#This Row],[SOL_A]], "0"))</f>
        <v>11-9-0</v>
      </c>
      <c r="BJ7" s="50">
        <f>((2*(Table3[[#This Row],[W_H]]))+Table3[[#This Row],[OTL_H]]+Table3[[#This Row],[SOL_H]])/(2*Table3[[#This Row],[GP_H]])</f>
        <v>0.75</v>
      </c>
      <c r="BK7" s="50">
        <f>((2*(Table3[[#This Row],[W_A]]))+Table3[[#This Row],[OTL_A]]+Table3[[#This Row],[SOL_A]])/(2*Table3[[#This Row],[GP_A]])</f>
        <v>0.55000000000000004</v>
      </c>
      <c r="BL7" s="21">
        <f>(Table3[[#This Row],[W]]*$CE$3)+(Table3[[#This Row],[L]]*$CE$4)+(Table3[[#This Row],[GF]]*$CE$5)+(Table3[[#This Row],[GA]]*$CE$6)</f>
        <v>48.8</v>
      </c>
      <c r="BM7" s="21">
        <f>(82*(((Table3[[#This Row],[PTS%]]*$CE$3)+((1-Table3[[#This Row],[PTS%]])*$CE$4)+(Table3[[#This Row],[GF]]*$CE$5)+(Table3[[#This Row],[GA]]*$CE$6))/Table3[[#This Row],[GP]])) + (Table3[[#This Row],[W]]*$CE$3)+(Table3[[#This Row],[L]]*$CE$4)+(Table3[[#This Row],[GF]]*$CE$5)+(Table3[[#This Row],[GA]]*$CE$6)</f>
        <v>109.77471655328799</v>
      </c>
      <c r="BN7">
        <f>COUNTIFS(DataRegularSeason20242025!$D$3:$D$1315,$A7,DataRegularSeason20242025!$H$3:$H$1315, $A7)</f>
        <v>12</v>
      </c>
      <c r="BO7">
        <f>COUNTIFS(DataRegularSeason20242025!$E$3:$E$1315,$A7,DataRegularSeason20242025!$H$3:$H$1315, $A7)</f>
        <v>16</v>
      </c>
      <c r="BP7">
        <f>BN7+BO7</f>
        <v>28</v>
      </c>
      <c r="BQ7">
        <f>F7-BN7</f>
        <v>8</v>
      </c>
      <c r="BR7">
        <f>H7-BO7</f>
        <v>6</v>
      </c>
      <c r="BS7">
        <f>BQ7+BR7</f>
        <v>14</v>
      </c>
      <c r="BV7">
        <v>1999</v>
      </c>
      <c r="BY7" t="s">
        <v>1464</v>
      </c>
      <c r="BZ7">
        <f>SUM($AF$2:$AF$33)</f>
        <v>108</v>
      </c>
      <c r="CG7" s="23">
        <f>MAX(CE4,CE3*INDEX($AM$2:$AM$33,MATCH("CGY",$A$2:$A$33,0),1))+(CE5*CG5)+(CE6*CG6)</f>
        <v>1.0083333333333333</v>
      </c>
      <c r="CH7" s="22">
        <f>SUM(CH3:CH6)</f>
        <v>46.55</v>
      </c>
    </row>
    <row r="8" spans="1:87"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0.85365853658536583</v>
      </c>
      <c r="F8">
        <f>COUNTIFS(DataRegularSeason20242025!$N$3:$N$1315,1,DataRegularSeason20242025!$D$3:$D$1315,$A8)</f>
        <v>24</v>
      </c>
      <c r="G8">
        <f>41-Table3[[#This Row],[GP_A]]</f>
        <v>17</v>
      </c>
      <c r="H8">
        <f>COUNTIFS(DataRegularSeason20242025!$E$3:$E$1315,$A8,DataRegularSeason20242025!$N$3:$N$1315,1)</f>
        <v>17</v>
      </c>
      <c r="I8">
        <f>41-Table3[[#This Row],[GP_H]]</f>
        <v>24</v>
      </c>
      <c r="J8">
        <f>F8+H8</f>
        <v>41</v>
      </c>
      <c r="K8">
        <f>82-Table3[[#This Row],[GP]]</f>
        <v>41</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14</v>
      </c>
      <c r="Q8">
        <f>COUNTIFS(DataRegularSeason20242025!$D$3:$D$1315,$A8, DataRegularSeason20242025!$S$3:$S$1315, $A8,DataRegularSeason20242025!$M$3:$M$1315,"REG")</f>
        <v>10</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24</v>
      </c>
      <c r="AC8">
        <f>Table3[[#This Row],[L_A]]+Table3[[#This Row],[L_H]]</f>
        <v>17</v>
      </c>
      <c r="AD8">
        <f>Table3[[#This Row],[RW_A]]+Table3[[#This Row],[RW_H]]</f>
        <v>22</v>
      </c>
      <c r="AE8">
        <f>Table3[[#This Row],[RL_A]]+Table3[[#This Row],[RL_H]]</f>
        <v>12</v>
      </c>
      <c r="AF8">
        <f>Table3[[#This Row],[OTW_A]]+Table3[[#This Row],[OTW_H]]</f>
        <v>2</v>
      </c>
      <c r="AG8">
        <f>Table3[[#This Row],[OTL_A]]+Table3[[#This Row],[OTL_H]]</f>
        <v>4</v>
      </c>
      <c r="AH8">
        <f>Table3[[#This Row],[SOW_A]]+Table3[[#This Row],[SOW_H]]</f>
        <v>0</v>
      </c>
      <c r="AI8">
        <f>Table3[[#This Row],[SOL_A]]+Table3[[#This Row],[SOL_H]]</f>
        <v>1</v>
      </c>
      <c r="AJ8" s="20" t="str">
        <f>_xlfn.CONCAT(TEXT(Table3[[#This Row],[OTW]]+Table3[[#This Row],[SOW]], "0"), "-", TEXT(Table3[[#This Row],[OTL]]+Table3[[#This Row],[SOL]],"0"))</f>
        <v>2-5</v>
      </c>
      <c r="AK8">
        <f>(2*(Table3[[#This Row],[W_A]]+Table3[[#This Row],[W_H]]))+Table3[[#This Row],[OTL_A]]+Table3[[#This Row],[SOL_A]]+Table3[[#This Row],[OTL_H]]+Table3[[#This Row],[SOL_H]]</f>
        <v>53</v>
      </c>
      <c r="AL8">
        <f>(3*(Table3[[#This Row],[RW_A]]+Table3[[#This Row],[RW_H]]))+(2*(Table3[[#This Row],[OTW_A]]+Table3[[#This Row],[SOW_A]]+Table3[[#This Row],[OTW_H]]+Table3[[#This Row],[SOW_H]]))+Table3[[#This Row],[OTL_A]]+Table3[[#This Row],[SOL_A]]+Table3[[#This Row],[OTL_H]]+Table3[[#This Row],[SOL_H]]</f>
        <v>75</v>
      </c>
      <c r="AM8" s="15">
        <f>Table3[[#This Row],[PTS]]/(2*Table3[[#This Row],[GP]])</f>
        <v>0.64634146341463417</v>
      </c>
      <c r="AN8" s="15">
        <f>Table3[[#This Row],[PTS2]]/(3*Table3[[#This Row],[GP]])</f>
        <v>0.6097560975609756</v>
      </c>
      <c r="AO8">
        <f>(2*Table3[[#This Row],[GR]])+Table3[[#This Row],[PTS]]</f>
        <v>135</v>
      </c>
      <c r="AP8">
        <f>(3*Table3[[#This Row],[GR]])+Table3[[#This Row],[PTS2]]</f>
        <v>198</v>
      </c>
      <c r="AQ8">
        <f>Table3[[#This Row],[PTS]]+(2 * Table3[[#This Row],[GR]] * Table3[[#This Row],[PTS%]])</f>
        <v>106</v>
      </c>
      <c r="AR8">
        <f>Table3[[#This Row],[PTS2]]+(3 * Table3[[#This Row],[GR]] * Table3[[#This Row],[PTS%2]])</f>
        <v>150</v>
      </c>
      <c r="AS8" s="20" t="str">
        <f>_xlfn.CONCAT(TEXT(Table3[[#This Row],[W]], "0"), "-", TEXT(Table3[[#This Row],[RL]],"0"), "-", TEXT(Table3[[#This Row],[OTL]]+Table3[[#This Row],[SOL]], "0"))</f>
        <v>24-12-5</v>
      </c>
      <c r="AT8">
        <f>COUNTIFS(DataRegularSeason20242025!$D$3:$D$1315,Table3[[#This Row],[Teams]],DataRegularSeason20242025!$K$3:$K$1315,0)</f>
        <v>1</v>
      </c>
      <c r="AU8">
        <f>SUMIF(DataRegularSeason20242025!$D$3:$D$1315,$A8, DataRegularSeason20242025!$J$3:$J$1315)</f>
        <v>63</v>
      </c>
      <c r="AV8">
        <f>SUMIF(DataRegularSeason20242025!$D$3:$D$1315,$A8, DataRegularSeason20242025!$K$3:$K$1315)</f>
        <v>66</v>
      </c>
      <c r="AW8">
        <f>AU8-AV8</f>
        <v>-3</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34</v>
      </c>
      <c r="BA8">
        <f>AY8-AZ8</f>
        <v>24</v>
      </c>
      <c r="BB8">
        <f>AU8+AY8</f>
        <v>121</v>
      </c>
      <c r="BC8">
        <f>AV8+AZ8</f>
        <v>100</v>
      </c>
      <c r="BD8">
        <f>BB8-BC8</f>
        <v>21</v>
      </c>
      <c r="BE8" s="17">
        <f>Table3[[#This Row],[GF]]/Table3[[#This Row],[GP]]</f>
        <v>2.9512195121951219</v>
      </c>
      <c r="BF8" s="17">
        <f>Table3[[#This Row],[GA]]/Table3[[#This Row],[GP]]</f>
        <v>2.4390243902439024</v>
      </c>
      <c r="BG8" s="17">
        <f>(Table3[[#This Row],[GF]]-Table3[[#This Row],[GA]])/Table3[[#This Row],[GP]]</f>
        <v>0.51219512195121952</v>
      </c>
      <c r="BH8" s="50" t="str">
        <f>_xlfn.CONCAT(TEXT(Table3[[#This Row],[W_H]], "0"), "-", TEXT(Table3[[#This Row],[RL_H]],"0"), "-", TEXT(Table3[[#This Row],[OTL_H]]+Table3[[#This Row],[SOL_H]], "0"))</f>
        <v>14-2-1</v>
      </c>
      <c r="BI8" s="50" t="str">
        <f>_xlfn.CONCAT(TEXT(Table3[[#This Row],[W_A]], "0"), "-", TEXT(Table3[[#This Row],[RL_A]],"0"), "-", TEXT(Table3[[#This Row],[OTL_A]]+Table3[[#This Row],[SOL_A]], "0"))</f>
        <v>10-10-4</v>
      </c>
      <c r="BJ8" s="50">
        <f>((2*(Table3[[#This Row],[W_H]]))+Table3[[#This Row],[OTL_H]]+Table3[[#This Row],[SOL_H]])/(2*Table3[[#This Row],[GP_H]])</f>
        <v>0.8529411764705882</v>
      </c>
      <c r="BK8" s="50">
        <f>((2*(Table3[[#This Row],[W_A]]))+Table3[[#This Row],[OTL_A]]+Table3[[#This Row],[SOL_A]])/(2*Table3[[#This Row],[GP_A]])</f>
        <v>0.5</v>
      </c>
      <c r="BL8" s="21">
        <f>(Table3[[#This Row],[W]]*$CE$3)+(Table3[[#This Row],[L]]*$CE$4)+(Table3[[#This Row],[GF]]*$CE$5)+(Table3[[#This Row],[GA]]*$CE$6)</f>
        <v>45.25</v>
      </c>
      <c r="BM8" s="21">
        <f>(82*(((Table3[[#This Row],[PTS%]]*$CE$3)+((1-Table3[[#This Row],[PTS%]])*$CE$4)+(Table3[[#This Row],[GF]]*$CE$5)+(Table3[[#This Row],[GA]]*$CE$6))/Table3[[#This Row],[GP]])) + (Table3[[#This Row],[W]]*$CE$3)+(Table3[[#This Row],[L]]*$CE$4)+(Table3[[#This Row],[GF]]*$CE$5)+(Table3[[#This Row],[GA]]*$CE$6)</f>
        <v>102.40853658536585</v>
      </c>
      <c r="BN8">
        <f>COUNTIFS(DataRegularSeason20242025!$D$3:$D$1315,$A8,DataRegularSeason20242025!$H$3:$H$1315, $A8)</f>
        <v>10</v>
      </c>
      <c r="BO8">
        <f>COUNTIFS(DataRegularSeason20242025!$E$3:$E$1315,$A8,DataRegularSeason20242025!$H$3:$H$1315, $A8)</f>
        <v>8</v>
      </c>
      <c r="BP8">
        <f>BN8+BO8</f>
        <v>18</v>
      </c>
      <c r="BQ8">
        <f>F8-BN8</f>
        <v>14</v>
      </c>
      <c r="BR8">
        <f>H8-BO8</f>
        <v>9</v>
      </c>
      <c r="BS8">
        <f>BQ8+BR8</f>
        <v>23</v>
      </c>
      <c r="BV8">
        <v>2014</v>
      </c>
      <c r="BY8" t="s">
        <v>1465</v>
      </c>
      <c r="BZ8">
        <f>SUM($AH$2:$AH$33)</f>
        <v>32</v>
      </c>
      <c r="CF8" t="s">
        <v>1475</v>
      </c>
      <c r="CG8" s="23">
        <f>CG7*82</f>
        <v>82.683333333333337</v>
      </c>
      <c r="CH8" s="21">
        <f>CH7+((82-CF2)*CG7)</f>
        <v>86.883333333333326</v>
      </c>
    </row>
    <row r="9" spans="1:87"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0.88372093023255816</v>
      </c>
      <c r="F9">
        <f>COUNTIFS(DataRegularSeason20242025!$N$3:$N$1315,1,DataRegularSeason20242025!$D$3:$D$1315,$A9)</f>
        <v>20</v>
      </c>
      <c r="G9">
        <f>41-Table3[[#This Row],[GP_A]]</f>
        <v>21</v>
      </c>
      <c r="H9">
        <f>COUNTIFS(DataRegularSeason20242025!$E$3:$E$1315,$A9,DataRegularSeason20242025!$N$3:$N$1315,1)</f>
        <v>23</v>
      </c>
      <c r="I9">
        <f>41-Table3[[#This Row],[GP_H]]</f>
        <v>18</v>
      </c>
      <c r="J9">
        <f>F9+H9</f>
        <v>43</v>
      </c>
      <c r="K9">
        <f>82-Table3[[#This Row],[GP]]</f>
        <v>39</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26</v>
      </c>
      <c r="AC9">
        <f>Table3[[#This Row],[L_A]]+Table3[[#This Row],[L_H]]</f>
        <v>17</v>
      </c>
      <c r="AD9">
        <f>Table3[[#This Row],[RW_A]]+Table3[[#This Row],[RW_H]]</f>
        <v>23</v>
      </c>
      <c r="AE9">
        <f>Table3[[#This Row],[RL_A]]+Table3[[#This Row],[RL_H]]</f>
        <v>14</v>
      </c>
      <c r="AF9">
        <f>Table3[[#This Row],[OTW_A]]+Table3[[#This Row],[OTW_H]]</f>
        <v>3</v>
      </c>
      <c r="AG9">
        <f>Table3[[#This Row],[OTL_A]]+Table3[[#This Row],[OTL_H]]</f>
        <v>1</v>
      </c>
      <c r="AH9">
        <f>Table3[[#This Row],[SOW_A]]+Table3[[#This Row],[SOW_H]]</f>
        <v>0</v>
      </c>
      <c r="AI9">
        <f>Table3[[#This Row],[SOL_A]]+Table3[[#This Row],[SOL_H]]</f>
        <v>2</v>
      </c>
      <c r="AJ9" s="20" t="str">
        <f>_xlfn.CONCAT(TEXT(Table3[[#This Row],[OTW]]+Table3[[#This Row],[SOW]], "0"), "-", TEXT(Table3[[#This Row],[OTL]]+Table3[[#This Row],[SOL]],"0"))</f>
        <v>3-3</v>
      </c>
      <c r="AK9">
        <f>(2*(Table3[[#This Row],[W_A]]+Table3[[#This Row],[W_H]]))+Table3[[#This Row],[OTL_A]]+Table3[[#This Row],[SOL_A]]+Table3[[#This Row],[OTL_H]]+Table3[[#This Row],[SOL_H]]</f>
        <v>55</v>
      </c>
      <c r="AL9">
        <f>(3*(Table3[[#This Row],[RW_A]]+Table3[[#This Row],[RW_H]]))+(2*(Table3[[#This Row],[OTW_A]]+Table3[[#This Row],[SOW_A]]+Table3[[#This Row],[OTW_H]]+Table3[[#This Row],[SOW_H]]))+Table3[[#This Row],[OTL_A]]+Table3[[#This Row],[SOL_A]]+Table3[[#This Row],[OTL_H]]+Table3[[#This Row],[SOL_H]]</f>
        <v>78</v>
      </c>
      <c r="AM9" s="15">
        <f>Table3[[#This Row],[PTS]]/(2*Table3[[#This Row],[GP]])</f>
        <v>0.63953488372093026</v>
      </c>
      <c r="AN9" s="15">
        <f>Table3[[#This Row],[PTS2]]/(3*Table3[[#This Row],[GP]])</f>
        <v>0.60465116279069764</v>
      </c>
      <c r="AO9">
        <f>(2*Table3[[#This Row],[GR]])+Table3[[#This Row],[PTS]]</f>
        <v>133</v>
      </c>
      <c r="AP9">
        <f>(3*Table3[[#This Row],[GR]])+Table3[[#This Row],[PTS2]]</f>
        <v>195</v>
      </c>
      <c r="AQ9">
        <f>Table3[[#This Row],[PTS]]+(2 * Table3[[#This Row],[GR]] * Table3[[#This Row],[PTS%]])</f>
        <v>104.88372093023256</v>
      </c>
      <c r="AR9">
        <f>Table3[[#This Row],[PTS2]]+(3 * Table3[[#This Row],[GR]] * Table3[[#This Row],[PTS%2]])</f>
        <v>148.74418604651163</v>
      </c>
      <c r="AS9" s="20" t="str">
        <f>_xlfn.CONCAT(TEXT(Table3[[#This Row],[W]], "0"), "-", TEXT(Table3[[#This Row],[RL]],"0"), "-", TEXT(Table3[[#This Row],[OTL]]+Table3[[#This Row],[SOL]], "0"))</f>
        <v>26-14-3</v>
      </c>
      <c r="AT9">
        <f>COUNTIFS(DataRegularSeason20242025!$D$3:$D$1315,Table3[[#This Row],[Teams]],DataRegularSeason20242025!$K$3:$K$1315,0)</f>
        <v>0</v>
      </c>
      <c r="AU9">
        <f>SUMIF(DataRegularSeason20242025!$D$3:$D$1315,$A9, DataRegularSeason20242025!$J$3:$J$1315)</f>
        <v>59</v>
      </c>
      <c r="AV9">
        <f>SUMIF(DataRegularSeason20242025!$D$3:$D$1315,$A9, DataRegularSeason20242025!$K$3:$K$1315)</f>
        <v>63</v>
      </c>
      <c r="AW9">
        <f>AU9-AV9</f>
        <v>-4</v>
      </c>
      <c r="AX9">
        <f>COUNTIFS(DataRegularSeason20242025!$E$3:$E$1315,Table3[[#This Row],[Teams]],DataRegularSeason20242025!$J$3:$J$1315,0)</f>
        <v>3</v>
      </c>
      <c r="AY9">
        <f>SUMIF(DataRegularSeason20242025!$E$3:$E$1315,$A9,DataRegularSeason20242025!$K$3:$K$1315)</f>
        <v>86</v>
      </c>
      <c r="AZ9">
        <f>SUMIF(DataRegularSeason20242025!$E$3:$E$1315,$A9,DataRegularSeason20242025!$J$3:$J$1315)</f>
        <v>57</v>
      </c>
      <c r="BA9">
        <f>AY9-AZ9</f>
        <v>29</v>
      </c>
      <c r="BB9">
        <f>AU9+AY9</f>
        <v>145</v>
      </c>
      <c r="BC9">
        <f>AV9+AZ9</f>
        <v>120</v>
      </c>
      <c r="BD9">
        <f>BB9-BC9</f>
        <v>25</v>
      </c>
      <c r="BE9" s="17">
        <f>Table3[[#This Row],[GF]]/Table3[[#This Row],[GP]]</f>
        <v>3.3720930232558142</v>
      </c>
      <c r="BF9" s="17">
        <f>Table3[[#This Row],[GA]]/Table3[[#This Row],[GP]]</f>
        <v>2.7906976744186047</v>
      </c>
      <c r="BG9" s="17">
        <f>(Table3[[#This Row],[GF]]-Table3[[#This Row],[GA]])/Table3[[#This Row],[GP]]</f>
        <v>0.58139534883720934</v>
      </c>
      <c r="BH9" s="50" t="str">
        <f>_xlfn.CONCAT(TEXT(Table3[[#This Row],[W_H]], "0"), "-", TEXT(Table3[[#This Row],[RL_H]],"0"), "-", TEXT(Table3[[#This Row],[OTL_H]]+Table3[[#This Row],[SOL_H]], "0"))</f>
        <v>17-5-1</v>
      </c>
      <c r="BI9" s="50" t="str">
        <f>_xlfn.CONCAT(TEXT(Table3[[#This Row],[W_A]], "0"), "-", TEXT(Table3[[#This Row],[RL_A]],"0"), "-", TEXT(Table3[[#This Row],[OTL_A]]+Table3[[#This Row],[SOL_A]], "0"))</f>
        <v>9-9-2</v>
      </c>
      <c r="BJ9" s="50">
        <f>((2*(Table3[[#This Row],[W_H]]))+Table3[[#This Row],[OTL_H]]+Table3[[#This Row],[SOL_H]])/(2*Table3[[#This Row],[GP_H]])</f>
        <v>0.76086956521739135</v>
      </c>
      <c r="BK9" s="50">
        <f>((2*(Table3[[#This Row],[W_A]]))+Table3[[#This Row],[OTL_A]]+Table3[[#This Row],[SOL_A]])/(2*Table3[[#This Row],[GP_A]])</f>
        <v>0.5</v>
      </c>
      <c r="BL9" s="21">
        <f>(Table3[[#This Row],[W]]*$CE$3)+(Table3[[#This Row],[L]]*$CE$4)+(Table3[[#This Row],[GF]]*$CE$5)+(Table3[[#This Row],[GA]]*$CE$6)</f>
        <v>51.85</v>
      </c>
      <c r="BM9" s="21">
        <f>(82*(((Table3[[#This Row],[PTS%]]*$CE$3)+((1-Table3[[#This Row],[PTS%]])*$CE$4)+(Table3[[#This Row],[GF]]*$CE$5)+(Table3[[#This Row],[GA]]*$CE$6))/Table3[[#This Row],[GP]])) + (Table3[[#This Row],[W]]*$CE$3)+(Table3[[#This Row],[L]]*$CE$4)+(Table3[[#This Row],[GF]]*$CE$5)+(Table3[[#This Row],[GA]]*$CE$6)</f>
        <v>117.02647376960518</v>
      </c>
      <c r="BN9">
        <f>COUNTIFS(DataRegularSeason20242025!$D$3:$D$1315,$A9,DataRegularSeason20242025!$H$3:$H$1315, $A9)</f>
        <v>13</v>
      </c>
      <c r="BO9">
        <f>COUNTIFS(DataRegularSeason20242025!$E$3:$E$1315,$A9,DataRegularSeason20242025!$H$3:$H$1315, $A9)</f>
        <v>17</v>
      </c>
      <c r="BP9">
        <f>BN9+BO9</f>
        <v>30</v>
      </c>
      <c r="BQ9">
        <f>F9-BN9</f>
        <v>7</v>
      </c>
      <c r="BR9">
        <f>H9-BO9</f>
        <v>6</v>
      </c>
      <c r="BS9">
        <f>BQ9+BR9</f>
        <v>13</v>
      </c>
      <c r="BV9">
        <v>2006</v>
      </c>
      <c r="BY9" t="s">
        <v>1468</v>
      </c>
      <c r="BZ9" s="1">
        <f>_xlfn.MINIFS(DataRegularSeason20242025!$B$3:$B$1315,DataRegularSeason20242025!$N$3:$N$1315,1)</f>
        <v>45569</v>
      </c>
    </row>
    <row r="10" spans="1:87"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F10+H10</f>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s="20" t="str">
        <f>_xlfn.CONCAT(TEXT(Table3[[#This Row],[OTW]]+Table3[[#This Row],[SOW]], "0"), "-", TEXT(Table3[[#This Row],[OTL]]+Table3[[#This Row],[SOL]],"0"))</f>
        <v>4-2</v>
      </c>
      <c r="AK10">
        <f>(2*(Table3[[#This Row],[W_A]]+Table3[[#This Row],[W_H]]))+Table3[[#This Row],[OTL_A]]+Table3[[#This Row],[SOL_A]]+Table3[[#This Row],[OTL_H]]+Table3[[#This Row],[SOL_H]]</f>
        <v>56</v>
      </c>
      <c r="AL10">
        <f>(3*(Table3[[#This Row],[RW_A]]+Table3[[#This Row],[RW_H]]))+(2*(Table3[[#This Row],[OTW_A]]+Table3[[#This Row],[SOW_A]]+Table3[[#This Row],[OTW_H]]+Table3[[#This Row],[SOW_H]]))+Table3[[#This Row],[OTL_A]]+Table3[[#This Row],[SOL_A]]+Table3[[#This Row],[OTL_H]]+Table3[[#This Row],[SOL_H]]</f>
        <v>79</v>
      </c>
      <c r="AM10" s="15">
        <f>Table3[[#This Row],[PTS]]/(2*Table3[[#This Row],[GP]])</f>
        <v>0.63636363636363635</v>
      </c>
      <c r="AN10" s="15">
        <f>Table3[[#This Row],[PTS2]]/(3*Table3[[#This Row],[GP]])</f>
        <v>0.59848484848484851</v>
      </c>
      <c r="AO10">
        <f>(2*Table3[[#This Row],[GR]])+Table3[[#This Row],[PTS]]</f>
        <v>132</v>
      </c>
      <c r="AP10">
        <f>(3*Table3[[#This Row],[GR]])+Table3[[#This Row],[PTS2]]</f>
        <v>193</v>
      </c>
      <c r="AQ10">
        <f>Table3[[#This Row],[PTS]]+(2 * Table3[[#This Row],[GR]] * Table3[[#This Row],[PTS%]])</f>
        <v>104.36363636363636</v>
      </c>
      <c r="AR10">
        <f>Table3[[#This Row],[PTS2]]+(3 * Table3[[#This Row],[GR]] * Table3[[#This Row],[PTS%2]])</f>
        <v>147.22727272727275</v>
      </c>
      <c r="AS10" s="20" t="str">
        <f>_xlfn.CONCAT(TEXT(Table3[[#This Row],[W]], "0"), "-", TEXT(Table3[[#This Row],[RL]],"0"), "-", TEXT(Table3[[#This Row],[OTL]]+Table3[[#This Row],[SOL]], "0"))</f>
        <v>27-15-2</v>
      </c>
      <c r="AT10">
        <f>COUNTIFS(DataRegularSeason20242025!$D$3:$D$1315,Table3[[#This Row],[Teams]],DataRegularSeason20242025!$K$3:$K$1315,0)</f>
        <v>0</v>
      </c>
      <c r="AU10">
        <f>SUMIF(DataRegularSeason20242025!$D$3:$D$1315,$A10, DataRegularSeason20242025!$J$3:$J$1315)</f>
        <v>58</v>
      </c>
      <c r="AV10">
        <f>SUMIF(DataRegularSeason20242025!$D$3:$D$1315,$A10, DataRegularSeason20242025!$K$3:$K$1315)</f>
        <v>61</v>
      </c>
      <c r="AW10">
        <f>AU10-AV10</f>
        <v>-3</v>
      </c>
      <c r="AX10">
        <f>COUNTIFS(DataRegularSeason20242025!$E$3:$E$1315,Table3[[#This Row],[Teams]],DataRegularSeason20242025!$J$3:$J$1315,0)</f>
        <v>2</v>
      </c>
      <c r="AY10">
        <f>SUMIF(DataRegularSeason20242025!$E$3:$E$1315,$A10,DataRegularSeason20242025!$K$3:$K$1315)</f>
        <v>78</v>
      </c>
      <c r="AZ10">
        <f>SUMIF(DataRegularSeason20242025!$E$3:$E$1315,$A10,DataRegularSeason20242025!$J$3:$J$1315)</f>
        <v>63</v>
      </c>
      <c r="BA10">
        <f>AY10-AZ10</f>
        <v>15</v>
      </c>
      <c r="BB10">
        <f>AU10+AY10</f>
        <v>136</v>
      </c>
      <c r="BC10">
        <f>AV10+AZ10</f>
        <v>124</v>
      </c>
      <c r="BD10">
        <f>BB10-BC10</f>
        <v>12</v>
      </c>
      <c r="BE10" s="17">
        <f>Table3[[#This Row],[GF]]/Table3[[#This Row],[GP]]</f>
        <v>3.0909090909090908</v>
      </c>
      <c r="BF10" s="17">
        <f>Table3[[#This Row],[GA]]/Table3[[#This Row],[GP]]</f>
        <v>2.8181818181818183</v>
      </c>
      <c r="BG10" s="17">
        <f>(Table3[[#This Row],[GF]]-Table3[[#This Row],[GA]])/Table3[[#This Row],[GP]]</f>
        <v>0.27272727272727271</v>
      </c>
      <c r="BH10" s="50" t="str">
        <f>_xlfn.CONCAT(TEXT(Table3[[#This Row],[W_H]], "0"), "-", TEXT(Table3[[#This Row],[RL_H]],"0"), "-", TEXT(Table3[[#This Row],[OTL_H]]+Table3[[#This Row],[SOL_H]], "0"))</f>
        <v>17-8-0</v>
      </c>
      <c r="BI10" s="50" t="str">
        <f>_xlfn.CONCAT(TEXT(Table3[[#This Row],[W_A]], "0"), "-", TEXT(Table3[[#This Row],[RL_A]],"0"), "-", TEXT(Table3[[#This Row],[OTL_A]]+Table3[[#This Row],[SOL_A]], "0"))</f>
        <v>10-7-2</v>
      </c>
      <c r="BJ10" s="50">
        <f>((2*(Table3[[#This Row],[W_H]]))+Table3[[#This Row],[OTL_H]]+Table3[[#This Row],[SOL_H]])/(2*Table3[[#This Row],[GP_H]])</f>
        <v>0.68</v>
      </c>
      <c r="BK10" s="50">
        <f>((2*(Table3[[#This Row],[W_A]]))+Table3[[#This Row],[OTL_A]]+Table3[[#This Row],[SOL_A]])/(2*Table3[[#This Row],[GP_A]])</f>
        <v>0.57894736842105265</v>
      </c>
      <c r="BL10" s="21">
        <f>(Table3[[#This Row],[W]]*$CE$3)+(Table3[[#This Row],[L]]*$CE$4)+(Table3[[#This Row],[GF]]*$CE$5)+(Table3[[#This Row],[GA]]*$CE$6)</f>
        <v>51.4</v>
      </c>
      <c r="BM10" s="21">
        <f>(82*(((Table3[[#This Row],[PTS%]]*$CE$3)+((1-Table3[[#This Row],[PTS%]])*$CE$4)+(Table3[[#This Row],[GF]]*$CE$5)+(Table3[[#This Row],[GA]]*$CE$6))/Table3[[#This Row],[GP]])) + (Table3[[#This Row],[W]]*$CE$3)+(Table3[[#This Row],[L]]*$CE$4)+(Table3[[#This Row],[GF]]*$CE$5)+(Table3[[#This Row],[GA]]*$CE$6)</f>
        <v>113.32355371900826</v>
      </c>
      <c r="BN10">
        <f>COUNTIFS(DataRegularSeason20242025!$D$3:$D$1315,$A10,DataRegularSeason20242025!$H$3:$H$1315, $A10)</f>
        <v>15</v>
      </c>
      <c r="BO10">
        <f>COUNTIFS(DataRegularSeason20242025!$E$3:$E$1315,$A10,DataRegularSeason20242025!$H$3:$H$1315, $A10)</f>
        <v>20</v>
      </c>
      <c r="BP10">
        <f>BN10+BO10</f>
        <v>35</v>
      </c>
      <c r="BQ10">
        <f>F10-BN10</f>
        <v>4</v>
      </c>
      <c r="BR10">
        <f>H10-BO10</f>
        <v>5</v>
      </c>
      <c r="BS10">
        <f>BQ10+BR10</f>
        <v>9</v>
      </c>
      <c r="BV10">
        <v>1967</v>
      </c>
      <c r="BY10" t="s">
        <v>1469</v>
      </c>
      <c r="BZ10" s="1">
        <f>_xlfn.MAXIFS(DataRegularSeason20242025!$B$3:$B$1315,DataRegularSeason20242025!$N$3:$N$1315,1)</f>
        <v>45671</v>
      </c>
    </row>
    <row r="11" spans="1:87"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s="20" t="str">
        <f>_xlfn.CONCAT(TEXT(Table3[[#This Row],[OTW]]+Table3[[#This Row],[SOW]], "0"), "-", TEXT(Table3[[#This Row],[OTL]]+Table3[[#This Row],[SOL]],"0"))</f>
        <v>2-4</v>
      </c>
      <c r="AK11">
        <f>(2*(Table3[[#This Row],[W_A]]+Table3[[#This Row],[W_H]]))+Table3[[#This Row],[OTL_A]]+Table3[[#This Row],[SOL_A]]+Table3[[#This Row],[OTL_H]]+Table3[[#This Row],[SOL_H]]</f>
        <v>56</v>
      </c>
      <c r="AL11">
        <f>(3*(Table3[[#This Row],[RW_A]]+Table3[[#This Row],[RW_H]]))+(2*(Table3[[#This Row],[OTW_A]]+Table3[[#This Row],[SOW_A]]+Table3[[#This Row],[OTW_H]]+Table3[[#This Row],[SOW_H]]))+Table3[[#This Row],[OTL_A]]+Table3[[#This Row],[SOL_A]]+Table3[[#This Row],[OTL_H]]+Table3[[#This Row],[SOL_H]]</f>
        <v>80</v>
      </c>
      <c r="AM11" s="15">
        <f>Table3[[#This Row],[PTS]]/(2*Table3[[#This Row],[GP]])</f>
        <v>0.62222222222222223</v>
      </c>
      <c r="AN11" s="15">
        <f>Table3[[#This Row],[PTS2]]/(3*Table3[[#This Row],[GP]])</f>
        <v>0.59259259259259256</v>
      </c>
      <c r="AO11">
        <f>(2*Table3[[#This Row],[GR]])+Table3[[#This Row],[PTS]]</f>
        <v>130</v>
      </c>
      <c r="AP11">
        <f>(3*Table3[[#This Row],[GR]])+Table3[[#This Row],[PTS2]]</f>
        <v>191</v>
      </c>
      <c r="AQ11">
        <f>Table3[[#This Row],[PTS]]+(2 * Table3[[#This Row],[GR]] * Table3[[#This Row],[PTS%]])</f>
        <v>102.04444444444445</v>
      </c>
      <c r="AR11">
        <f>Table3[[#This Row],[PTS2]]+(3 * Table3[[#This Row],[GR]] * Table3[[#This Row],[PTS%2]])</f>
        <v>145.77777777777777</v>
      </c>
      <c r="AS11" s="20" t="str">
        <f>_xlfn.CONCAT(TEXT(Table3[[#This Row],[W]], "0"), "-", TEXT(Table3[[#This Row],[RL]],"0"), "-", TEXT(Table3[[#This Row],[OTL]]+Table3[[#This Row],[SOL]], "0"))</f>
        <v>26-15-4</v>
      </c>
      <c r="AT11">
        <f>COUNTIFS(DataRegularSeason20242025!$D$3:$D$1315,Table3[[#This Row],[Teams]],DataRegularSeason20242025!$K$3:$K$1315,0)</f>
        <v>2</v>
      </c>
      <c r="AU11">
        <f>SUMIF(DataRegularSeason20242025!$D$3:$D$1315,$A11, DataRegularSeason20242025!$J$3:$J$1315)</f>
        <v>70</v>
      </c>
      <c r="AV11">
        <f>SUMIF(DataRegularSeason20242025!$D$3:$D$1315,$A11, DataRegularSeason20242025!$K$3:$K$1315)</f>
        <v>58</v>
      </c>
      <c r="AW11">
        <f>AU11-AV11</f>
        <v>12</v>
      </c>
      <c r="AX11">
        <f>COUNTIFS(DataRegularSeason20242025!$E$3:$E$1315,Table3[[#This Row],[Teams]],DataRegularSeason20242025!$J$3:$J$1315,0)</f>
        <v>3</v>
      </c>
      <c r="AY11">
        <f>SUMIF(DataRegularSeason20242025!$E$3:$E$1315,$A11,DataRegularSeason20242025!$K$3:$K$1315)</f>
        <v>72</v>
      </c>
      <c r="AZ11">
        <f>SUMIF(DataRegularSeason20242025!$E$3:$E$1315,$A11,DataRegularSeason20242025!$J$3:$J$1315)</f>
        <v>56</v>
      </c>
      <c r="BA11">
        <f>AY11-AZ11</f>
        <v>16</v>
      </c>
      <c r="BB11">
        <f>AU11+AY11</f>
        <v>142</v>
      </c>
      <c r="BC11">
        <f>AV11+AZ11</f>
        <v>114</v>
      </c>
      <c r="BD11">
        <f>BB11-BC11</f>
        <v>28</v>
      </c>
      <c r="BE11" s="17">
        <f>Table3[[#This Row],[GF]]/Table3[[#This Row],[GP]]</f>
        <v>3.1555555555555554</v>
      </c>
      <c r="BF11" s="17">
        <f>Table3[[#This Row],[GA]]/Table3[[#This Row],[GP]]</f>
        <v>2.5333333333333332</v>
      </c>
      <c r="BG11" s="17">
        <f>(Table3[[#This Row],[GF]]-Table3[[#This Row],[GA]])/Table3[[#This Row],[GP]]</f>
        <v>0.62222222222222223</v>
      </c>
      <c r="BH11" s="50" t="str">
        <f>_xlfn.CONCAT(TEXT(Table3[[#This Row],[W_H]], "0"), "-", TEXT(Table3[[#This Row],[RL_H]],"0"), "-", TEXT(Table3[[#This Row],[OTL_H]]+Table3[[#This Row],[SOL_H]], "0"))</f>
        <v>13-6-3</v>
      </c>
      <c r="BI11" s="50" t="str">
        <f>_xlfn.CONCAT(TEXT(Table3[[#This Row],[W_A]], "0"), "-", TEXT(Table3[[#This Row],[RL_A]],"0"), "-", TEXT(Table3[[#This Row],[OTL_A]]+Table3[[#This Row],[SOL_A]], "0"))</f>
        <v>13-9-1</v>
      </c>
      <c r="BJ11" s="50">
        <f>((2*(Table3[[#This Row],[W_H]]))+Table3[[#This Row],[OTL_H]]+Table3[[#This Row],[SOL_H]])/(2*Table3[[#This Row],[GP_H]])</f>
        <v>0.65909090909090906</v>
      </c>
      <c r="BK11" s="50">
        <f>((2*(Table3[[#This Row],[W_A]]))+Table3[[#This Row],[OTL_A]]+Table3[[#This Row],[SOL_A]])/(2*Table3[[#This Row],[GP_A]])</f>
        <v>0.58695652173913049</v>
      </c>
      <c r="BL11" s="21">
        <f>(Table3[[#This Row],[W]]*$CE$3)+(Table3[[#This Row],[L]]*$CE$4)+(Table3[[#This Row],[GF]]*$CE$5)+(Table3[[#This Row],[GA]]*$CE$6)</f>
        <v>51.4</v>
      </c>
      <c r="BM11" s="21">
        <f>(82*(((Table3[[#This Row],[PTS%]]*$CE$3)+((1-Table3[[#This Row],[PTS%]])*$CE$4)+(Table3[[#This Row],[GF]]*$CE$5)+(Table3[[#This Row],[GA]]*$CE$6))/Table3[[#This Row],[GP]])) + (Table3[[#This Row],[W]]*$CE$3)+(Table3[[#This Row],[L]]*$CE$4)+(Table3[[#This Row],[GF]]*$CE$5)+(Table3[[#This Row],[GA]]*$CE$6)</f>
        <v>111.7600987654321</v>
      </c>
      <c r="BN11">
        <f>COUNTIFS(DataRegularSeason20242025!$D$3:$D$1315,$A11,DataRegularSeason20242025!$H$3:$H$1315, $A11)</f>
        <v>15</v>
      </c>
      <c r="BO11">
        <f>COUNTIFS(DataRegularSeason20242025!$E$3:$E$1315,$A11,DataRegularSeason20242025!$H$3:$H$1315, $A11)</f>
        <v>16</v>
      </c>
      <c r="BP11">
        <f>BN11+BO11</f>
        <v>31</v>
      </c>
      <c r="BQ11">
        <f>F11-BN11</f>
        <v>8</v>
      </c>
      <c r="BR11">
        <f>H11-BO11</f>
        <v>6</v>
      </c>
      <c r="BS11">
        <f>BQ11+BR11</f>
        <v>14</v>
      </c>
      <c r="BV11">
        <v>2003</v>
      </c>
      <c r="BY11" t="s">
        <v>1470</v>
      </c>
      <c r="BZ11">
        <f>$BZ$2/($BZ$10-$BZ$9)</f>
        <v>6.7745098039215685</v>
      </c>
    </row>
    <row r="12" spans="1:87"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0.95454545454545459</v>
      </c>
      <c r="F12">
        <f>COUNTIFS(DataRegularSeason20242025!$N$3:$N$1315,1,DataRegularSeason20242025!$D$3:$D$1315,$A12)</f>
        <v>22</v>
      </c>
      <c r="G12">
        <f>41-Table3[[#This Row],[GP_A]]</f>
        <v>19</v>
      </c>
      <c r="H12">
        <f>COUNTIFS(DataRegularSeason20242025!$E$3:$E$1315,$A12,DataRegularSeason20242025!$N$3:$N$1315,1)</f>
        <v>22</v>
      </c>
      <c r="I12">
        <f>41-Table3[[#This Row],[GP_H]]</f>
        <v>19</v>
      </c>
      <c r="J12">
        <f>F12+H12</f>
        <v>44</v>
      </c>
      <c r="K12">
        <f>82-Table3[[#This Row],[GP]]</f>
        <v>38</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19</v>
      </c>
      <c r="AD12">
        <f>Table3[[#This Row],[RW_A]]+Table3[[#This Row],[RW_H]]</f>
        <v>20</v>
      </c>
      <c r="AE12">
        <f>Table3[[#This Row],[RL_A]]+Table3[[#This Row],[RL_H]]</f>
        <v>16</v>
      </c>
      <c r="AF12">
        <f>Table3[[#This Row],[OTW_A]]+Table3[[#This Row],[OTW_H]]</f>
        <v>2</v>
      </c>
      <c r="AG12">
        <f>Table3[[#This Row],[OTL_A]]+Table3[[#This Row],[OTL_H]]</f>
        <v>3</v>
      </c>
      <c r="AH12">
        <f>Table3[[#This Row],[SOW_A]]+Table3[[#This Row],[SOW_H]]</f>
        <v>3</v>
      </c>
      <c r="AI12">
        <f>Table3[[#This Row],[SOL_A]]+Table3[[#This Row],[SOL_H]]</f>
        <v>0</v>
      </c>
      <c r="AJ12" s="20" t="str">
        <f>_xlfn.CONCAT(TEXT(Table3[[#This Row],[OTW]]+Table3[[#This Row],[SOW]], "0"), "-", TEXT(Table3[[#This Row],[OTL]]+Table3[[#This Row],[SOL]],"0"))</f>
        <v>5-3</v>
      </c>
      <c r="AK12">
        <f>(2*(Table3[[#This Row],[W_A]]+Table3[[#This Row],[W_H]]))+Table3[[#This Row],[OTL_A]]+Table3[[#This Row],[SOL_A]]+Table3[[#This Row],[OTL_H]]+Table3[[#This Row],[SOL_H]]</f>
        <v>53</v>
      </c>
      <c r="AL12">
        <f>(3*(Table3[[#This Row],[RW_A]]+Table3[[#This Row],[RW_H]]))+(2*(Table3[[#This Row],[OTW_A]]+Table3[[#This Row],[SOW_A]]+Table3[[#This Row],[OTW_H]]+Table3[[#This Row],[SOW_H]]))+Table3[[#This Row],[OTL_A]]+Table3[[#This Row],[SOL_A]]+Table3[[#This Row],[OTL_H]]+Table3[[#This Row],[SOL_H]]</f>
        <v>73</v>
      </c>
      <c r="AM12" s="15">
        <f>Table3[[#This Row],[PTS]]/(2*Table3[[#This Row],[GP]])</f>
        <v>0.60227272727272729</v>
      </c>
      <c r="AN12" s="15">
        <f>Table3[[#This Row],[PTS2]]/(3*Table3[[#This Row],[GP]])</f>
        <v>0.55303030303030298</v>
      </c>
      <c r="AO12">
        <f>(2*Table3[[#This Row],[GR]])+Table3[[#This Row],[PTS]]</f>
        <v>129</v>
      </c>
      <c r="AP12">
        <f>(3*Table3[[#This Row],[GR]])+Table3[[#This Row],[PTS2]]</f>
        <v>187</v>
      </c>
      <c r="AQ12">
        <f>Table3[[#This Row],[PTS]]+(2 * Table3[[#This Row],[GR]] * Table3[[#This Row],[PTS%]])</f>
        <v>98.77272727272728</v>
      </c>
      <c r="AR12">
        <f>Table3[[#This Row],[PTS2]]+(3 * Table3[[#This Row],[GR]] * Table3[[#This Row],[PTS%2]])</f>
        <v>136.04545454545453</v>
      </c>
      <c r="AS12" s="20" t="str">
        <f>_xlfn.CONCAT(TEXT(Table3[[#This Row],[W]], "0"), "-", TEXT(Table3[[#This Row],[RL]],"0"), "-", TEXT(Table3[[#This Row],[OTL]]+Table3[[#This Row],[SOL]], "0"))</f>
        <v>25-16-3</v>
      </c>
      <c r="AT12">
        <f>COUNTIFS(DataRegularSeason20242025!$D$3:$D$1315,Table3[[#This Row],[Teams]],DataRegularSeason20242025!$K$3:$K$1315,0)</f>
        <v>0</v>
      </c>
      <c r="AU12">
        <f>SUMIF(DataRegularSeason20242025!$D$3:$D$1315,$A12, DataRegularSeason20242025!$J$3:$J$1315)</f>
        <v>78</v>
      </c>
      <c r="AV12">
        <f>SUMIF(DataRegularSeason20242025!$D$3:$D$1315,$A12, DataRegularSeason20242025!$K$3:$K$1315)</f>
        <v>71</v>
      </c>
      <c r="AW12">
        <f>AU12-AV12</f>
        <v>7</v>
      </c>
      <c r="AX12">
        <f>COUNTIFS(DataRegularSeason20242025!$E$3:$E$1315,Table3[[#This Row],[Teams]],DataRegularSeason20242025!$J$3:$J$1315,0)</f>
        <v>2</v>
      </c>
      <c r="AY12">
        <f>SUMIF(DataRegularSeason20242025!$E$3:$E$1315,$A12,DataRegularSeason20242025!$K$3:$K$1315)</f>
        <v>68</v>
      </c>
      <c r="AZ12">
        <f>SUMIF(DataRegularSeason20242025!$E$3:$E$1315,$A12,DataRegularSeason20242025!$J$3:$J$1315)</f>
        <v>66</v>
      </c>
      <c r="BA12">
        <f>AY12-AZ12</f>
        <v>2</v>
      </c>
      <c r="BB12">
        <f>AU12+AY12</f>
        <v>146</v>
      </c>
      <c r="BC12">
        <f>AV12+AZ12</f>
        <v>137</v>
      </c>
      <c r="BD12">
        <f>BB12-BC12</f>
        <v>9</v>
      </c>
      <c r="BE12" s="17">
        <f>Table3[[#This Row],[GF]]/Table3[[#This Row],[GP]]</f>
        <v>3.3181818181818183</v>
      </c>
      <c r="BF12" s="17">
        <f>Table3[[#This Row],[GA]]/Table3[[#This Row],[GP]]</f>
        <v>3.1136363636363638</v>
      </c>
      <c r="BG12" s="17">
        <f>(Table3[[#This Row],[GF]]-Table3[[#This Row],[GA]])/Table3[[#This Row],[GP]]</f>
        <v>0.20454545454545456</v>
      </c>
      <c r="BH12" s="50" t="str">
        <f>_xlfn.CONCAT(TEXT(Table3[[#This Row],[W_H]], "0"), "-", TEXT(Table3[[#This Row],[RL_H]],"0"), "-", TEXT(Table3[[#This Row],[OTL_H]]+Table3[[#This Row],[SOL_H]], "0"))</f>
        <v>12-8-2</v>
      </c>
      <c r="BI12" s="50" t="str">
        <f>_xlfn.CONCAT(TEXT(Table3[[#This Row],[W_A]], "0"), "-", TEXT(Table3[[#This Row],[RL_A]],"0"), "-", TEXT(Table3[[#This Row],[OTL_A]]+Table3[[#This Row],[SOL_A]], "0"))</f>
        <v>13-8-1</v>
      </c>
      <c r="BJ12" s="50">
        <f>((2*(Table3[[#This Row],[W_H]]))+Table3[[#This Row],[OTL_H]]+Table3[[#This Row],[SOL_H]])/(2*Table3[[#This Row],[GP_H]])</f>
        <v>0.59090909090909094</v>
      </c>
      <c r="BK12" s="50">
        <f>((2*(Table3[[#This Row],[W_A]]))+Table3[[#This Row],[OTL_A]]+Table3[[#This Row],[SOL_A]])/(2*Table3[[#This Row],[GP_A]])</f>
        <v>0.61363636363636365</v>
      </c>
      <c r="BL12" s="21">
        <f>(Table3[[#This Row],[W]]*$CE$3)+(Table3[[#This Row],[L]]*$CE$4)+(Table3[[#This Row],[GF]]*$CE$5)+(Table3[[#This Row],[GA]]*$CE$6)</f>
        <v>53.8</v>
      </c>
      <c r="BM12" s="21">
        <f>(82*(((Table3[[#This Row],[PTS%]]*$CE$3)+((1-Table3[[#This Row],[PTS%]])*$CE$4)+(Table3[[#This Row],[GF]]*$CE$5)+(Table3[[#This Row],[GA]]*$CE$6))/Table3[[#This Row],[GP]])) + (Table3[[#This Row],[W]]*$CE$3)+(Table3[[#This Row],[L]]*$CE$4)+(Table3[[#This Row],[GF]]*$CE$5)+(Table3[[#This Row],[GA]]*$CE$6)</f>
        <v>120.92902892561985</v>
      </c>
      <c r="BN12">
        <f>COUNTIFS(DataRegularSeason20242025!$D$3:$D$1315,$A12,DataRegularSeason20242025!$H$3:$H$1315, $A12)</f>
        <v>14</v>
      </c>
      <c r="BO12">
        <f>COUNTIFS(DataRegularSeason20242025!$E$3:$E$1315,$A12,DataRegularSeason20242025!$H$3:$H$1315, $A12)</f>
        <v>16</v>
      </c>
      <c r="BP12">
        <f>BN12+BO12</f>
        <v>30</v>
      </c>
      <c r="BQ12">
        <f>F12-BN12</f>
        <v>8</v>
      </c>
      <c r="BR12">
        <f>H12-BO12</f>
        <v>6</v>
      </c>
      <c r="BS12">
        <f>BQ12+BR12</f>
        <v>14</v>
      </c>
      <c r="BV12">
        <v>2024</v>
      </c>
      <c r="BY12" t="s">
        <v>1471</v>
      </c>
      <c r="BZ12">
        <f>$BZ$3/($BZ$10-$BZ$9)</f>
        <v>5.5294117647058822</v>
      </c>
    </row>
    <row r="13" spans="1:87"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F13+H13</f>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4-1</v>
      </c>
      <c r="AK13">
        <f>(2*(Table3[[#This Row],[W_A]]+Table3[[#This Row],[W_H]]))+Table3[[#This Row],[OTL_A]]+Table3[[#This Row],[SOL_A]]+Table3[[#This Row],[OTL_H]]+Table3[[#This Row],[SOL_H]]</f>
        <v>53</v>
      </c>
      <c r="AL13">
        <f>(3*(Table3[[#This Row],[RW_A]]+Table3[[#This Row],[RW_H]]))+(2*(Table3[[#This Row],[OTW_A]]+Table3[[#This Row],[SOW_A]]+Table3[[#This Row],[OTW_H]]+Table3[[#This Row],[SOW_H]]))+Table3[[#This Row],[OTL_A]]+Table3[[#This Row],[SOL_A]]+Table3[[#This Row],[OTL_H]]+Table3[[#This Row],[SOL_H]]</f>
        <v>75</v>
      </c>
      <c r="AM13" s="15">
        <f>Table3[[#This Row],[PTS]]/(2*Table3[[#This Row],[GP]])</f>
        <v>0.60227272727272729</v>
      </c>
      <c r="AN13" s="15">
        <f>Table3[[#This Row],[PTS2]]/(3*Table3[[#This Row],[GP]])</f>
        <v>0.56818181818181823</v>
      </c>
      <c r="AO13">
        <f>(2*Table3[[#This Row],[GR]])+Table3[[#This Row],[PTS]]</f>
        <v>129</v>
      </c>
      <c r="AP13">
        <f>(3*Table3[[#This Row],[GR]])+Table3[[#This Row],[PTS2]]</f>
        <v>189</v>
      </c>
      <c r="AQ13">
        <f>Table3[[#This Row],[PTS]]+(2 * Table3[[#This Row],[GR]] * Table3[[#This Row],[PTS%]])</f>
        <v>98.77272727272728</v>
      </c>
      <c r="AR13">
        <f>Table3[[#This Row],[PTS2]]+(3 * Table3[[#This Row],[GR]] * Table3[[#This Row],[PTS%2]])</f>
        <v>139.77272727272728</v>
      </c>
      <c r="AS13" s="20" t="str">
        <f>_xlfn.CONCAT(TEXT(Table3[[#This Row],[W]], "0"), "-", TEXT(Table3[[#This Row],[RL]],"0"), "-", TEXT(Table3[[#This Row],[OTL]]+Table3[[#This Row],[SOL]], "0"))</f>
        <v>26-17-1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AU13-AV13</f>
        <v>10</v>
      </c>
      <c r="AX13">
        <f>COUNTIFS(DataRegularSeason20242025!$E$3:$E$1315,Table3[[#This Row],[Teams]],DataRegularSeason20242025!$J$3:$J$1315,0)</f>
        <v>0</v>
      </c>
      <c r="AY13">
        <f>SUMIF(DataRegularSeason20242025!$E$3:$E$1315,$A13,DataRegularSeason20242025!$K$3:$K$1315)</f>
        <v>72</v>
      </c>
      <c r="AZ13">
        <f>SUMIF(DataRegularSeason20242025!$E$3:$E$1315,$A13,DataRegularSeason20242025!$J$3:$J$1315)</f>
        <v>73</v>
      </c>
      <c r="BA13">
        <f>AY13-AZ13</f>
        <v>-1</v>
      </c>
      <c r="BB13">
        <f>AU13+AY13</f>
        <v>147</v>
      </c>
      <c r="BC13">
        <f>AV13+AZ13</f>
        <v>138</v>
      </c>
      <c r="BD13">
        <f>BB13-BC13</f>
        <v>9</v>
      </c>
      <c r="BE13" s="17">
        <f>Table3[[#This Row],[GF]]/Table3[[#This Row],[GP]]</f>
        <v>3.3409090909090908</v>
      </c>
      <c r="BF13" s="17">
        <f>Table3[[#This Row],[GA]]/Table3[[#This Row],[GP]]</f>
        <v>3.1363636363636362</v>
      </c>
      <c r="BG13" s="17">
        <f>(Table3[[#This Row],[GF]]-Table3[[#This Row],[GA]])/Table3[[#This Row],[GP]]</f>
        <v>0.20454545454545456</v>
      </c>
      <c r="BH13" s="50" t="str">
        <f>_xlfn.CONCAT(TEXT(Table3[[#This Row],[W_H]], "0"), "-", TEXT(Table3[[#This Row],[RL_H]],"0"), "-", TEXT(Table3[[#This Row],[OTL_H]]+Table3[[#This Row],[SOL_H]], "0"))</f>
        <v>12-8-1</v>
      </c>
      <c r="BI13" s="50" t="str">
        <f>_xlfn.CONCAT(TEXT(Table3[[#This Row],[W_A]], "0"), "-", TEXT(Table3[[#This Row],[RL_A]],"0"), "-", TEXT(Table3[[#This Row],[OTL_A]]+Table3[[#This Row],[SOL_A]], "0"))</f>
        <v>14-9-0</v>
      </c>
      <c r="BJ13" s="50">
        <f>((2*(Table3[[#This Row],[W_H]]))+Table3[[#This Row],[OTL_H]]+Table3[[#This Row],[SOL_H]])/(2*Table3[[#This Row],[GP_H]])</f>
        <v>0.59523809523809523</v>
      </c>
      <c r="BK13" s="50">
        <f>((2*(Table3[[#This Row],[W_A]]))+Table3[[#This Row],[OTL_A]]+Table3[[#This Row],[SOL_A]])/(2*Table3[[#This Row],[GP_A]])</f>
        <v>0.60869565217391308</v>
      </c>
      <c r="BL13" s="21">
        <f>(Table3[[#This Row],[W]]*$CE$3)+(Table3[[#This Row],[L]]*$CE$4)+(Table3[[#This Row],[GF]]*$CE$5)+(Table3[[#This Row],[GA]]*$CE$6)</f>
        <v>54.25</v>
      </c>
      <c r="BM13" s="21">
        <f>(82*(((Table3[[#This Row],[PTS%]]*$CE$3)+((1-Table3[[#This Row],[PTS%]])*$CE$4)+(Table3[[#This Row],[GF]]*$CE$5)+(Table3[[#This Row],[GA]]*$CE$6))/Table3[[#This Row],[GP]])) + (Table3[[#This Row],[W]]*$CE$3)+(Table3[[#This Row],[L]]*$CE$4)+(Table3[[#This Row],[GF]]*$CE$5)+(Table3[[#This Row],[GA]]*$CE$6)</f>
        <v>121.84493801652893</v>
      </c>
      <c r="BN13">
        <f>COUNTIFS(DataRegularSeason20242025!$D$3:$D$1315,$A13,DataRegularSeason20242025!$H$3:$H$1315, $A13)</f>
        <v>10</v>
      </c>
      <c r="BO13">
        <f>COUNTIFS(DataRegularSeason20242025!$E$3:$E$1315,$A13,DataRegularSeason20242025!$H$3:$H$1315, $A13)</f>
        <v>17</v>
      </c>
      <c r="BP13">
        <f>BN13+BO13</f>
        <v>27</v>
      </c>
      <c r="BQ13">
        <f>F13-BN13</f>
        <v>13</v>
      </c>
      <c r="BR13">
        <f>H13-BO13</f>
        <v>4</v>
      </c>
      <c r="BS13">
        <f>BQ13+BR13</f>
        <v>17</v>
      </c>
      <c r="BV13">
        <v>2022</v>
      </c>
      <c r="BY13" t="s">
        <v>1478</v>
      </c>
      <c r="BZ13">
        <f>(BZ5/BZ2)/2</f>
        <v>3.0267727930535457</v>
      </c>
    </row>
    <row r="14" spans="1:87"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36</v>
      </c>
      <c r="E14" s="15">
        <f>Table3[[#This Row],[Watched]]/Table3[[#This Row],[GP]]</f>
        <v>0.9</v>
      </c>
      <c r="F14">
        <f>COUNTIFS(DataRegularSeason20242025!$N$3:$N$1315,1,DataRegularSeason20242025!$D$3:$D$1315,$A14)</f>
        <v>21</v>
      </c>
      <c r="G14">
        <f>41-Table3[[#This Row],[GP_A]]</f>
        <v>20</v>
      </c>
      <c r="H14">
        <f>COUNTIFS(DataRegularSeason20242025!$E$3:$E$1315,$A14,DataRegularSeason20242025!$N$3:$N$1315,1)</f>
        <v>19</v>
      </c>
      <c r="I14">
        <f>41-Table3[[#This Row],[GP_H]]</f>
        <v>22</v>
      </c>
      <c r="J14">
        <f>F14+H14</f>
        <v>40</v>
      </c>
      <c r="K14">
        <f>82-Table3[[#This Row],[GP]]</f>
        <v>42</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11</v>
      </c>
      <c r="Q14">
        <f>COUNTIFS(DataRegularSeason20242025!$D$3:$D$1315,$A14, DataRegularSeason20242025!$S$3:$S$1315, $A14,DataRegularSeason20242025!$M$3:$M$1315,"REG")</f>
        <v>9</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12</v>
      </c>
      <c r="U14">
        <f>COUNTIFS(DataRegularSeason20242025!$E$3:$E$1315,$A14, DataRegularSeason20242025!$L$3:$L$1315, $A14,DataRegularSeason20242025!$N$3:$N$1315,1,DataRegularSeason20242025!$M$3:$M$1315,"REG")</f>
        <v>11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22</v>
      </c>
      <c r="AC14">
        <f>Table3[[#This Row],[L_A]]+Table3[[#This Row],[L_H]]</f>
        <v>18</v>
      </c>
      <c r="AD14">
        <f>Table3[[#This Row],[RW_A]]+Table3[[#This Row],[RW_H]]</f>
        <v>19</v>
      </c>
      <c r="AE14">
        <f>Table3[[#This Row],[RL_A]]+Table3[[#This Row],[RL_H]]</f>
        <v>15</v>
      </c>
      <c r="AF14">
        <f>Table3[[#This Row],[OTW_A]]+Table3[[#This Row],[OTW_H]]</f>
        <v>3</v>
      </c>
      <c r="AG14">
        <f>Table3[[#This Row],[OTL_A]]+Table3[[#This Row],[OTL_H]]</f>
        <v>2</v>
      </c>
      <c r="AH14">
        <f>Table3[[#This Row],[SOW_A]]+Table3[[#This Row],[SOW_H]]</f>
        <v>0</v>
      </c>
      <c r="AI14">
        <f>Table3[[#This Row],[SOL_A]]+Table3[[#This Row],[SOL_H]]</f>
        <v>1</v>
      </c>
      <c r="AJ14" s="20" t="str">
        <f>_xlfn.CONCAT(TEXT(Table3[[#This Row],[OTW]]+Table3[[#This Row],[SOW]], "0"), "-", TEXT(Table3[[#This Row],[OTL]]+Table3[[#This Row],[SOL]],"0"))</f>
        <v>3-3</v>
      </c>
      <c r="AK14">
        <f>(2*(Table3[[#This Row],[W_A]]+Table3[[#This Row],[W_H]]))+Table3[[#This Row],[OTL_A]]+Table3[[#This Row],[SOL_A]]+Table3[[#This Row],[OTL_H]]+Table3[[#This Row],[SOL_H]]</f>
        <v>47</v>
      </c>
      <c r="AL14">
        <f>(3*(Table3[[#This Row],[RW_A]]+Table3[[#This Row],[RW_H]]))+(2*(Table3[[#This Row],[OTW_A]]+Table3[[#This Row],[SOW_A]]+Table3[[#This Row],[OTW_H]]+Table3[[#This Row],[SOW_H]]))+Table3[[#This Row],[OTL_A]]+Table3[[#This Row],[SOL_A]]+Table3[[#This Row],[OTL_H]]+Table3[[#This Row],[SOL_H]]</f>
        <v>66</v>
      </c>
      <c r="AM14" s="15">
        <f>Table3[[#This Row],[PTS]]/(2*Table3[[#This Row],[GP]])</f>
        <v>0.58750000000000002</v>
      </c>
      <c r="AN14" s="15">
        <f>Table3[[#This Row],[PTS2]]/(3*Table3[[#This Row],[GP]])</f>
        <v>0.55000000000000004</v>
      </c>
      <c r="AO14">
        <f>(2*Table3[[#This Row],[GR]])+Table3[[#This Row],[PTS]]</f>
        <v>131</v>
      </c>
      <c r="AP14">
        <f>(3*Table3[[#This Row],[GR]])+Table3[[#This Row],[PTS2]]</f>
        <v>192</v>
      </c>
      <c r="AQ14">
        <f>Table3[[#This Row],[PTS]]+(2 * Table3[[#This Row],[GR]] * Table3[[#This Row],[PTS%]])</f>
        <v>96.35</v>
      </c>
      <c r="AR14">
        <f>Table3[[#This Row],[PTS2]]+(3 * Table3[[#This Row],[GR]] * Table3[[#This Row],[PTS%2]])</f>
        <v>135.30000000000001</v>
      </c>
      <c r="AS14" s="20" t="str">
        <f>_xlfn.CONCAT(TEXT(Table3[[#This Row],[W]], "0"), "-", TEXT(Table3[[#This Row],[RL]],"0"), "-", TEXT(Table3[[#This Row],[OTL]]+Table3[[#This Row],[SOL]], "0"))</f>
        <v>22-15-3</v>
      </c>
      <c r="AT14">
        <f>COUNTIFS(DataRegularSeason20242025!$D$3:$D$1315,Table3[[#This Row],[Teams]],DataRegularSeason20242025!$K$3:$K$1315,0)</f>
        <v>1</v>
      </c>
      <c r="AU14">
        <f>SUMIF(DataRegularSeason20242025!$D$3:$D$1315,$A14, DataRegularSeason20242025!$J$3:$J$1315)</f>
        <v>76</v>
      </c>
      <c r="AV14">
        <f>SUMIF(DataRegularSeason20242025!$D$3:$D$1315,$A14, DataRegularSeason20242025!$K$3:$K$1315)</f>
        <v>67</v>
      </c>
      <c r="AW14">
        <f>AU14-AV14</f>
        <v>9</v>
      </c>
      <c r="AX14">
        <f>COUNTIFS(DataRegularSeason20242025!$E$3:$E$1315,Table3[[#This Row],[Teams]],DataRegularSeason20242025!$J$3:$J$1315,0)</f>
        <v>2</v>
      </c>
      <c r="AY14">
        <f>SUMIF(DataRegularSeason20242025!$E$3:$E$1315,$A14,DataRegularSeason20242025!$K$3:$K$1315)</f>
        <v>72</v>
      </c>
      <c r="AZ14">
        <f>SUMIF(DataRegularSeason20242025!$E$3:$E$1315,$A14,DataRegularSeason20242025!$J$3:$J$1315)</f>
        <v>46</v>
      </c>
      <c r="BA14">
        <f>AY14-AZ14</f>
        <v>26</v>
      </c>
      <c r="BB14">
        <f>AU14+AY14</f>
        <v>148</v>
      </c>
      <c r="BC14">
        <f>AV14+AZ14</f>
        <v>113</v>
      </c>
      <c r="BD14">
        <f>BB14-BC14</f>
        <v>35</v>
      </c>
      <c r="BE14" s="17">
        <f>Table3[[#This Row],[GF]]/Table3[[#This Row],[GP]]</f>
        <v>3.7</v>
      </c>
      <c r="BF14" s="17">
        <f>Table3[[#This Row],[GA]]/Table3[[#This Row],[GP]]</f>
        <v>2.8250000000000002</v>
      </c>
      <c r="BG14" s="17">
        <f>(Table3[[#This Row],[GF]]-Table3[[#This Row],[GA]])/Table3[[#This Row],[GP]]</f>
        <v>0.875</v>
      </c>
      <c r="BH14" s="50" t="str">
        <f>_xlfn.CONCAT(TEXT(Table3[[#This Row],[W_H]], "0"), "-", TEXT(Table3[[#This Row],[RL_H]],"0"), "-", TEXT(Table3[[#This Row],[OTL_H]]+Table3[[#This Row],[SOL_H]], "0"))</f>
        <v>12-6-1</v>
      </c>
      <c r="BI14" s="50" t="str">
        <f>_xlfn.CONCAT(TEXT(Table3[[#This Row],[W_A]], "0"), "-", TEXT(Table3[[#This Row],[RL_A]],"0"), "-", TEXT(Table3[[#This Row],[OTL_A]]+Table3[[#This Row],[SOL_A]], "0"))</f>
        <v>10-9-2</v>
      </c>
      <c r="BJ14" s="50">
        <f>((2*(Table3[[#This Row],[W_H]]))+Table3[[#This Row],[OTL_H]]+Table3[[#This Row],[SOL_H]])/(2*Table3[[#This Row],[GP_H]])</f>
        <v>0.65789473684210531</v>
      </c>
      <c r="BK14" s="50">
        <f>((2*(Table3[[#This Row],[W_A]]))+Table3[[#This Row],[OTL_A]]+Table3[[#This Row],[SOL_A]])/(2*Table3[[#This Row],[GP_A]])</f>
        <v>0.52380952380952384</v>
      </c>
      <c r="BL14" s="21">
        <f>(Table3[[#This Row],[W]]*$CE$3)+(Table3[[#This Row],[L]]*$CE$4)+(Table3[[#This Row],[GF]]*$CE$5)+(Table3[[#This Row],[GA]]*$CE$6)</f>
        <v>49.899999999999991</v>
      </c>
      <c r="BM14" s="21">
        <f>(82*(((Table3[[#This Row],[PTS%]]*$CE$3)+((1-Table3[[#This Row],[PTS%]])*$CE$4)+(Table3[[#This Row],[GF]]*$CE$5)+(Table3[[#This Row],[GA]]*$CE$6))/Table3[[#This Row],[GP]])) + (Table3[[#This Row],[W]]*$CE$3)+(Table3[[#This Row],[L]]*$CE$4)+(Table3[[#This Row],[GF]]*$CE$5)+(Table3[[#This Row],[GA]]*$CE$6)</f>
        <v>119.43087500000001</v>
      </c>
      <c r="BN14">
        <f>COUNTIFS(DataRegularSeason20242025!$D$3:$D$1315,$A14,DataRegularSeason20242025!$H$3:$H$1315, $A14)</f>
        <v>12</v>
      </c>
      <c r="BO14">
        <f>COUNTIFS(DataRegularSeason20242025!$E$3:$E$1315,$A14,DataRegularSeason20242025!$H$3:$H$1315, $A14)</f>
        <v>11</v>
      </c>
      <c r="BP14">
        <f>BN14+BO14</f>
        <v>23</v>
      </c>
      <c r="BQ14">
        <f>F14-BN14</f>
        <v>9</v>
      </c>
      <c r="BR14">
        <f>H14-BO14</f>
        <v>8</v>
      </c>
      <c r="BS14">
        <f>BQ14+BR14</f>
        <v>17</v>
      </c>
      <c r="BV14">
        <v>2021</v>
      </c>
      <c r="BY14" t="s">
        <v>1799</v>
      </c>
      <c r="BZ14">
        <f>BZ7+BZ8</f>
        <v>140</v>
      </c>
    </row>
    <row r="15" spans="1:87"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38</v>
      </c>
      <c r="E15" s="15">
        <f>Table3[[#This Row],[Watched]]/Table3[[#This Row],[GP]]</f>
        <v>0.90476190476190477</v>
      </c>
      <c r="F15">
        <f>COUNTIFS(DataRegularSeason20242025!$N$3:$N$1315,1,DataRegularSeason20242025!$D$3:$D$1315,$A15)</f>
        <v>21</v>
      </c>
      <c r="G15">
        <f>41-Table3[[#This Row],[GP_A]]</f>
        <v>20</v>
      </c>
      <c r="H15">
        <f>COUNTIFS(DataRegularSeason20242025!$E$3:$E$1315,$A15,DataRegularSeason20242025!$N$3:$N$1315,1)</f>
        <v>21</v>
      </c>
      <c r="I15">
        <f>41-Table3[[#This Row],[GP_H]]</f>
        <v>20</v>
      </c>
      <c r="J15">
        <f>F15+H15</f>
        <v>42</v>
      </c>
      <c r="K15">
        <f>82-Table3[[#This Row],[GP]]</f>
        <v>40</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1</v>
      </c>
      <c r="P15">
        <f>F15-L15</f>
        <v>9</v>
      </c>
      <c r="Q15">
        <f>COUNTIFS(DataRegularSeason20242025!$D$3:$D$1315,$A15, DataRegularSeason20242025!$S$3:$S$1315, $A15,DataRegularSeason20242025!$M$3:$M$1315,"REG")</f>
        <v>5</v>
      </c>
      <c r="R15">
        <f>COUNTIFS(DataRegularSeason20242025!$D$3:$D$1315,$A15, DataRegularSeason20242025!$S$3:$S$1315, $A15,DataRegularSeason20242025!$M$3:$M$1315,"OT")</f>
        <v>4</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13</v>
      </c>
      <c r="Y15">
        <f>COUNTIFS(DataRegularSeason20242025!$E$3:$E$1315,$A15, DataRegularSeason20242025!$S$3:$S$1315, $A15,DataRegularSeason20242025!$M$3:$M$1315,"REG")</f>
        <v>8</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20</v>
      </c>
      <c r="AC15">
        <f>Table3[[#This Row],[L_A]]+Table3[[#This Row],[L_H]]</f>
        <v>22</v>
      </c>
      <c r="AD15">
        <f>Table3[[#This Row],[RW_A]]+Table3[[#This Row],[RW_H]]</f>
        <v>15</v>
      </c>
      <c r="AE15">
        <f>Table3[[#This Row],[RL_A]]+Table3[[#This Row],[RL_H]]</f>
        <v>13</v>
      </c>
      <c r="AF15">
        <f>Table3[[#This Row],[OTW_A]]+Table3[[#This Row],[OTW_H]]</f>
        <v>4</v>
      </c>
      <c r="AG15">
        <f>Table3[[#This Row],[OTL_A]]+Table3[[#This Row],[OTL_H]]</f>
        <v>8</v>
      </c>
      <c r="AH15">
        <f>Table3[[#This Row],[SOW_A]]+Table3[[#This Row],[SOW_H]]</f>
        <v>1</v>
      </c>
      <c r="AI15">
        <f>Table3[[#This Row],[SOL_A]]+Table3[[#This Row],[SOL_H]]</f>
        <v>1</v>
      </c>
      <c r="AJ15" s="20" t="str">
        <f>_xlfn.CONCAT(TEXT(Table3[[#This Row],[OTW]]+Table3[[#This Row],[SOW]], "0"), "-", TEXT(Table3[[#This Row],[OTL]]+Table3[[#This Row],[SOL]],"0"))</f>
        <v>5-9</v>
      </c>
      <c r="AK15">
        <f>(2*(Table3[[#This Row],[W_A]]+Table3[[#This Row],[W_H]]))+Table3[[#This Row],[OTL_A]]+Table3[[#This Row],[SOL_A]]+Table3[[#This Row],[OTL_H]]+Table3[[#This Row],[SOL_H]]</f>
        <v>49</v>
      </c>
      <c r="AL15">
        <f>(3*(Table3[[#This Row],[RW_A]]+Table3[[#This Row],[RW_H]]))+(2*(Table3[[#This Row],[OTW_A]]+Table3[[#This Row],[SOW_A]]+Table3[[#This Row],[OTW_H]]+Table3[[#This Row],[SOW_H]]))+Table3[[#This Row],[OTL_A]]+Table3[[#This Row],[SOL_A]]+Table3[[#This Row],[OTL_H]]+Table3[[#This Row],[SOL_H]]</f>
        <v>64</v>
      </c>
      <c r="AM15" s="15">
        <f>Table3[[#This Row],[PTS]]/(2*Table3[[#This Row],[GP]])</f>
        <v>0.58333333333333337</v>
      </c>
      <c r="AN15" s="15">
        <f>Table3[[#This Row],[PTS2]]/(3*Table3[[#This Row],[GP]])</f>
        <v>0.50793650793650791</v>
      </c>
      <c r="AO15">
        <f>(2*Table3[[#This Row],[GR]])+Table3[[#This Row],[PTS]]</f>
        <v>129</v>
      </c>
      <c r="AP15">
        <f>(3*Table3[[#This Row],[GR]])+Table3[[#This Row],[PTS2]]</f>
        <v>184</v>
      </c>
      <c r="AQ15">
        <f>Table3[[#This Row],[PTS]]+(2 * Table3[[#This Row],[GR]] * Table3[[#This Row],[PTS%]])</f>
        <v>95.666666666666671</v>
      </c>
      <c r="AR15">
        <f>Table3[[#This Row],[PTS2]]+(3 * Table3[[#This Row],[GR]] * Table3[[#This Row],[PTS%2]])</f>
        <v>124.95238095238095</v>
      </c>
      <c r="AS15" s="20" t="str">
        <f>_xlfn.CONCAT(TEXT(Table3[[#This Row],[W]], "0"), "-", TEXT(Table3[[#This Row],[RL]],"0"), "-", TEXT(Table3[[#This Row],[OTL]]+Table3[[#This Row],[SOL]], "0"))</f>
        <v>20-13-9</v>
      </c>
      <c r="AT15">
        <f>COUNTIFS(DataRegularSeason20242025!$D$3:$D$1315,Table3[[#This Row],[Teams]],DataRegularSeason20242025!$K$3:$K$1315,0)</f>
        <v>3</v>
      </c>
      <c r="AU15">
        <f>SUMIF(DataRegularSeason20242025!$D$3:$D$1315,$A15, DataRegularSeason20242025!$J$3:$J$1315)</f>
        <v>62</v>
      </c>
      <c r="AV15">
        <f>SUMIF(DataRegularSeason20242025!$D$3:$D$1315,$A15, DataRegularSeason20242025!$K$3:$K$1315)</f>
        <v>53</v>
      </c>
      <c r="AW15">
        <f>AU15-AV15</f>
        <v>9</v>
      </c>
      <c r="AX15">
        <f>COUNTIFS(DataRegularSeason20242025!$E$3:$E$1315,Table3[[#This Row],[Teams]],DataRegularSeason20242025!$J$3:$J$1315,0)</f>
        <v>1</v>
      </c>
      <c r="AY15">
        <f>SUMIF(DataRegularSeason20242025!$E$3:$E$1315,$A15,DataRegularSeason20242025!$K$3:$K$1315)</f>
        <v>63</v>
      </c>
      <c r="AZ15">
        <f>SUMIF(DataRegularSeason20242025!$E$3:$E$1315,$A15,DataRegularSeason20242025!$J$3:$J$1315)</f>
        <v>76</v>
      </c>
      <c r="BA15">
        <f>AY15-AZ15</f>
        <v>-13</v>
      </c>
      <c r="BB15">
        <f>AU15+AY15</f>
        <v>125</v>
      </c>
      <c r="BC15">
        <f>AV15+AZ15</f>
        <v>129</v>
      </c>
      <c r="BD15">
        <f>BB15-BC15</f>
        <v>-4</v>
      </c>
      <c r="BE15" s="17">
        <f>Table3[[#This Row],[GF]]/Table3[[#This Row],[GP]]</f>
        <v>2.9761904761904763</v>
      </c>
      <c r="BF15" s="17">
        <f>Table3[[#This Row],[GA]]/Table3[[#This Row],[GP]]</f>
        <v>3.0714285714285716</v>
      </c>
      <c r="BG15" s="17">
        <f>(Table3[[#This Row],[GF]]-Table3[[#This Row],[GA]])/Table3[[#This Row],[GP]]</f>
        <v>-9.5238095238095233E-2</v>
      </c>
      <c r="BH15" s="50" t="str">
        <f>_xlfn.CONCAT(TEXT(Table3[[#This Row],[W_H]], "0"), "-", TEXT(Table3[[#This Row],[RL_H]],"0"), "-", TEXT(Table3[[#This Row],[OTL_H]]+Table3[[#This Row],[SOL_H]], "0"))</f>
        <v>8-8-5</v>
      </c>
      <c r="BI15" s="50" t="str">
        <f>_xlfn.CONCAT(TEXT(Table3[[#This Row],[W_A]], "0"), "-", TEXT(Table3[[#This Row],[RL_A]],"0"), "-", TEXT(Table3[[#This Row],[OTL_A]]+Table3[[#This Row],[SOL_A]], "0"))</f>
        <v>12-5-4</v>
      </c>
      <c r="BJ15" s="50">
        <f>((2*(Table3[[#This Row],[W_H]]))+Table3[[#This Row],[OTL_H]]+Table3[[#This Row],[SOL_H]])/(2*Table3[[#This Row],[GP_H]])</f>
        <v>0.5</v>
      </c>
      <c r="BK15" s="50">
        <f>((2*(Table3[[#This Row],[W_A]]))+Table3[[#This Row],[OTL_A]]+Table3[[#This Row],[SOL_A]])/(2*Table3[[#This Row],[GP_A]])</f>
        <v>0.66666666666666663</v>
      </c>
      <c r="BL15" s="21">
        <f>(Table3[[#This Row],[W]]*$CE$3)+(Table3[[#This Row],[L]]*$CE$4)+(Table3[[#This Row],[GF]]*$CE$5)+(Table3[[#This Row],[GA]]*$CE$6)</f>
        <v>48.25</v>
      </c>
      <c r="BM15" s="21">
        <f>(82*(((Table3[[#This Row],[PTS%]]*$CE$3)+((1-Table3[[#This Row],[PTS%]])*$CE$4)+(Table3[[#This Row],[GF]]*$CE$5)+(Table3[[#This Row],[GA]]*$CE$6))/Table3[[#This Row],[GP]])) + (Table3[[#This Row],[W]]*$CE$3)+(Table3[[#This Row],[L]]*$CE$4)+(Table3[[#This Row],[GF]]*$CE$5)+(Table3[[#This Row],[GA]]*$CE$6)</f>
        <v>110.85634920634922</v>
      </c>
      <c r="BN15">
        <f>COUNTIFS(DataRegularSeason20242025!$D$3:$D$1315,$A15,DataRegularSeason20242025!$H$3:$H$1315, $A15)</f>
        <v>8</v>
      </c>
      <c r="BO15">
        <f>COUNTIFS(DataRegularSeason20242025!$E$3:$E$1315,$A15,DataRegularSeason20242025!$H$3:$H$1315, $A15)</f>
        <v>11</v>
      </c>
      <c r="BP15">
        <f>BN15+BO15</f>
        <v>19</v>
      </c>
      <c r="BQ15">
        <f>F15-BN15</f>
        <v>13</v>
      </c>
      <c r="BR15">
        <f>H15-BO15</f>
        <v>10</v>
      </c>
      <c r="BS15">
        <f>BQ15+BR15</f>
        <v>23</v>
      </c>
      <c r="BY15" t="s">
        <v>1800</v>
      </c>
      <c r="BZ15">
        <f>BZ14/BZ2</f>
        <v>0.20260492040520983</v>
      </c>
    </row>
    <row r="16" spans="1:87"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40</v>
      </c>
      <c r="E16" s="15">
        <f>Table3[[#This Row],[Watched]]/Table3[[#This Row],[GP]]</f>
        <v>0.95238095238095233</v>
      </c>
      <c r="F16">
        <f>COUNTIFS(DataRegularSeason20242025!$N$3:$N$1315,1,DataRegularSeason20242025!$D$3:$D$1315,$A16)</f>
        <v>19</v>
      </c>
      <c r="G16">
        <f>41-Table3[[#This Row],[GP_A]]</f>
        <v>22</v>
      </c>
      <c r="H16">
        <f>COUNTIFS(DataRegularSeason20242025!$E$3:$E$1315,$A16,DataRegularSeason20242025!$N$3:$N$1315,1)</f>
        <v>23</v>
      </c>
      <c r="I16">
        <f>41-Table3[[#This Row],[GP_H]]</f>
        <v>18</v>
      </c>
      <c r="J16">
        <f>F16+H16</f>
        <v>42</v>
      </c>
      <c r="K16">
        <f>82-Table3[[#This Row],[GP]]</f>
        <v>40</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21</v>
      </c>
      <c r="AC16">
        <f>Table3[[#This Row],[L_A]]+Table3[[#This Row],[L_H]]</f>
        <v>21</v>
      </c>
      <c r="AD16">
        <f>Table3[[#This Row],[RW_A]]+Table3[[#This Row],[RW_H]]</f>
        <v>15</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s="20" t="str">
        <f>_xlfn.CONCAT(TEXT(Table3[[#This Row],[OTW]]+Table3[[#This Row],[SOW]], "0"), "-", TEXT(Table3[[#This Row],[OTL]]+Table3[[#This Row],[SOL]],"0"))</f>
        <v>6-7</v>
      </c>
      <c r="AK16">
        <f>(2*(Table3[[#This Row],[W_A]]+Table3[[#This Row],[W_H]]))+Table3[[#This Row],[OTL_A]]+Table3[[#This Row],[SOL_A]]+Table3[[#This Row],[OTL_H]]+Table3[[#This Row],[SOL_H]]</f>
        <v>49</v>
      </c>
      <c r="AL16">
        <f>(3*(Table3[[#This Row],[RW_A]]+Table3[[#This Row],[RW_H]]))+(2*(Table3[[#This Row],[OTW_A]]+Table3[[#This Row],[SOW_A]]+Table3[[#This Row],[OTW_H]]+Table3[[#This Row],[SOW_H]]))+Table3[[#This Row],[OTL_A]]+Table3[[#This Row],[SOL_A]]+Table3[[#This Row],[OTL_H]]+Table3[[#This Row],[SOL_H]]</f>
        <v>64</v>
      </c>
      <c r="AM16" s="15">
        <f>Table3[[#This Row],[PTS]]/(2*Table3[[#This Row],[GP]])</f>
        <v>0.58333333333333337</v>
      </c>
      <c r="AN16" s="15">
        <f>Table3[[#This Row],[PTS2]]/(3*Table3[[#This Row],[GP]])</f>
        <v>0.50793650793650791</v>
      </c>
      <c r="AO16">
        <f>(2*Table3[[#This Row],[GR]])+Table3[[#This Row],[PTS]]</f>
        <v>129</v>
      </c>
      <c r="AP16">
        <f>(3*Table3[[#This Row],[GR]])+Table3[[#This Row],[PTS2]]</f>
        <v>184</v>
      </c>
      <c r="AQ16">
        <f>Table3[[#This Row],[PTS]]+(2 * Table3[[#This Row],[GR]] * Table3[[#This Row],[PTS%]])</f>
        <v>95.666666666666671</v>
      </c>
      <c r="AR16">
        <f>Table3[[#This Row],[PTS2]]+(3 * Table3[[#This Row],[GR]] * Table3[[#This Row],[PTS%2]])</f>
        <v>124.95238095238095</v>
      </c>
      <c r="AS16" s="20" t="str">
        <f>_xlfn.CONCAT(TEXT(Table3[[#This Row],[W]], "0"), "-", TEXT(Table3[[#This Row],[RL]],"0"), "-", TEXT(Table3[[#This Row],[OTL]]+Table3[[#This Row],[SOL]], "0"))</f>
        <v>21-14-7</v>
      </c>
      <c r="AT16">
        <f>COUNTIFS(DataRegularSeason20242025!$D$3:$D$1315,Table3[[#This Row],[Teams]],DataRegularSeason20242025!$K$3:$K$1315,0)</f>
        <v>0</v>
      </c>
      <c r="AU16">
        <f>SUMIF(DataRegularSeason20242025!$D$3:$D$1315,$A16, DataRegularSeason20242025!$J$3:$J$1315)</f>
        <v>46</v>
      </c>
      <c r="AV16">
        <f>SUMIF(DataRegularSeason20242025!$D$3:$D$1315,$A16, DataRegularSeason20242025!$K$3:$K$1315)</f>
        <v>64</v>
      </c>
      <c r="AW16">
        <f>AU16-AV16</f>
        <v>-18</v>
      </c>
      <c r="AX16">
        <f>COUNTIFS(DataRegularSeason20242025!$E$3:$E$1315,Table3[[#This Row],[Teams]],DataRegularSeason20242025!$J$3:$J$1315,0)</f>
        <v>4</v>
      </c>
      <c r="AY16">
        <f>SUMIF(DataRegularSeason20242025!$E$3:$E$1315,$A16,DataRegularSeason20242025!$K$3:$K$1315)</f>
        <v>69</v>
      </c>
      <c r="AZ16">
        <f>SUMIF(DataRegularSeason20242025!$E$3:$E$1315,$A16,DataRegularSeason20242025!$J$3:$J$1315)</f>
        <v>61</v>
      </c>
      <c r="BA16">
        <f>AY16-AZ16</f>
        <v>8</v>
      </c>
      <c r="BB16">
        <f>AU16+AY16</f>
        <v>115</v>
      </c>
      <c r="BC16">
        <f>AV16+AZ16</f>
        <v>125</v>
      </c>
      <c r="BD16">
        <f>BB16-BC16</f>
        <v>-10</v>
      </c>
      <c r="BE16" s="17">
        <f>Table3[[#This Row],[GF]]/Table3[[#This Row],[GP]]</f>
        <v>2.7380952380952381</v>
      </c>
      <c r="BF16" s="17">
        <f>Table3[[#This Row],[GA]]/Table3[[#This Row],[GP]]</f>
        <v>2.9761904761904763</v>
      </c>
      <c r="BG16" s="17">
        <f>(Table3[[#This Row],[GF]]-Table3[[#This Row],[GA]])/Table3[[#This Row],[GP]]</f>
        <v>-0.23809523809523808</v>
      </c>
      <c r="BH16" s="50" t="str">
        <f>_xlfn.CONCAT(TEXT(Table3[[#This Row],[W_H]], "0"), "-", TEXT(Table3[[#This Row],[RL_H]],"0"), "-", TEXT(Table3[[#This Row],[OTL_H]]+Table3[[#This Row],[SOL_H]], "0"))</f>
        <v>14-6-3</v>
      </c>
      <c r="BI16" s="50" t="str">
        <f>_xlfn.CONCAT(TEXT(Table3[[#This Row],[W_A]], "0"), "-", TEXT(Table3[[#This Row],[RL_A]],"0"), "-", TEXT(Table3[[#This Row],[OTL_A]]+Table3[[#This Row],[SOL_A]], "0"))</f>
        <v>7-8-4</v>
      </c>
      <c r="BJ16" s="50">
        <f>((2*(Table3[[#This Row],[W_H]]))+Table3[[#This Row],[OTL_H]]+Table3[[#This Row],[SOL_H]])/(2*Table3[[#This Row],[GP_H]])</f>
        <v>0.67391304347826086</v>
      </c>
      <c r="BK16" s="50">
        <f>((2*(Table3[[#This Row],[W_A]]))+Table3[[#This Row],[OTL_A]]+Table3[[#This Row],[SOL_A]])/(2*Table3[[#This Row],[GP_A]])</f>
        <v>0.47368421052631576</v>
      </c>
      <c r="BL16" s="21">
        <f>(Table3[[#This Row],[W]]*$CE$3)+(Table3[[#This Row],[L]]*$CE$4)+(Table3[[#This Row],[GF]]*$CE$5)+(Table3[[#This Row],[GA]]*$CE$6)</f>
        <v>46.55</v>
      </c>
      <c r="BM16" s="21">
        <f>(82*(((Table3[[#This Row],[PTS%]]*$CE$3)+((1-Table3[[#This Row],[PTS%]])*$CE$4)+(Table3[[#This Row],[GF]]*$CE$5)+(Table3[[#This Row],[GA]]*$CE$6))/Table3[[#This Row],[GP]])) + (Table3[[#This Row],[W]]*$CE$3)+(Table3[[#This Row],[L]]*$CE$4)+(Table3[[#This Row],[GF]]*$CE$5)+(Table3[[#This Row],[GA]]*$CE$6)</f>
        <v>105.44682539682539</v>
      </c>
      <c r="BN16">
        <f>COUNTIFS(DataRegularSeason20242025!$D$3:$D$1315,$A16,DataRegularSeason20242025!$H$3:$H$1315, $A16)</f>
        <v>20</v>
      </c>
      <c r="BO16">
        <f>COUNTIFS(DataRegularSeason20242025!$E$3:$E$1315,$A16,DataRegularSeason20242025!$H$3:$H$1315, $A16)</f>
        <v>23</v>
      </c>
      <c r="BP16">
        <f>BN16+BO16</f>
        <v>43</v>
      </c>
      <c r="BQ16">
        <f>F16-BN16</f>
        <v>-1</v>
      </c>
      <c r="BR16">
        <f>H16-BO16</f>
        <v>0</v>
      </c>
      <c r="BS16">
        <f>BQ16+BR16</f>
        <v>-1</v>
      </c>
      <c r="BV16">
        <v>1989</v>
      </c>
    </row>
    <row r="17" spans="1:77"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F17+H17</f>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s="20" t="str">
        <f>_xlfn.CONCAT(TEXT(Table3[[#This Row],[OTW]]+Table3[[#This Row],[SOW]], "0"), "-", TEXT(Table3[[#This Row],[OTL]]+Table3[[#This Row],[SOL]],"0"))</f>
        <v>4-6</v>
      </c>
      <c r="AK17">
        <f>(2*(Table3[[#This Row],[W_A]]+Table3[[#This Row],[W_H]]))+Table3[[#This Row],[OTL_A]]+Table3[[#This Row],[SOL_A]]+Table3[[#This Row],[OTL_H]]+Table3[[#This Row],[SOL_H]]</f>
        <v>46</v>
      </c>
      <c r="AL17">
        <f>(3*(Table3[[#This Row],[RW_A]]+Table3[[#This Row],[RW_H]]))+(2*(Table3[[#This Row],[OTW_A]]+Table3[[#This Row],[SOW_A]]+Table3[[#This Row],[OTW_H]]+Table3[[#This Row],[SOW_H]]))+Table3[[#This Row],[OTL_A]]+Table3[[#This Row],[SOL_A]]+Table3[[#This Row],[OTL_H]]+Table3[[#This Row],[SOL_H]]</f>
        <v>62</v>
      </c>
      <c r="AM17" s="15">
        <f>Table3[[#This Row],[PTS]]/(2*Table3[[#This Row],[GP]])</f>
        <v>0.53488372093023251</v>
      </c>
      <c r="AN17" s="15">
        <f>Table3[[#This Row],[PTS2]]/(3*Table3[[#This Row],[GP]])</f>
        <v>0.48062015503875971</v>
      </c>
      <c r="AO17">
        <f>(2*Table3[[#This Row],[GR]])+Table3[[#This Row],[PTS]]</f>
        <v>124</v>
      </c>
      <c r="AP17">
        <f>(3*Table3[[#This Row],[GR]])+Table3[[#This Row],[PTS2]]</f>
        <v>179</v>
      </c>
      <c r="AQ17">
        <f>Table3[[#This Row],[PTS]]+(2 * Table3[[#This Row],[GR]] * Table3[[#This Row],[PTS%]])</f>
        <v>87.720930232558146</v>
      </c>
      <c r="AR17">
        <f>Table3[[#This Row],[PTS2]]+(3 * Table3[[#This Row],[GR]] * Table3[[#This Row],[PTS%2]])</f>
        <v>118.23255813953489</v>
      </c>
      <c r="AS17" s="20" t="str">
        <f>_xlfn.CONCAT(TEXT(Table3[[#This Row],[W]], "0"), "-", TEXT(Table3[[#This Row],[RL]],"0"), "-", TEXT(Table3[[#This Row],[OTL]]+Table3[[#This Row],[SOL]], "0"))</f>
        <v>20-17-6</v>
      </c>
      <c r="AT17">
        <f>COUNTIFS(DataRegularSeason20242025!$D$3:$D$1315,Table3[[#This Row],[Teams]],DataRegularSeason20242025!$K$3:$K$1315,0)</f>
        <v>0</v>
      </c>
      <c r="AU17">
        <f>SUMIF(DataRegularSeason20242025!$D$3:$D$1315,$A17, DataRegularSeason20242025!$J$3:$J$1315)</f>
        <v>55</v>
      </c>
      <c r="AV17">
        <f>SUMIF(DataRegularSeason20242025!$D$3:$D$1315,$A17, DataRegularSeason20242025!$K$3:$K$1315)</f>
        <v>80</v>
      </c>
      <c r="AW17">
        <f>AU17-AV17</f>
        <v>-25</v>
      </c>
      <c r="AX17">
        <f>COUNTIFS(DataRegularSeason20242025!$E$3:$E$1315,Table3[[#This Row],[Teams]],DataRegularSeason20242025!$J$3:$J$1315,0)</f>
        <v>1</v>
      </c>
      <c r="AY17">
        <f>SUMIF(DataRegularSeason20242025!$E$3:$E$1315,$A17,DataRegularSeason20242025!$K$3:$K$1315)</f>
        <v>94</v>
      </c>
      <c r="AZ17">
        <f>SUMIF(DataRegularSeason20242025!$E$3:$E$1315,$A17,DataRegularSeason20242025!$J$3:$J$1315)</f>
        <v>71</v>
      </c>
      <c r="BA17">
        <f>AY17-AZ17</f>
        <v>23</v>
      </c>
      <c r="BB17">
        <f>AU17+AY17</f>
        <v>149</v>
      </c>
      <c r="BC17">
        <f>AV17+AZ17</f>
        <v>151</v>
      </c>
      <c r="BD17">
        <f>BB17-BC17</f>
        <v>-2</v>
      </c>
      <c r="BE17" s="17">
        <f>Table3[[#This Row],[GF]]/Table3[[#This Row],[GP]]</f>
        <v>3.4651162790697674</v>
      </c>
      <c r="BF17" s="17">
        <f>Table3[[#This Row],[GA]]/Table3[[#This Row],[GP]]</f>
        <v>3.5116279069767442</v>
      </c>
      <c r="BG17" s="17">
        <f>(Table3[[#This Row],[GF]]-Table3[[#This Row],[GA]])/Table3[[#This Row],[GP]]</f>
        <v>-4.6511627906976744E-2</v>
      </c>
      <c r="BH17" s="50" t="str">
        <f>_xlfn.CONCAT(TEXT(Table3[[#This Row],[W_H]], "0"), "-", TEXT(Table3[[#This Row],[RL_H]],"0"), "-", TEXT(Table3[[#This Row],[OTL_H]]+Table3[[#This Row],[SOL_H]], "0"))</f>
        <v>14-5-3</v>
      </c>
      <c r="BI17" s="50" t="str">
        <f>_xlfn.CONCAT(TEXT(Table3[[#This Row],[W_A]], "0"), "-", TEXT(Table3[[#This Row],[RL_A]],"0"), "-", TEXT(Table3[[#This Row],[OTL_A]]+Table3[[#This Row],[SOL_A]], "0"))</f>
        <v>6-12-3</v>
      </c>
      <c r="BJ17" s="50">
        <f>((2*(Table3[[#This Row],[W_H]]))+Table3[[#This Row],[OTL_H]]+Table3[[#This Row],[SOL_H]])/(2*Table3[[#This Row],[GP_H]])</f>
        <v>0.70454545454545459</v>
      </c>
      <c r="BK17" s="50">
        <f>((2*(Table3[[#This Row],[W_A]]))+Table3[[#This Row],[OTL_A]]+Table3[[#This Row],[SOL_A]])/(2*Table3[[#This Row],[GP_A]])</f>
        <v>0.35714285714285715</v>
      </c>
      <c r="BL17" s="21">
        <f>(Table3[[#This Row],[W]]*$CE$3)+(Table3[[#This Row],[L]]*$CE$4)+(Table3[[#This Row],[GF]]*$CE$5)+(Table3[[#This Row],[GA]]*$CE$6)</f>
        <v>54.35</v>
      </c>
      <c r="BM17" s="21">
        <f>(82*(((Table3[[#This Row],[PTS%]]*$CE$3)+((1-Table3[[#This Row],[PTS%]])*$CE$4)+(Table3[[#This Row],[GF]]*$CE$5)+(Table3[[#This Row],[GA]]*$CE$6))/Table3[[#This Row],[GP]])) + (Table3[[#This Row],[W]]*$CE$3)+(Table3[[#This Row],[L]]*$CE$4)+(Table3[[#This Row],[GF]]*$CE$5)+(Table3[[#This Row],[GA]]*$CE$6)</f>
        <v>126.54237425635478</v>
      </c>
      <c r="BN17">
        <f>COUNTIFS(DataRegularSeason20242025!$D$3:$D$1315,$A17,DataRegularSeason20242025!$H$3:$H$1315, $A17)</f>
        <v>7</v>
      </c>
      <c r="BO17">
        <f>COUNTIFS(DataRegularSeason20242025!$E$3:$E$1315,$A17,DataRegularSeason20242025!$H$3:$H$1315, $A17)</f>
        <v>12</v>
      </c>
      <c r="BP17">
        <f>BN17+BO17</f>
        <v>19</v>
      </c>
      <c r="BQ17">
        <f>F17-BN17</f>
        <v>14</v>
      </c>
      <c r="BR17">
        <f>H17-BO17</f>
        <v>10</v>
      </c>
      <c r="BS17">
        <f>BQ17+BR17</f>
        <v>24</v>
      </c>
    </row>
    <row r="18" spans="1:77"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16</v>
      </c>
      <c r="E18" s="15">
        <f>Table3[[#This Row],[Watched]]/Table3[[#This Row],[GP]]</f>
        <v>0.37209302325581395</v>
      </c>
      <c r="F18">
        <f>COUNTIFS(DataRegularSeason20242025!$N$3:$N$1315,1,DataRegularSeason20242025!$D$3:$D$1315,$A18)</f>
        <v>22</v>
      </c>
      <c r="G18">
        <f>41-Table3[[#This Row],[GP_A]]</f>
        <v>19</v>
      </c>
      <c r="H18">
        <f>COUNTIFS(DataRegularSeason20242025!$E$3:$E$1315,$A18,DataRegularSeason20242025!$N$3:$N$1315,1)</f>
        <v>21</v>
      </c>
      <c r="I18">
        <f>41-Table3[[#This Row],[GP_H]]</f>
        <v>20</v>
      </c>
      <c r="J18">
        <f>F18+H18</f>
        <v>43</v>
      </c>
      <c r="K18">
        <f>82-Table3[[#This Row],[GP]]</f>
        <v>39</v>
      </c>
      <c r="L18">
        <f>COUNTIFS(DataRegularSeason20242025!$D$3:$D$1315,$A18, DataRegularSeason20242025!$L$3:$L$1315, $A18,DataRegularSeason20242025!$N$3:$N$1315,1)</f>
        <v>10</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F18-L18</f>
        <v>12</v>
      </c>
      <c r="Q18">
        <f>COUNTIFS(DataRegularSeason20242025!$D$3:$D$1315,$A18, DataRegularSeason20242025!$S$3:$S$1315, $A18,DataRegularSeason20242025!$M$3:$M$1315,"REG")</f>
        <v>11</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11</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H18-T18</f>
        <v>10</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21</v>
      </c>
      <c r="AC18">
        <f>Table3[[#This Row],[L_A]]+Table3[[#This Row],[L_H]]</f>
        <v>22</v>
      </c>
      <c r="AD18">
        <f>Table3[[#This Row],[RW_A]]+Table3[[#This Row],[RW_H]]</f>
        <v>15</v>
      </c>
      <c r="AE18">
        <f>Table3[[#This Row],[RL_A]]+Table3[[#This Row],[RL_H]]</f>
        <v>18</v>
      </c>
      <c r="AF18">
        <f>Table3[[#This Row],[OTW_A]]+Table3[[#This Row],[OTW_H]]</f>
        <v>4</v>
      </c>
      <c r="AG18">
        <f>Table3[[#This Row],[OTL_A]]+Table3[[#This Row],[OTL_H]]</f>
        <v>2</v>
      </c>
      <c r="AH18">
        <f>Table3[[#This Row],[SOW_A]]+Table3[[#This Row],[SOW_H]]</f>
        <v>2</v>
      </c>
      <c r="AI18">
        <f>Table3[[#This Row],[SOL_A]]+Table3[[#This Row],[SOL_H]]</f>
        <v>2</v>
      </c>
      <c r="AJ18" s="20" t="str">
        <f>_xlfn.CONCAT(TEXT(Table3[[#This Row],[OTW]]+Table3[[#This Row],[SOW]], "0"), "-", TEXT(Table3[[#This Row],[OTL]]+Table3[[#This Row],[SOL]],"0"))</f>
        <v>6-4</v>
      </c>
      <c r="AK18">
        <f>(2*(Table3[[#This Row],[W_A]]+Table3[[#This Row],[W_H]]))+Table3[[#This Row],[OTL_A]]+Table3[[#This Row],[SOL_A]]+Table3[[#This Row],[OTL_H]]+Table3[[#This Row],[SOL_H]]</f>
        <v>46</v>
      </c>
      <c r="AL18">
        <f>(3*(Table3[[#This Row],[RW_A]]+Table3[[#This Row],[RW_H]]))+(2*(Table3[[#This Row],[OTW_A]]+Table3[[#This Row],[SOW_A]]+Table3[[#This Row],[OTW_H]]+Table3[[#This Row],[SOW_H]]))+Table3[[#This Row],[OTL_A]]+Table3[[#This Row],[SOL_A]]+Table3[[#This Row],[OTL_H]]+Table3[[#This Row],[SOL_H]]</f>
        <v>61</v>
      </c>
      <c r="AM18" s="15">
        <f>Table3[[#This Row],[PTS]]/(2*Table3[[#This Row],[GP]])</f>
        <v>0.53488372093023251</v>
      </c>
      <c r="AN18" s="15">
        <f>Table3[[#This Row],[PTS2]]/(3*Table3[[#This Row],[GP]])</f>
        <v>0.47286821705426357</v>
      </c>
      <c r="AO18">
        <f>(2*Table3[[#This Row],[GR]])+Table3[[#This Row],[PTS]]</f>
        <v>124</v>
      </c>
      <c r="AP18">
        <f>(3*Table3[[#This Row],[GR]])+Table3[[#This Row],[PTS2]]</f>
        <v>178</v>
      </c>
      <c r="AQ18">
        <f>Table3[[#This Row],[PTS]]+(2 * Table3[[#This Row],[GR]] * Table3[[#This Row],[PTS%]])</f>
        <v>87.720930232558146</v>
      </c>
      <c r="AR18">
        <f>Table3[[#This Row],[PTS2]]+(3 * Table3[[#This Row],[GR]] * Table3[[#This Row],[PTS%2]])</f>
        <v>116.32558139534885</v>
      </c>
      <c r="AS18" s="20" t="str">
        <f>_xlfn.CONCAT(TEXT(Table3[[#This Row],[W]], "0"), "-", TEXT(Table3[[#This Row],[RL]],"0"), "-", TEXT(Table3[[#This Row],[OTL]]+Table3[[#This Row],[SOL]], "0"))</f>
        <v>21-18-4</v>
      </c>
      <c r="AT18">
        <f>COUNTIFS(DataRegularSeason20242025!$D$3:$D$1315,Table3[[#This Row],[Teams]],DataRegularSeason20242025!$K$3:$K$1315,0)</f>
        <v>1</v>
      </c>
      <c r="AU18">
        <f>SUMIF(DataRegularSeason20242025!$D$3:$D$1315,$A18, DataRegularSeason20242025!$J$3:$J$1315)</f>
        <v>71</v>
      </c>
      <c r="AV18">
        <f>SUMIF(DataRegularSeason20242025!$D$3:$D$1315,$A18, DataRegularSeason20242025!$K$3:$K$1315)</f>
        <v>76</v>
      </c>
      <c r="AW18">
        <f>AU18-AV18</f>
        <v>-5</v>
      </c>
      <c r="AX18">
        <f>COUNTIFS(DataRegularSeason20242025!$E$3:$E$1315,Table3[[#This Row],[Teams]],DataRegularSeason20242025!$J$3:$J$1315,0)</f>
        <v>3</v>
      </c>
      <c r="AY18">
        <f>SUMIF(DataRegularSeason20242025!$E$3:$E$1315,$A18,DataRegularSeason20242025!$K$3:$K$1315)</f>
        <v>61</v>
      </c>
      <c r="AZ18">
        <f>SUMIF(DataRegularSeason20242025!$E$3:$E$1315,$A18,DataRegularSeason20242025!$J$3:$J$1315)</f>
        <v>65</v>
      </c>
      <c r="BA18">
        <f>AY18-AZ18</f>
        <v>-4</v>
      </c>
      <c r="BB18">
        <f>AU18+AY18</f>
        <v>132</v>
      </c>
      <c r="BC18">
        <f>AV18+AZ18</f>
        <v>141</v>
      </c>
      <c r="BD18">
        <f>BB18-BC18</f>
        <v>-9</v>
      </c>
      <c r="BE18" s="17">
        <f>Table3[[#This Row],[GF]]/Table3[[#This Row],[GP]]</f>
        <v>3.0697674418604652</v>
      </c>
      <c r="BF18" s="17">
        <f>Table3[[#This Row],[GA]]/Table3[[#This Row],[GP]]</f>
        <v>3.2790697674418605</v>
      </c>
      <c r="BG18" s="17">
        <f>(Table3[[#This Row],[GF]]-Table3[[#This Row],[GA]])/Table3[[#This Row],[GP]]</f>
        <v>-0.20930232558139536</v>
      </c>
      <c r="BH18" s="50" t="str">
        <f>_xlfn.CONCAT(TEXT(Table3[[#This Row],[W_H]], "0"), "-", TEXT(Table3[[#This Row],[RL_H]],"0"), "-", TEXT(Table3[[#This Row],[OTL_H]]+Table3[[#This Row],[SOL_H]], "0"))</f>
        <v>11-7-3</v>
      </c>
      <c r="BI18" s="50" t="str">
        <f>_xlfn.CONCAT(TEXT(Table3[[#This Row],[W_A]], "0"), "-", TEXT(Table3[[#This Row],[RL_A]],"0"), "-", TEXT(Table3[[#This Row],[OTL_A]]+Table3[[#This Row],[SOL_A]], "0"))</f>
        <v>10-11-1</v>
      </c>
      <c r="BJ18" s="50">
        <f>((2*(Table3[[#This Row],[W_H]]))+Table3[[#This Row],[OTL_H]]+Table3[[#This Row],[SOL_H]])/(2*Table3[[#This Row],[GP_H]])</f>
        <v>0.59523809523809523</v>
      </c>
      <c r="BK18" s="50">
        <f>((2*(Table3[[#This Row],[W_A]]))+Table3[[#This Row],[OTL_A]]+Table3[[#This Row],[SOL_A]])/(2*Table3[[#This Row],[GP_A]])</f>
        <v>0.47727272727272729</v>
      </c>
      <c r="BL18" s="21">
        <f>(Table3[[#This Row],[W]]*$CE$3)+(Table3[[#This Row],[L]]*$CE$4)+(Table3[[#This Row],[GF]]*$CE$5)+(Table3[[#This Row],[GA]]*$CE$6)</f>
        <v>51.000000000000007</v>
      </c>
      <c r="BM18" s="21">
        <f>(82*(((Table3[[#This Row],[PTS%]]*$CE$3)+((1-Table3[[#This Row],[PTS%]])*$CE$4)+(Table3[[#This Row],[GF]]*$CE$5)+(Table3[[#This Row],[GA]]*$CE$6))/Table3[[#This Row],[GP]])) + (Table3[[#This Row],[W]]*$CE$3)+(Table3[[#This Row],[L]]*$CE$4)+(Table3[[#This Row],[GF]]*$CE$5)+(Table3[[#This Row],[GA]]*$CE$6)</f>
        <v>116.42260681449432</v>
      </c>
      <c r="BN18">
        <f>COUNTIFS(DataRegularSeason20242025!$D$3:$D$1315,$A18,DataRegularSeason20242025!$H$3:$H$1315, $A18)</f>
        <v>4</v>
      </c>
      <c r="BO18">
        <f>COUNTIFS(DataRegularSeason20242025!$E$3:$E$1315,$A18,DataRegularSeason20242025!$H$3:$H$1315, $A18)</f>
        <v>7</v>
      </c>
      <c r="BP18">
        <f>BN18+BO18</f>
        <v>11</v>
      </c>
      <c r="BQ18">
        <f>F18-BN18</f>
        <v>18</v>
      </c>
      <c r="BR18">
        <f>H18-BO18</f>
        <v>14</v>
      </c>
      <c r="BS18">
        <f>BQ18+BR18</f>
        <v>32</v>
      </c>
      <c r="BV18">
        <v>1993</v>
      </c>
      <c r="BY18">
        <f>LARGE($AK$2:$AK$33,1)</f>
        <v>61</v>
      </c>
    </row>
    <row r="19" spans="1:77"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0.27906976744186046</v>
      </c>
      <c r="F19">
        <f>COUNTIFS(DataRegularSeason20242025!$N$3:$N$1315,1,DataRegularSeason20242025!$D$3:$D$1315,$A19)</f>
        <v>24</v>
      </c>
      <c r="G19">
        <f>41-Table3[[#This Row],[GP_A]]</f>
        <v>17</v>
      </c>
      <c r="H19">
        <f>COUNTIFS(DataRegularSeason20242025!$E$3:$E$1315,$A19,DataRegularSeason20242025!$N$3:$N$1315,1)</f>
        <v>19</v>
      </c>
      <c r="I19">
        <f>41-Table3[[#This Row],[GP_H]]</f>
        <v>22</v>
      </c>
      <c r="J19">
        <f>F19+H19</f>
        <v>43</v>
      </c>
      <c r="K19">
        <f>82-Table3[[#This Row],[GP]]</f>
        <v>39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14</v>
      </c>
      <c r="Q19">
        <f>COUNTIFS(DataRegularSeason20242025!$D$3:$D$1315,$A19, DataRegularSeason20242025!$S$3:$S$1315, $A19,DataRegularSeason20242025!$M$3:$M$1315,"REG")</f>
        <v>11</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9</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8</v>
      </c>
      <c r="Y19">
        <f>COUNTIFS(DataRegularSeason20242025!$E$3:$E$1315,$A19, DataRegularSeason20242025!$S$3:$S$1315, $A19,DataRegularSeason20242025!$M$3:$M$1315,"REG")</f>
        <v>7</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21</v>
      </c>
      <c r="AC19">
        <f>Table3[[#This Row],[L_A]]+Table3[[#This Row],[L_H]]</f>
        <v>22</v>
      </c>
      <c r="AD19">
        <f>Table3[[#This Row],[RW_A]]+Table3[[#This Row],[RW_H]]</f>
        <v>17</v>
      </c>
      <c r="AE19">
        <f>Table3[[#This Row],[RL_A]]+Table3[[#This Row],[RL_H]]</f>
        <v>18</v>
      </c>
      <c r="AF19">
        <f>Table3[[#This Row],[OTW_A]]+Table3[[#This Row],[OTW_H]]</f>
        <v>4</v>
      </c>
      <c r="AG19">
        <f>Table3[[#This Row],[OTL_A]]+Table3[[#This Row],[OTL_H]]</f>
        <v>3</v>
      </c>
      <c r="AH19">
        <f>Table3[[#This Row],[SOW_A]]+Table3[[#This Row],[SOW_H]]</f>
        <v>0</v>
      </c>
      <c r="AI19">
        <f>Table3[[#This Row],[SOL_A]]+Table3[[#This Row],[SOL_H]]</f>
        <v>1</v>
      </c>
      <c r="AJ19" s="20" t="str">
        <f>_xlfn.CONCAT(TEXT(Table3[[#This Row],[OTW]]+Table3[[#This Row],[SOW]], "0"), "-", TEXT(Table3[[#This Row],[OTL]]+Table3[[#This Row],[SOL]],"0"))</f>
        <v>4-4</v>
      </c>
      <c r="AK19">
        <f>(2*(Table3[[#This Row],[W_A]]+Table3[[#This Row],[W_H]]))+Table3[[#This Row],[OTL_A]]+Table3[[#This Row],[SOL_A]]+Table3[[#This Row],[OTL_H]]+Table3[[#This Row],[SOL_H]]</f>
        <v>46</v>
      </c>
      <c r="AL19">
        <f>(3*(Table3[[#This Row],[RW_A]]+Table3[[#This Row],[RW_H]]))+(2*(Table3[[#This Row],[OTW_A]]+Table3[[#This Row],[SOW_A]]+Table3[[#This Row],[OTW_H]]+Table3[[#This Row],[SOW_H]]))+Table3[[#This Row],[OTL_A]]+Table3[[#This Row],[SOL_A]]+Table3[[#This Row],[OTL_H]]+Table3[[#This Row],[SOL_H]]</f>
        <v>63</v>
      </c>
      <c r="AM19" s="15">
        <f>Table3[[#This Row],[PTS]]/(2*Table3[[#This Row],[GP]])</f>
        <v>0.53488372093023251</v>
      </c>
      <c r="AN19" s="15">
        <f>Table3[[#This Row],[PTS2]]/(3*Table3[[#This Row],[GP]])</f>
        <v>0.48837209302325579</v>
      </c>
      <c r="AO19">
        <f>(2*Table3[[#This Row],[GR]])+Table3[[#This Row],[PTS]]</f>
        <v>124</v>
      </c>
      <c r="AP19">
        <f>(3*Table3[[#This Row],[GR]])+Table3[[#This Row],[PTS2]]</f>
        <v>180</v>
      </c>
      <c r="AQ19">
        <f>Table3[[#This Row],[PTS]]+(2 * Table3[[#This Row],[GR]] * Table3[[#This Row],[PTS%]])</f>
        <v>87.720930232558146</v>
      </c>
      <c r="AR19">
        <f>Table3[[#This Row],[PTS2]]+(3 * Table3[[#This Row],[GR]] * Table3[[#This Row],[PTS%2]])</f>
        <v>120.13953488372093</v>
      </c>
      <c r="AS19" s="20" t="str">
        <f>_xlfn.CONCAT(TEXT(Table3[[#This Row],[W]], "0"), "-", TEXT(Table3[[#This Row],[RL]],"0"), "-", TEXT(Table3[[#This Row],[OTL]]+Table3[[#This Row],[SOL]], "0"))</f>
        <v>21-18-4</v>
      </c>
      <c r="AT19">
        <f>COUNTIFS(DataRegularSeason20242025!$D$3:$D$1315,Table3[[#This Row],[Teams]],DataRegularSeason20242025!$K$3:$K$1315,0)</f>
        <v>6</v>
      </c>
      <c r="AU19">
        <f>SUMIF(DataRegularSeason20242025!$D$3:$D$1315,$A19, DataRegularSeason20242025!$J$3:$J$1315)</f>
        <v>60</v>
      </c>
      <c r="AV19">
        <f>SUMIF(DataRegularSeason20242025!$D$3:$D$1315,$A19, DataRegularSeason20242025!$K$3:$K$1315)</f>
        <v>66</v>
      </c>
      <c r="AW19">
        <f>AU19-AV19</f>
        <v>-6</v>
      </c>
      <c r="AX19">
        <f>COUNTIFS(DataRegularSeason20242025!$E$3:$E$1315,Table3[[#This Row],[Teams]],DataRegularSeason20242025!$J$3:$J$1315,0)</f>
        <v>1</v>
      </c>
      <c r="AY19">
        <f>SUMIF(DataRegularSeason20242025!$E$3:$E$1315,$A19,DataRegularSeason20242025!$K$3:$K$1315)</f>
        <v>63</v>
      </c>
      <c r="AZ19">
        <f>SUMIF(DataRegularSeason20242025!$E$3:$E$1315,$A19,DataRegularSeason20242025!$J$3:$J$1315)</f>
        <v>55</v>
      </c>
      <c r="BA19">
        <f>AY19-AZ19</f>
        <v>8</v>
      </c>
      <c r="BB19">
        <f>AU19+AY19</f>
        <v>123</v>
      </c>
      <c r="BC19">
        <f>AV19+AZ19</f>
        <v>121</v>
      </c>
      <c r="BD19">
        <f>BB19-BC19</f>
        <v>2</v>
      </c>
      <c r="BE19" s="17">
        <f>Table3[[#This Row],[GF]]/Table3[[#This Row],[GP]]</f>
        <v>2.86046511627907</v>
      </c>
      <c r="BF19" s="17">
        <f>Table3[[#This Row],[GA]]/Table3[[#This Row],[GP]]</f>
        <v>2.8139534883720931</v>
      </c>
      <c r="BG19" s="17">
        <f>(Table3[[#This Row],[GF]]-Table3[[#This Row],[GA]])/Table3[[#This Row],[GP]]</f>
        <v>4.6511627906976744E-2</v>
      </c>
      <c r="BH19" s="50" t="str">
        <f>_xlfn.CONCAT(TEXT(Table3[[#This Row],[W_H]], "0"), "-", TEXT(Table3[[#This Row],[RL_H]],"0"), "-", TEXT(Table3[[#This Row],[OTL_H]]+Table3[[#This Row],[SOL_H]], "0"))</f>
        <v>11-7-1</v>
      </c>
      <c r="BI19" s="50" t="str">
        <f>_xlfn.CONCAT(TEXT(Table3[[#This Row],[W_A]], "0"), "-", TEXT(Table3[[#This Row],[RL_A]],"0"), "-", TEXT(Table3[[#This Row],[OTL_A]]+Table3[[#This Row],[SOL_A]], "0"))</f>
        <v>10-11-3</v>
      </c>
      <c r="BJ19" s="50">
        <f>((2*(Table3[[#This Row],[W_H]]))+Table3[[#This Row],[OTL_H]]+Table3[[#This Row],[SOL_H]])/(2*Table3[[#This Row],[GP_H]])</f>
        <v>0.60526315789473684</v>
      </c>
      <c r="BK19" s="50">
        <f>((2*(Table3[[#This Row],[W_A]]))+Table3[[#This Row],[OTL_A]]+Table3[[#This Row],[SOL_A]])/(2*Table3[[#This Row],[GP_A]])</f>
        <v>0.47916666666666669</v>
      </c>
      <c r="BL19" s="21">
        <f>(Table3[[#This Row],[W]]*$CE$3)+(Table3[[#This Row],[L]]*$CE$4)+(Table3[[#This Row],[GF]]*$CE$5)+(Table3[[#This Row],[GA]]*$CE$6)</f>
        <v>47.65</v>
      </c>
      <c r="BM19" s="21">
        <f>(82*(((Table3[[#This Row],[PTS%]]*$CE$3)+((1-Table3[[#This Row],[PTS%]])*$CE$4)+(Table3[[#This Row],[GF]]*$CE$5)+(Table3[[#This Row],[GA]]*$CE$6))/Table3[[#This Row],[GP]])) + (Table3[[#This Row],[W]]*$CE$3)+(Table3[[#This Row],[L]]*$CE$4)+(Table3[[#This Row],[GF]]*$CE$5)+(Table3[[#This Row],[GA]]*$CE$6)</f>
        <v>106.68423472147106</v>
      </c>
      <c r="BN19">
        <f>COUNTIFS(DataRegularSeason20242025!$D$3:$D$1315,$A19,DataRegularSeason20242025!$H$3:$H$1315, $A19)</f>
        <v>9</v>
      </c>
      <c r="BO19">
        <f>COUNTIFS(DataRegularSeason20242025!$E$3:$E$1315,$A19,DataRegularSeason20242025!$H$3:$H$1315, $A19)</f>
        <v>11</v>
      </c>
      <c r="BP19">
        <f>BN19+BO19</f>
        <v>20</v>
      </c>
      <c r="BQ19">
        <f>F19-BN19</f>
        <v>15</v>
      </c>
      <c r="BR19">
        <f>H19-BO19</f>
        <v>8</v>
      </c>
      <c r="BS19">
        <f>BQ19+BR19</f>
        <v>23</v>
      </c>
    </row>
    <row r="20" spans="1:77"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33</v>
      </c>
      <c r="E20" s="15">
        <f>Table3[[#This Row],[Watched]]/Table3[[#This Row],[GP]]</f>
        <v>0.7857142857142857</v>
      </c>
      <c r="F20">
        <f>COUNTIFS(DataRegularSeason20242025!$N$3:$N$1315,1,DataRegularSeason20242025!$D$3:$D$1315,$A20)</f>
        <v>18</v>
      </c>
      <c r="G20">
        <f>41-Table3[[#This Row],[GP_A]]</f>
        <v>23</v>
      </c>
      <c r="H20">
        <f>COUNTIFS(DataRegularSeason20242025!$E$3:$E$1315,$A20,DataRegularSeason20242025!$N$3:$N$1315,1)</f>
        <v>24</v>
      </c>
      <c r="I20">
        <f>41-Table3[[#This Row],[GP_H]]</f>
        <v>17</v>
      </c>
      <c r="J20">
        <f>F20+H20</f>
        <v>42</v>
      </c>
      <c r="K20">
        <f>82-Table3[[#This Row],[GP]]</f>
        <v>40</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F20-L20</f>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10</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20</v>
      </c>
      <c r="AC20">
        <f>Table3[[#This Row],[L_A]]+Table3[[#This Row],[L_H]]</f>
        <v>22</v>
      </c>
      <c r="AD20">
        <f>Table3[[#This Row],[RW_A]]+Table3[[#This Row],[RW_H]]</f>
        <v>16</v>
      </c>
      <c r="AE20">
        <f>Table3[[#This Row],[RL_A]]+Table3[[#This Row],[RL_H]]</f>
        <v>18</v>
      </c>
      <c r="AF20">
        <f>Table3[[#This Row],[OTW_A]]+Table3[[#This Row],[OTW_H]]</f>
        <v>3</v>
      </c>
      <c r="AG20">
        <f>Table3[[#This Row],[OTL_A]]+Table3[[#This Row],[OTL_H]]</f>
        <v>4</v>
      </c>
      <c r="AH20">
        <f>Table3[[#This Row],[SOW_A]]+Table3[[#This Row],[SOW_H]]</f>
        <v>1</v>
      </c>
      <c r="AI20">
        <f>Table3[[#This Row],[SOL_A]]+Table3[[#This Row],[SOL_H]]</f>
        <v>0</v>
      </c>
      <c r="AJ20" s="20" t="str">
        <f>_xlfn.CONCAT(TEXT(Table3[[#This Row],[OTW]]+Table3[[#This Row],[SOW]], "0"), "-", TEXT(Table3[[#This Row],[OTL]]+Table3[[#This Row],[SOL]],"0"))</f>
        <v>4-4</v>
      </c>
      <c r="AK20">
        <f>(2*(Table3[[#This Row],[W_A]]+Table3[[#This Row],[W_H]]))+Table3[[#This Row],[OTL_A]]+Table3[[#This Row],[SOL_A]]+Table3[[#This Row],[OTL_H]]+Table3[[#This Row],[SOL_H]]</f>
        <v>44</v>
      </c>
      <c r="AL20">
        <f>(3*(Table3[[#This Row],[RW_A]]+Table3[[#This Row],[RW_H]]))+(2*(Table3[[#This Row],[OTW_A]]+Table3[[#This Row],[SOW_A]]+Table3[[#This Row],[OTW_H]]+Table3[[#This Row],[SOW_H]]))+Table3[[#This Row],[OTL_A]]+Table3[[#This Row],[SOL_A]]+Table3[[#This Row],[OTL_H]]+Table3[[#This Row],[SOL_H]]</f>
        <v>60</v>
      </c>
      <c r="AM20" s="15">
        <f>Table3[[#This Row],[PTS]]/(2*Table3[[#This Row],[GP]])</f>
        <v>0.52380952380952384</v>
      </c>
      <c r="AN20" s="15">
        <f>Table3[[#This Row],[PTS2]]/(3*Table3[[#This Row],[GP]])</f>
        <v>0.47619047619047616</v>
      </c>
      <c r="AO20">
        <f>(2*Table3[[#This Row],[GR]])+Table3[[#This Row],[PTS]]</f>
        <v>124</v>
      </c>
      <c r="AP20">
        <f>(3*Table3[[#This Row],[GR]])+Table3[[#This Row],[PTS2]]</f>
        <v>180</v>
      </c>
      <c r="AQ20">
        <f>Table3[[#This Row],[PTS]]+(2 * Table3[[#This Row],[GR]] * Table3[[#This Row],[PTS%]])</f>
        <v>85.904761904761898</v>
      </c>
      <c r="AR20">
        <f>Table3[[#This Row],[PTS2]]+(3 * Table3[[#This Row],[GR]] * Table3[[#This Row],[PTS%2]])</f>
        <v>117.14285714285714</v>
      </c>
      <c r="AS20" s="20" t="str">
        <f>_xlfn.CONCAT(TEXT(Table3[[#This Row],[W]], "0"), "-", TEXT(Table3[[#This Row],[RL]],"0"), "-", TEXT(Table3[[#This Row],[OTL]]+Table3[[#This Row],[SOL]], "0"))</f>
        <v>20-18-4</v>
      </c>
      <c r="AT20">
        <f>COUNTIFS(DataRegularSeason20242025!$D$3:$D$1315,Table3[[#This Row],[Teams]],DataRegularSeason20242025!$K$3:$K$1315,0)</f>
        <v>1</v>
      </c>
      <c r="AU20">
        <f>SUMIF(DataRegularSeason20242025!$D$3:$D$1315,$A20, DataRegularSeason20242025!$J$3:$J$1315)</f>
        <v>51</v>
      </c>
      <c r="AV20">
        <f>SUMIF(DataRegularSeason20242025!$D$3:$D$1315,$A20, DataRegularSeason20242025!$K$3:$K$1315)</f>
        <v>59</v>
      </c>
      <c r="AW20">
        <f>AU20-AV20</f>
        <v>-8</v>
      </c>
      <c r="AX20">
        <f>COUNTIFS(DataRegularSeason20242025!$E$3:$E$1315,Table3[[#This Row],[Teams]],DataRegularSeason20242025!$J$3:$J$1315,0)</f>
        <v>1</v>
      </c>
      <c r="AY20">
        <f>SUMIF(DataRegularSeason20242025!$E$3:$E$1315,$A20,DataRegularSeason20242025!$K$3:$K$1315)</f>
        <v>68</v>
      </c>
      <c r="AZ20">
        <f>SUMIF(DataRegularSeason20242025!$E$3:$E$1315,$A20,DataRegularSeason20242025!$J$3:$J$1315)</f>
        <v>75</v>
      </c>
      <c r="BA20">
        <f>AY20-AZ20</f>
        <v>-7</v>
      </c>
      <c r="BB20">
        <f>AU20+AY20</f>
        <v>119</v>
      </c>
      <c r="BC20">
        <f>AV20+AZ20</f>
        <v>134</v>
      </c>
      <c r="BD20">
        <f>BB20-BC20</f>
        <v>-15</v>
      </c>
      <c r="BE20" s="17">
        <f>Table3[[#This Row],[GF]]/Table3[[#This Row],[GP]]</f>
        <v>2.8333333333333335</v>
      </c>
      <c r="BF20" s="17">
        <f>Table3[[#This Row],[GA]]/Table3[[#This Row],[GP]]</f>
        <v>3.1904761904761907</v>
      </c>
      <c r="BG20" s="17">
        <f>(Table3[[#This Row],[GF]]-Table3[[#This Row],[GA]])/Table3[[#This Row],[GP]]</f>
        <v>-0.35714285714285715</v>
      </c>
      <c r="BH20" s="50" t="str">
        <f>_xlfn.CONCAT(TEXT(Table3[[#This Row],[W_H]], "0"), "-", TEXT(Table3[[#This Row],[RL_H]],"0"), "-", TEXT(Table3[[#This Row],[OTL_H]]+Table3[[#This Row],[SOL_H]], "0"))</f>
        <v>12-10-2</v>
      </c>
      <c r="BI20" s="50" t="str">
        <f>_xlfn.CONCAT(TEXT(Table3[[#This Row],[W_A]], "0"), "-", TEXT(Table3[[#This Row],[RL_A]],"0"), "-", TEXT(Table3[[#This Row],[OTL_A]]+Table3[[#This Row],[SOL_A]], "0"))</f>
        <v>8-8-2</v>
      </c>
      <c r="BJ20" s="50">
        <f>((2*(Table3[[#This Row],[W_H]]))+Table3[[#This Row],[OTL_H]]+Table3[[#This Row],[SOL_H]])/(2*Table3[[#This Row],[GP_H]])</f>
        <v>0.54166666666666663</v>
      </c>
      <c r="BK20" s="50">
        <f>((2*(Table3[[#This Row],[W_A]]))+Table3[[#This Row],[OTL_A]]+Table3[[#This Row],[SOL_A]])/(2*Table3[[#This Row],[GP_A]])</f>
        <v>0.5</v>
      </c>
      <c r="BL20" s="21">
        <f>(Table3[[#This Row],[W]]*$CE$3)+(Table3[[#This Row],[L]]*$CE$4)+(Table3[[#This Row],[GF]]*$CE$5)+(Table3[[#This Row],[GA]]*$CE$6)</f>
        <v>47.85</v>
      </c>
      <c r="BM20" s="21">
        <f>(82*(((Table3[[#This Row],[PTS%]]*$CE$3)+((1-Table3[[#This Row],[PTS%]])*$CE$4)+(Table3[[#This Row],[GF]]*$CE$5)+(Table3[[#This Row],[GA]]*$CE$6))/Table3[[#This Row],[GP]])) + (Table3[[#This Row],[W]]*$CE$3)+(Table3[[#This Row],[L]]*$CE$4)+(Table3[[#This Row],[GF]]*$CE$5)+(Table3[[#This Row],[GA]]*$CE$6)</f>
        <v>109.65215419501133</v>
      </c>
      <c r="BN20">
        <f>COUNTIFS(DataRegularSeason20242025!$D$3:$D$1315,$A20,DataRegularSeason20242025!$H$3:$H$1315, $A20)</f>
        <v>4</v>
      </c>
      <c r="BO20">
        <f>COUNTIFS(DataRegularSeason20242025!$E$3:$E$1315,$A20,DataRegularSeason20242025!$H$3:$H$1315, $A20)</f>
        <v>7</v>
      </c>
      <c r="BP20">
        <f>BN20+BO20</f>
        <v>11</v>
      </c>
      <c r="BQ20">
        <f>F20-BN20</f>
        <v>14</v>
      </c>
      <c r="BR20">
        <f>H20-BO20</f>
        <v>17</v>
      </c>
      <c r="BS20">
        <f>BQ20+BR20</f>
        <v>31</v>
      </c>
      <c r="BV20">
        <v>2008</v>
      </c>
    </row>
    <row r="21" spans="1:77"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42</v>
      </c>
      <c r="E21" s="15">
        <f>Table3[[#This Row],[Watched]]/Table3[[#This Row],[GP]]</f>
        <v>0.93333333333333335</v>
      </c>
      <c r="F21">
        <f>COUNTIFS(DataRegularSeason20242025!$N$3:$N$1315,1,DataRegularSeason20242025!$D$3:$D$1315,$A21)</f>
        <v>23</v>
      </c>
      <c r="G21">
        <f>41-Table3[[#This Row],[GP_A]]</f>
        <v>18</v>
      </c>
      <c r="H21">
        <f>COUNTIFS(DataRegularSeason20242025!$E$3:$E$1315,$A21,DataRegularSeason20242025!$N$3:$N$1315,1)</f>
        <v>22</v>
      </c>
      <c r="I21">
        <f>41-Table3[[#This Row],[GP_H]]</f>
        <v>19</v>
      </c>
      <c r="J21">
        <f>F21+H21</f>
        <v>45</v>
      </c>
      <c r="K21">
        <f>82-Table3[[#This Row],[GP]]</f>
        <v>37</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14</v>
      </c>
      <c r="Q21">
        <f>COUNTIFS(DataRegularSeason20242025!$D$3:$D$1315,$A21, DataRegularSeason20242025!$S$3:$S$1315, $A21,DataRegularSeason20242025!$M$3:$M$1315,"REG")</f>
        <v>12</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7</v>
      </c>
      <c r="V21">
        <f>COUNTIFS(DataRegularSeason20242025!$E$3:$E$1315,$A21, DataRegularSeason20242025!$L$3:$L$1315, $A21,DataRegularSeason20242025!$N$3:$N$1315,1,DataRegularSeason20242025!$M$3:$M$1315,"OT")</f>
        <v>5</v>
      </c>
      <c r="W21">
        <f>COUNTIFS(DataRegularSeason20242025!$E$3:$E$1315,$A21, DataRegularSeason20242025!$L$3:$L$1315, $A21,DataRegularSeason20242025!$N$3:$N$1315,1,DataRegularSeason20242025!$M$3:$M$1315,"SO")</f>
        <v>0</v>
      </c>
      <c r="X21">
        <f>H21-T21</f>
        <v>10</v>
      </c>
      <c r="Y21">
        <f>COUNTIFS(DataRegularSeason20242025!$E$3:$E$1315,$A21, DataRegularSeason20242025!$S$3:$S$1315, $A21,DataRegularSeason20242025!$M$3:$M$1315,"REG")</f>
        <v>7</v>
      </c>
      <c r="Z21">
        <f>COUNTIFS(DataRegularSeason20242025!$E$3:$E$1315,$A21, DataRegularSeason20242025!$S$3:$S$1315, $A21,DataRegularSeason20242025!$M$3:$M$1315,"OT")</f>
        <v>3</v>
      </c>
      <c r="AA21">
        <f>COUNTIFS(DataRegularSeason20242025!$E$3:$E$1315,$A21, DataRegularSeason20242025!$S$3:$S$1315, $A21,DataRegularSeason20242025!$M$3:$M$1315,"SO")</f>
        <v>0</v>
      </c>
      <c r="AB21">
        <f>Table3[[#This Row],[W_A]]+Table3[[#This Row],[W_H]]</f>
        <v>21</v>
      </c>
      <c r="AC21">
        <f>Table3[[#This Row],[L_A]]+Table3[[#This Row],[L_H]]</f>
        <v>24</v>
      </c>
      <c r="AD21">
        <f>Table3[[#This Row],[RW_A]]+Table3[[#This Row],[RW_H]]</f>
        <v>14</v>
      </c>
      <c r="AE21">
        <f>Table3[[#This Row],[RL_A]]+Table3[[#This Row],[RL_H]]</f>
        <v>19</v>
      </c>
      <c r="AF21">
        <f>Table3[[#This Row],[OTW_A]]+Table3[[#This Row],[OTW_H]]</f>
        <v>7</v>
      </c>
      <c r="AG21">
        <f>Table3[[#This Row],[OTL_A]]+Table3[[#This Row],[OTL_H]]</f>
        <v>5</v>
      </c>
      <c r="AH21">
        <f>Table3[[#This Row],[SOW_A]]+Table3[[#This Row],[SOW_H]]</f>
        <v>0</v>
      </c>
      <c r="AI21">
        <f>Table3[[#This Row],[SOL_A]]+Table3[[#This Row],[SOL_H]]</f>
        <v>0</v>
      </c>
      <c r="AJ21" s="20" t="str">
        <f>_xlfn.CONCAT(TEXT(Table3[[#This Row],[OTW]]+Table3[[#This Row],[SOW]], "0"), "-", TEXT(Table3[[#This Row],[OTL]]+Table3[[#This Row],[SOL]],"0"))</f>
        <v>7-5</v>
      </c>
      <c r="AK21">
        <f>(2*(Table3[[#This Row],[W_A]]+Table3[[#This Row],[W_H]]))+Table3[[#This Row],[OTL_A]]+Table3[[#This Row],[SOL_A]]+Table3[[#This Row],[OTL_H]]+Table3[[#This Row],[SOL_H]]</f>
        <v>47</v>
      </c>
      <c r="AL21">
        <f>(3*(Table3[[#This Row],[RW_A]]+Table3[[#This Row],[RW_H]]))+(2*(Table3[[#This Row],[OTW_A]]+Table3[[#This Row],[SOW_A]]+Table3[[#This Row],[OTW_H]]+Table3[[#This Row],[SOW_H]]))+Table3[[#This Row],[OTL_A]]+Table3[[#This Row],[SOL_A]]+Table3[[#This Row],[OTL_H]]+Table3[[#This Row],[SOL_H]]</f>
        <v>61</v>
      </c>
      <c r="AM21" s="15">
        <f>Table3[[#This Row],[PTS]]/(2*Table3[[#This Row],[GP]])</f>
        <v>0.52222222222222225</v>
      </c>
      <c r="AN21" s="15">
        <f>Table3[[#This Row],[PTS2]]/(3*Table3[[#This Row],[GP]])</f>
        <v>0.45185185185185184</v>
      </c>
      <c r="AO21">
        <f>(2*Table3[[#This Row],[GR]])+Table3[[#This Row],[PTS]]</f>
        <v>121</v>
      </c>
      <c r="AP21">
        <f>(3*Table3[[#This Row],[GR]])+Table3[[#This Row],[PTS2]]</f>
        <v>172</v>
      </c>
      <c r="AQ21">
        <f>Table3[[#This Row],[PTS]]+(2 * Table3[[#This Row],[GR]] * Table3[[#This Row],[PTS%]])</f>
        <v>85.644444444444446</v>
      </c>
      <c r="AR21">
        <f>Table3[[#This Row],[PTS2]]+(3 * Table3[[#This Row],[GR]] * Table3[[#This Row],[PTS%2]])</f>
        <v>111.15555555555555</v>
      </c>
      <c r="AS21" s="20" t="str">
        <f>_xlfn.CONCAT(TEXT(Table3[[#This Row],[W]], "0"), "-", TEXT(Table3[[#This Row],[RL]],"0"), "-", TEXT(Table3[[#This Row],[OTL]]+Table3[[#This Row],[SOL]], "0"))</f>
        <v>21-19-5</v>
      </c>
      <c r="AT21">
        <f>COUNTIFS(DataRegularSeason20242025!$D$3:$D$1315,Table3[[#This Row],[Teams]],DataRegularSeason20242025!$K$3:$K$1315,0)</f>
        <v>1</v>
      </c>
      <c r="AU21">
        <f>SUMIF(DataRegularSeason20242025!$D$3:$D$1315,$A21, DataRegularSeason20242025!$J$3:$J$1315)</f>
        <v>58</v>
      </c>
      <c r="AV21">
        <f>SUMIF(DataRegularSeason20242025!$D$3:$D$1315,$A21, DataRegularSeason20242025!$K$3:$K$1315)</f>
        <v>86</v>
      </c>
      <c r="AW21">
        <f>AU21-AV21</f>
        <v>-28</v>
      </c>
      <c r="AX21">
        <f>COUNTIFS(DataRegularSeason20242025!$E$3:$E$1315,Table3[[#This Row],[Teams]],DataRegularSeason20242025!$J$3:$J$1315,0)</f>
        <v>4</v>
      </c>
      <c r="AY21">
        <f>SUMIF(DataRegularSeason20242025!$E$3:$E$1315,$A21,DataRegularSeason20242025!$K$3:$K$1315)</f>
        <v>60</v>
      </c>
      <c r="AZ21">
        <f>SUMIF(DataRegularSeason20242025!$E$3:$E$1315,$A21,DataRegularSeason20242025!$J$3:$J$1315)</f>
        <v>56</v>
      </c>
      <c r="BA21">
        <f>AY21-AZ21</f>
        <v>4</v>
      </c>
      <c r="BB21">
        <f>AU21+AY21</f>
        <v>118</v>
      </c>
      <c r="BC21">
        <f>AV21+AZ21</f>
        <v>142</v>
      </c>
      <c r="BD21">
        <f>BB21-BC21</f>
        <v>-24</v>
      </c>
      <c r="BE21" s="17">
        <f>Table3[[#This Row],[GF]]/Table3[[#This Row],[GP]]</f>
        <v>2.6222222222222222</v>
      </c>
      <c r="BF21" s="17">
        <f>Table3[[#This Row],[GA]]/Table3[[#This Row],[GP]]</f>
        <v>3.1555555555555554</v>
      </c>
      <c r="BG21" s="17">
        <f>(Table3[[#This Row],[GF]]-Table3[[#This Row],[GA]])/Table3[[#This Row],[GP]]</f>
        <v>-0.53333333333333333</v>
      </c>
      <c r="BH21" s="50" t="str">
        <f>_xlfn.CONCAT(TEXT(Table3[[#This Row],[W_H]], "0"), "-", TEXT(Table3[[#This Row],[RL_H]],"0"), "-", TEXT(Table3[[#This Row],[OTL_H]]+Table3[[#This Row],[SOL_H]], "0"))</f>
        <v>12-7-3</v>
      </c>
      <c r="BI21" s="50" t="str">
        <f>_xlfn.CONCAT(TEXT(Table3[[#This Row],[W_A]], "0"), "-", TEXT(Table3[[#This Row],[RL_A]],"0"), "-", TEXT(Table3[[#This Row],[OTL_A]]+Table3[[#This Row],[SOL_A]], "0"))</f>
        <v>9-12-2</v>
      </c>
      <c r="BJ21" s="50">
        <f>((2*(Table3[[#This Row],[W_H]]))+Table3[[#This Row],[OTL_H]]+Table3[[#This Row],[SOL_H]])/(2*Table3[[#This Row],[GP_H]])</f>
        <v>0.61363636363636365</v>
      </c>
      <c r="BK21" s="50">
        <f>((2*(Table3[[#This Row],[W_A]]))+Table3[[#This Row],[OTL_A]]+Table3[[#This Row],[SOL_A]])/(2*Table3[[#This Row],[GP_A]])</f>
        <v>0.43478260869565216</v>
      </c>
      <c r="BL21" s="21">
        <f>(Table3[[#This Row],[W]]*$CE$3)+(Table3[[#This Row],[L]]*$CE$4)+(Table3[[#This Row],[GF]]*$CE$5)+(Table3[[#This Row],[GA]]*$CE$6)</f>
        <v>49.6</v>
      </c>
      <c r="BM21" s="21">
        <f>(82*(((Table3[[#This Row],[PTS%]]*$CE$3)+((1-Table3[[#This Row],[PTS%]])*$CE$4)+(Table3[[#This Row],[GF]]*$CE$5)+(Table3[[#This Row],[GA]]*$CE$6))/Table3[[#This Row],[GP]])) + (Table3[[#This Row],[W]]*$CE$3)+(Table3[[#This Row],[L]]*$CE$4)+(Table3[[#This Row],[GF]]*$CE$5)+(Table3[[#This Row],[GA]]*$CE$6)</f>
        <v>108.46587654320989</v>
      </c>
      <c r="BN21">
        <f>COUNTIFS(DataRegularSeason20242025!$D$3:$D$1315,$A21,DataRegularSeason20242025!$H$3:$H$1315, $A21)</f>
        <v>9</v>
      </c>
      <c r="BO21">
        <f>COUNTIFS(DataRegularSeason20242025!$E$3:$E$1315,$A21,DataRegularSeason20242025!$H$3:$H$1315, $A21)</f>
        <v>10</v>
      </c>
      <c r="BP21">
        <f>BN21+BO21</f>
        <v>19</v>
      </c>
      <c r="BQ21">
        <f>F21-BN21</f>
        <v>14</v>
      </c>
      <c r="BR21">
        <f>H21-BO21</f>
        <v>12</v>
      </c>
      <c r="BS21">
        <f>BQ21+BR21</f>
        <v>26</v>
      </c>
      <c r="BV21">
        <v>2011</v>
      </c>
    </row>
    <row r="22" spans="1:77"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36</v>
      </c>
      <c r="E22" s="15">
        <f>Table3[[#This Row],[Watched]]/Table3[[#This Row],[GP]]</f>
        <v>0.83720930232558144</v>
      </c>
      <c r="F22">
        <f>COUNTIFS(DataRegularSeason20242025!$N$3:$N$1315,1,DataRegularSeason20242025!$D$3:$D$1315,$A22)</f>
        <v>23</v>
      </c>
      <c r="G22">
        <f>41-Table3[[#This Row],[GP_A]]</f>
        <v>18</v>
      </c>
      <c r="H22">
        <f>COUNTIFS(DataRegularSeason20242025!$E$3:$E$1315,$A22,DataRegularSeason20242025!$N$3:$N$1315,1)</f>
        <v>20</v>
      </c>
      <c r="I22">
        <f>41-Table3[[#This Row],[GP_H]]</f>
        <v>21</v>
      </c>
      <c r="J22">
        <f>F22+H22</f>
        <v>43</v>
      </c>
      <c r="K22">
        <f>82-Table3[[#This Row],[GP]]</f>
        <v>39</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14</v>
      </c>
      <c r="Y22">
        <f>COUNTIFS(DataRegularSeason20242025!$E$3:$E$1315,$A22, DataRegularSeason20242025!$S$3:$S$1315, $A22,DataRegularSeason20242025!$M$3:$M$1315,"REG")</f>
        <v>10</v>
      </c>
      <c r="Z22">
        <f>COUNTIFS(DataRegularSeason20242025!$E$3:$E$1315,$A22, DataRegularSeason20242025!$S$3:$S$1315, $A22,DataRegularSeason20242025!$M$3:$M$1315,"OT")</f>
        <v>2</v>
      </c>
      <c r="AA22">
        <f>COUNTIFS(DataRegularSeason20242025!$E$3:$E$1315,$A22, DataRegularSeason20242025!$S$3:$S$1315, $A22,DataRegularSeason20242025!$M$3:$M$1315,"SO")</f>
        <v>2</v>
      </c>
      <c r="AB22">
        <f>Table3[[#This Row],[W_A]]+Table3[[#This Row],[W_H]]</f>
        <v>18</v>
      </c>
      <c r="AC22">
        <f>Table3[[#This Row],[L_A]]+Table3[[#This Row],[L_H]]</f>
        <v>25</v>
      </c>
      <c r="AD22">
        <f>Table3[[#This Row],[RW_A]]+Table3[[#This Row],[RW_H]]</f>
        <v>13</v>
      </c>
      <c r="AE22">
        <f>Table3[[#This Row],[RL_A]]+Table3[[#This Row],[RL_H]]</f>
        <v>18</v>
      </c>
      <c r="AF22">
        <f>Table3[[#This Row],[OTW_A]]+Table3[[#This Row],[OTW_H]]</f>
        <v>5</v>
      </c>
      <c r="AG22">
        <f>Table3[[#This Row],[OTL_A]]+Table3[[#This Row],[OTL_H]]</f>
        <v>5</v>
      </c>
      <c r="AH22">
        <f>Table3[[#This Row],[SOW_A]]+Table3[[#This Row],[SOW_H]]</f>
        <v>0</v>
      </c>
      <c r="AI22">
        <f>Table3[[#This Row],[SOL_A]]+Table3[[#This Row],[SOL_H]]</f>
        <v>2</v>
      </c>
      <c r="AJ22" s="20" t="str">
        <f>_xlfn.CONCAT(TEXT(Table3[[#This Row],[OTW]]+Table3[[#This Row],[SOW]], "0"), "-", TEXT(Table3[[#This Row],[OTL]]+Table3[[#This Row],[SOL]],"0"))</f>
        <v>5-7</v>
      </c>
      <c r="AK22">
        <f>(2*(Table3[[#This Row],[W_A]]+Table3[[#This Row],[W_H]]))+Table3[[#This Row],[OTL_A]]+Table3[[#This Row],[SOL_A]]+Table3[[#This Row],[OTL_H]]+Table3[[#This Row],[SOL_H]]</f>
        <v>43</v>
      </c>
      <c r="AL22">
        <f>(3*(Table3[[#This Row],[RW_A]]+Table3[[#This Row],[RW_H]]))+(2*(Table3[[#This Row],[OTW_A]]+Table3[[#This Row],[SOW_A]]+Table3[[#This Row],[OTW_H]]+Table3[[#This Row],[SOW_H]]))+Table3[[#This Row],[OTL_A]]+Table3[[#This Row],[SOL_A]]+Table3[[#This Row],[OTL_H]]+Table3[[#This Row],[SOL_H]]</f>
        <v>56</v>
      </c>
      <c r="AM22" s="15">
        <f>Table3[[#This Row],[PTS]]/(2*Table3[[#This Row],[GP]])</f>
        <v>0.5</v>
      </c>
      <c r="AN22" s="15">
        <f>Table3[[#This Row],[PTS2]]/(3*Table3[[#This Row],[GP]])</f>
        <v>0.43410852713178294</v>
      </c>
      <c r="AO22">
        <f>(2*Table3[[#This Row],[GR]])+Table3[[#This Row],[PTS]]</f>
        <v>121</v>
      </c>
      <c r="AP22">
        <f>(3*Table3[[#This Row],[GR]])+Table3[[#This Row],[PTS2]]</f>
        <v>173</v>
      </c>
      <c r="AQ22">
        <f>Table3[[#This Row],[PTS]]+(2 * Table3[[#This Row],[GR]] * Table3[[#This Row],[PTS%]])</f>
        <v>82</v>
      </c>
      <c r="AR22">
        <f>Table3[[#This Row],[PTS2]]+(3 * Table3[[#This Row],[GR]] * Table3[[#This Row],[PTS%2]])</f>
        <v>106.7906976744186</v>
      </c>
      <c r="AS22" s="20" t="str">
        <f>_xlfn.CONCAT(TEXT(Table3[[#This Row],[W]], "0"), "-", TEXT(Table3[[#This Row],[RL]],"0"), "-", TEXT(Table3[[#This Row],[OTL]]+Table3[[#This Row],[SOL]], "0"))</f>
        <v>18-18-7</v>
      </c>
      <c r="AT22">
        <f>COUNTIFS(DataRegularSeason20242025!$D$3:$D$1315,Table3[[#This Row],[Teams]],DataRegularSeason20242025!$K$3:$K$1315,0)</f>
        <v>1</v>
      </c>
      <c r="AU22">
        <f>SUMIF(DataRegularSeason20242025!$D$3:$D$1315,$A22, DataRegularSeason20242025!$J$3:$J$1315)</f>
        <v>70</v>
      </c>
      <c r="AV22">
        <f>SUMIF(DataRegularSeason20242025!$D$3:$D$1315,$A22, DataRegularSeason20242025!$K$3:$K$1315)</f>
        <v>64</v>
      </c>
      <c r="AW22">
        <f>AU22-AV22</f>
        <v>6</v>
      </c>
      <c r="AX22">
        <f>COUNTIFS(DataRegularSeason20242025!$E$3:$E$1315,Table3[[#This Row],[Teams]],DataRegularSeason20242025!$J$3:$J$1315,0)</f>
        <v>0</v>
      </c>
      <c r="AY22">
        <f>SUMIF(DataRegularSeason20242025!$E$3:$E$1315,$A22,DataRegularSeason20242025!$K$3:$K$1315)</f>
        <v>50</v>
      </c>
      <c r="AZ22">
        <f>SUMIF(DataRegularSeason20242025!$E$3:$E$1315,$A22,DataRegularSeason20242025!$J$3:$J$1315)</f>
        <v>66</v>
      </c>
      <c r="BA22">
        <f>AY22-AZ22</f>
        <v>-16</v>
      </c>
      <c r="BB22">
        <f>AU22+AY22</f>
        <v>120</v>
      </c>
      <c r="BC22">
        <f>AV22+AZ22</f>
        <v>130</v>
      </c>
      <c r="BD22">
        <f>BB22-BC22</f>
        <v>-10</v>
      </c>
      <c r="BE22" s="17">
        <f>Table3[[#This Row],[GF]]/Table3[[#This Row],[GP]]</f>
        <v>2.7906976744186047</v>
      </c>
      <c r="BF22" s="17">
        <f>Table3[[#This Row],[GA]]/Table3[[#This Row],[GP]]</f>
        <v>3.0232558139534884</v>
      </c>
      <c r="BG22" s="17">
        <f>(Table3[[#This Row],[GF]]-Table3[[#This Row],[GA]])/Table3[[#This Row],[GP]]</f>
        <v>-0.23255813953488372</v>
      </c>
      <c r="BH22" s="50" t="str">
        <f>_xlfn.CONCAT(TEXT(Table3[[#This Row],[W_H]], "0"), "-", TEXT(Table3[[#This Row],[RL_H]],"0"), "-", TEXT(Table3[[#This Row],[OTL_H]]+Table3[[#This Row],[SOL_H]], "0"))</f>
        <v>6-10-4</v>
      </c>
      <c r="BI22" s="50" t="str">
        <f>_xlfn.CONCAT(TEXT(Table3[[#This Row],[W_A]], "0"), "-", TEXT(Table3[[#This Row],[RL_A]],"0"), "-", TEXT(Table3[[#This Row],[OTL_A]]+Table3[[#This Row],[SOL_A]], "0"))</f>
        <v>12-8-3</v>
      </c>
      <c r="BJ22" s="50">
        <f>((2*(Table3[[#This Row],[W_H]]))+Table3[[#This Row],[OTL_H]]+Table3[[#This Row],[SOL_H]])/(2*Table3[[#This Row],[GP_H]])</f>
        <v>0.4</v>
      </c>
      <c r="BK22" s="50">
        <f>((2*(Table3[[#This Row],[W_A]]))+Table3[[#This Row],[OTL_A]]+Table3[[#This Row],[SOL_A]])/(2*Table3[[#This Row],[GP_A]])</f>
        <v>0.58695652173913049</v>
      </c>
      <c r="BL22" s="21">
        <f>(Table3[[#This Row],[W]]*$CE$3)+(Table3[[#This Row],[L]]*$CE$4)+(Table3[[#This Row],[GF]]*$CE$5)+(Table3[[#This Row],[GA]]*$CE$6)</f>
        <v>47.5</v>
      </c>
      <c r="BM22" s="21">
        <f>(82*(((Table3[[#This Row],[PTS%]]*$CE$3)+((1-Table3[[#This Row],[PTS%]])*$CE$4)+(Table3[[#This Row],[GF]]*$CE$5)+(Table3[[#This Row],[GA]]*$CE$6))/Table3[[#This Row],[GP]])) + (Table3[[#This Row],[W]]*$CE$3)+(Table3[[#This Row],[L]]*$CE$4)+(Table3[[#This Row],[GF]]*$CE$5)+(Table3[[#This Row],[GA]]*$CE$6)</f>
        <v>107.37906976744185</v>
      </c>
      <c r="BN22">
        <f>COUNTIFS(DataRegularSeason20242025!$D$3:$D$1315,$A22,DataRegularSeason20242025!$H$3:$H$1315, $A22)</f>
        <v>7</v>
      </c>
      <c r="BO22">
        <f>COUNTIFS(DataRegularSeason20242025!$E$3:$E$1315,$A22,DataRegularSeason20242025!$H$3:$H$1315, $A22)</f>
        <v>6</v>
      </c>
      <c r="BP22">
        <f>BN22+BO22</f>
        <v>13</v>
      </c>
      <c r="BQ22">
        <f>F22-BN22</f>
        <v>16</v>
      </c>
      <c r="BR22">
        <f>H22-BO22</f>
        <v>14</v>
      </c>
      <c r="BS22">
        <f>BQ22+BR22</f>
        <v>30</v>
      </c>
    </row>
    <row r="23" spans="1:77"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F23+H23</f>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6-4</v>
      </c>
      <c r="AK23">
        <f>(2*(Table3[[#This Row],[W_A]]+Table3[[#This Row],[W_H]]))+Table3[[#This Row],[OTL_A]]+Table3[[#This Row],[SOL_A]]+Table3[[#This Row],[OTL_H]]+Table3[[#This Row],[SOL_H]]</f>
        <v>44</v>
      </c>
      <c r="AL23">
        <f>(3*(Table3[[#This Row],[RW_A]]+Table3[[#This Row],[RW_H]]))+(2*(Table3[[#This Row],[OTW_A]]+Table3[[#This Row],[SOW_A]]+Table3[[#This Row],[OTW_H]]+Table3[[#This Row],[SOW_H]]))+Table3[[#This Row],[OTL_A]]+Table3[[#This Row],[SOL_A]]+Table3[[#This Row],[OTL_H]]+Table3[[#This Row],[SOL_H]]</f>
        <v>58</v>
      </c>
      <c r="AM23" s="15">
        <f>Table3[[#This Row],[PTS]]/(2*Table3[[#This Row],[GP]])</f>
        <v>0.5</v>
      </c>
      <c r="AN23" s="15">
        <f>Table3[[#This Row],[PTS2]]/(3*Table3[[#This Row],[GP]])</f>
        <v>0.43939393939393939</v>
      </c>
      <c r="AO23">
        <f>(2*Table3[[#This Row],[GR]])+Table3[[#This Row],[PTS]]</f>
        <v>120</v>
      </c>
      <c r="AP23">
        <f>(3*Table3[[#This Row],[GR]])+Table3[[#This Row],[PTS2]]</f>
        <v>172</v>
      </c>
      <c r="AQ23">
        <f>Table3[[#This Row],[PTS]]+(2 * Table3[[#This Row],[GR]] * Table3[[#This Row],[PTS%]])</f>
        <v>82</v>
      </c>
      <c r="AR23">
        <f>Table3[[#This Row],[PTS2]]+(3 * Table3[[#This Row],[GR]] * Table3[[#This Row],[PTS%2]])</f>
        <v>108.09090909090909</v>
      </c>
      <c r="AS23" s="20" t="str">
        <f>_xlfn.CONCAT(TEXT(Table3[[#This Row],[W]], "0"), "-", TEXT(Table3[[#This Row],[RL]],"0"), "-", TEXT(Table3[[#This Row],[OTL]]+Table3[[#This Row],[SOL]], "0"))</f>
        <v>20-20-4</v>
      </c>
      <c r="AT23">
        <f>COUNTIFS(DataRegularSeason20242025!$D$3:$D$1315,Table3[[#This Row],[Teams]],DataRegularSeason20242025!$K$3:$K$1315,0)</f>
        <v>2</v>
      </c>
      <c r="AU23">
        <f>SUMIF(DataRegularSeason20242025!$D$3:$D$1315,$A23, DataRegularSeason20242025!$J$3:$J$1315)</f>
        <v>71</v>
      </c>
      <c r="AV23">
        <f>SUMIF(DataRegularSeason20242025!$D$3:$D$1315,$A23, DataRegularSeason20242025!$K$3:$K$1315)</f>
        <v>73</v>
      </c>
      <c r="AW23">
        <f>AU23-AV23</f>
        <v>-2</v>
      </c>
      <c r="AX23">
        <f>COUNTIFS(DataRegularSeason20242025!$E$3:$E$1315,Table3[[#This Row],[Teams]],DataRegularSeason20242025!$J$3:$J$1315,0)</f>
        <v>2</v>
      </c>
      <c r="AY23">
        <f>SUMIF(DataRegularSeason20242025!$E$3:$E$1315,$A23,DataRegularSeason20242025!$K$3:$K$1315)</f>
        <v>54</v>
      </c>
      <c r="AZ23">
        <f>SUMIF(DataRegularSeason20242025!$E$3:$E$1315,$A23,DataRegularSeason20242025!$J$3:$J$1315)</f>
        <v>60</v>
      </c>
      <c r="BA23">
        <f>AY23-AZ23</f>
        <v>-6</v>
      </c>
      <c r="BB23">
        <f>AU23+AY23</f>
        <v>125</v>
      </c>
      <c r="BC23">
        <f>AV23+AZ23</f>
        <v>133</v>
      </c>
      <c r="BD23">
        <f>BB23-BC23</f>
        <v>-8</v>
      </c>
      <c r="BE23" s="17">
        <f>Table3[[#This Row],[GF]]/Table3[[#This Row],[GP]]</f>
        <v>2.8409090909090908</v>
      </c>
      <c r="BF23" s="17">
        <f>Table3[[#This Row],[GA]]/Table3[[#This Row],[GP]]</f>
        <v>3.0227272727272729</v>
      </c>
      <c r="BG23" s="17">
        <f>(Table3[[#This Row],[GF]]-Table3[[#This Row],[GA]])/Table3[[#This Row],[GP]]</f>
        <v>-0.18181818181818182</v>
      </c>
      <c r="BH23" s="50" t="str">
        <f>_xlfn.CONCAT(TEXT(Table3[[#This Row],[W_H]], "0"), "-", TEXT(Table3[[#This Row],[RL_H]],"0"), "-", TEXT(Table3[[#This Row],[OTL_H]]+Table3[[#This Row],[SOL_H]], "0"))</f>
        <v>9-10-1</v>
      </c>
      <c r="BI23" s="50" t="str">
        <f>_xlfn.CONCAT(TEXT(Table3[[#This Row],[W_A]], "0"), "-", TEXT(Table3[[#This Row],[RL_A]],"0"), "-", TEXT(Table3[[#This Row],[OTL_A]]+Table3[[#This Row],[SOL_A]], "0"))</f>
        <v>11-10-3</v>
      </c>
      <c r="BJ23" s="50">
        <f>((2*(Table3[[#This Row],[W_H]]))+Table3[[#This Row],[OTL_H]]+Table3[[#This Row],[SOL_H]])/(2*Table3[[#This Row],[GP_H]])</f>
        <v>0.47499999999999998</v>
      </c>
      <c r="BK23" s="50">
        <f>((2*(Table3[[#This Row],[W_A]]))+Table3[[#This Row],[OTL_A]]+Table3[[#This Row],[SOL_A]])/(2*Table3[[#This Row],[GP_A]])</f>
        <v>0.52083333333333337</v>
      </c>
      <c r="BL23" s="21">
        <f>(Table3[[#This Row],[W]]*$CE$3)+(Table3[[#This Row],[L]]*$CE$4)+(Table3[[#This Row],[GF]]*$CE$5)+(Table3[[#This Row],[GA]]*$CE$6)</f>
        <v>49.25</v>
      </c>
      <c r="BM23" s="21">
        <f>(82*(((Table3[[#This Row],[PTS%]]*$CE$3)+((1-Table3[[#This Row],[PTS%]])*$CE$4)+(Table3[[#This Row],[GF]]*$CE$5)+(Table3[[#This Row],[GA]]*$CE$6))/Table3[[#This Row],[GP]])) + (Table3[[#This Row],[W]]*$CE$3)+(Table3[[#This Row],[L]]*$CE$4)+(Table3[[#This Row],[GF]]*$CE$5)+(Table3[[#This Row],[GA]]*$CE$6)</f>
        <v>109.72499999999999</v>
      </c>
      <c r="BN23">
        <f>COUNTIFS(DataRegularSeason20242025!$D$3:$D$1315,$A23,DataRegularSeason20242025!$H$3:$H$1315, $A23)</f>
        <v>10</v>
      </c>
      <c r="BO23">
        <f>COUNTIFS(DataRegularSeason20242025!$E$3:$E$1315,$A23,DataRegularSeason20242025!$H$3:$H$1315, $A23)</f>
        <v>11</v>
      </c>
      <c r="BP23">
        <f>BN23+BO23</f>
        <v>21</v>
      </c>
      <c r="BQ23">
        <f>F23-BN23</f>
        <v>14</v>
      </c>
      <c r="BR23">
        <f>H23-BO23</f>
        <v>9</v>
      </c>
      <c r="BS23">
        <f>BQ23+BR23</f>
        <v>23</v>
      </c>
      <c r="BV23">
        <v>2019</v>
      </c>
    </row>
    <row r="24" spans="1:77"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35</v>
      </c>
      <c r="E24" s="15">
        <f>Table3[[#This Row],[Watched]]/Table3[[#This Row],[GP]]</f>
        <v>0.83333333333333337</v>
      </c>
      <c r="F24">
        <f>COUNTIFS(DataRegularSeason20242025!$N$3:$N$1315,1,DataRegularSeason20242025!$D$3:$D$1315,$A24)</f>
        <v>22</v>
      </c>
      <c r="G24">
        <f>41-Table3[[#This Row],[GP_A]]</f>
        <v>19</v>
      </c>
      <c r="H24">
        <f>COUNTIFS(DataRegularSeason20242025!$E$3:$E$1315,$A24,DataRegularSeason20242025!$N$3:$N$1315,1)</f>
        <v>20</v>
      </c>
      <c r="I24">
        <f>41-Table3[[#This Row],[GP_H]]</f>
        <v>21</v>
      </c>
      <c r="J24">
        <f>F24+H24</f>
        <v>42</v>
      </c>
      <c r="K24">
        <f>82-Table3[[#This Row],[GP]]</f>
        <v>40</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11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11</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11</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20</v>
      </c>
      <c r="AC24">
        <f>Table3[[#This Row],[L_A]]+Table3[[#This Row],[L_H]]</f>
        <v>22</v>
      </c>
      <c r="AD24">
        <f>Table3[[#This Row],[RW_A]]+Table3[[#This Row],[RW_H]]</f>
        <v>19</v>
      </c>
      <c r="AE24">
        <f>Table3[[#This Row],[RL_A]]+Table3[[#This Row],[RL_H]]</f>
        <v>20</v>
      </c>
      <c r="AF24">
        <f>Table3[[#This Row],[OTW_A]]+Table3[[#This Row],[OTW_H]]</f>
        <v>1</v>
      </c>
      <c r="AG24">
        <f>Table3[[#This Row],[OTL_A]]+Table3[[#This Row],[OTL_H]]</f>
        <v>2</v>
      </c>
      <c r="AH24">
        <f>Table3[[#This Row],[SOW_A]]+Table3[[#This Row],[SOW_H]]</f>
        <v>0</v>
      </c>
      <c r="AI24">
        <f>Table3[[#This Row],[SOL_A]]+Table3[[#This Row],[SOL_H]]</f>
        <v>0</v>
      </c>
      <c r="AJ24" s="20" t="str">
        <f>_xlfn.CONCAT(TEXT(Table3[[#This Row],[OTW]]+Table3[[#This Row],[SOW]], "0"), "-", TEXT(Table3[[#This Row],[OTL]]+Table3[[#This Row],[SOL]],"0"))</f>
        <v>1-2</v>
      </c>
      <c r="AK24">
        <f>(2*(Table3[[#This Row],[W_A]]+Table3[[#This Row],[W_H]]))+Table3[[#This Row],[OTL_A]]+Table3[[#This Row],[SOL_A]]+Table3[[#This Row],[OTL_H]]+Table3[[#This Row],[SOL_H]]</f>
        <v>42</v>
      </c>
      <c r="AL24">
        <f>(3*(Table3[[#This Row],[RW_A]]+Table3[[#This Row],[RW_H]]))+(2*(Table3[[#This Row],[OTW_A]]+Table3[[#This Row],[SOW_A]]+Table3[[#This Row],[OTW_H]]+Table3[[#This Row],[SOW_H]]))+Table3[[#This Row],[OTL_A]]+Table3[[#This Row],[SOL_A]]+Table3[[#This Row],[OTL_H]]+Table3[[#This Row],[SOL_H]]</f>
        <v>61</v>
      </c>
      <c r="AM24" s="15">
        <f>Table3[[#This Row],[PTS]]/(2*Table3[[#This Row],[GP]])</f>
        <v>0.5</v>
      </c>
      <c r="AN24" s="15">
        <f>Table3[[#This Row],[PTS2]]/(3*Table3[[#This Row],[GP]])</f>
        <v>0.48412698412698413</v>
      </c>
      <c r="AO24">
        <f>(2*Table3[[#This Row],[GR]])+Table3[[#This Row],[PTS]]</f>
        <v>122</v>
      </c>
      <c r="AP24">
        <f>(3*Table3[[#This Row],[GR]])+Table3[[#This Row],[PTS2]]</f>
        <v>181</v>
      </c>
      <c r="AQ24">
        <f>Table3[[#This Row],[PTS]]+(2 * Table3[[#This Row],[GR]] * Table3[[#This Row],[PTS%]])</f>
        <v>82</v>
      </c>
      <c r="AR24">
        <f>Table3[[#This Row],[PTS2]]+(3 * Table3[[#This Row],[GR]] * Table3[[#This Row],[PTS%2]])</f>
        <v>119.0952380952381</v>
      </c>
      <c r="AS24" s="20" t="str">
        <f>_xlfn.CONCAT(TEXT(Table3[[#This Row],[W]], "0"), "-", TEXT(Table3[[#This Row],[RL]],"0"), "-", TEXT(Table3[[#This Row],[OTL]]+Table3[[#This Row],[SOL]], "0"))</f>
        <v>20-20-2</v>
      </c>
      <c r="AT24">
        <f>COUNTIFS(DataRegularSeason20242025!$D$3:$D$1315,Table3[[#This Row],[Teams]],DataRegularSeason20242025!$K$3:$K$1315,0)</f>
        <v>3</v>
      </c>
      <c r="AU24">
        <f>SUMIF(DataRegularSeason20242025!$D$3:$D$1315,$A24, DataRegularSeason20242025!$J$3:$J$1315)</f>
        <v>68</v>
      </c>
      <c r="AV24">
        <f>SUMIF(DataRegularSeason20242025!$D$3:$D$1315,$A24, DataRegularSeason20242025!$K$3:$K$1315)</f>
        <v>63</v>
      </c>
      <c r="AW24">
        <f>AU24-AV24</f>
        <v>5</v>
      </c>
      <c r="AX24">
        <f>COUNTIFS(DataRegularSeason20242025!$E$3:$E$1315,Table3[[#This Row],[Teams]],DataRegularSeason20242025!$J$3:$J$1315,0)</f>
        <v>0</v>
      </c>
      <c r="AY24">
        <f>SUMIF(DataRegularSeason20242025!$E$3:$E$1315,$A24,DataRegularSeason20242025!$K$3:$K$1315)</f>
        <v>55</v>
      </c>
      <c r="AZ24">
        <f>SUMIF(DataRegularSeason20242025!$E$3:$E$1315,$A24,DataRegularSeason20242025!$J$3:$J$1315)</f>
        <v>68</v>
      </c>
      <c r="BA24">
        <f>AY24-AZ24</f>
        <v>-13</v>
      </c>
      <c r="BB24">
        <f>AU24+AY24</f>
        <v>123</v>
      </c>
      <c r="BC24">
        <f>AV24+AZ24</f>
        <v>131</v>
      </c>
      <c r="BD24">
        <f>BB24-BC24</f>
        <v>-8</v>
      </c>
      <c r="BE24" s="17">
        <f>Table3[[#This Row],[GF]]/Table3[[#This Row],[GP]]</f>
        <v>2.9285714285714284</v>
      </c>
      <c r="BF24" s="17">
        <f>Table3[[#This Row],[GA]]/Table3[[#This Row],[GP]]</f>
        <v>3.1190476190476191</v>
      </c>
      <c r="BG24" s="17">
        <f>(Table3[[#This Row],[GF]]-Table3[[#This Row],[GA]])/Table3[[#This Row],[GP]]</f>
        <v>-0.19047619047619047</v>
      </c>
      <c r="BH24" s="50" t="str">
        <f>_xlfn.CONCAT(TEXT(Table3[[#This Row],[W_H]], "0"), "-", TEXT(Table3[[#This Row],[RL_H]],"0"), "-", TEXT(Table3[[#This Row],[OTL_H]]+Table3[[#This Row],[SOL_H]], "0"))</f>
        <v>9-9-2</v>
      </c>
      <c r="BI24" s="50" t="str">
        <f>_xlfn.CONCAT(TEXT(Table3[[#This Row],[W_A]], "0"), "-", TEXT(Table3[[#This Row],[RL_A]],"0"), "-", TEXT(Table3[[#This Row],[OTL_A]]+Table3[[#This Row],[SOL_A]], "0"))</f>
        <v>11-11-0</v>
      </c>
      <c r="BJ24" s="50">
        <f>((2*(Table3[[#This Row],[W_H]]))+Table3[[#This Row],[OTL_H]]+Table3[[#This Row],[SOL_H]])/(2*Table3[[#This Row],[GP_H]])</f>
        <v>0.5</v>
      </c>
      <c r="BK24" s="50">
        <f>((2*(Table3[[#This Row],[W_A]]))+Table3[[#This Row],[OTL_A]]+Table3[[#This Row],[SOL_A]])/(2*Table3[[#This Row],[GP_A]])</f>
        <v>0.5</v>
      </c>
      <c r="BL24" s="21">
        <f>(Table3[[#This Row],[W]]*$CE$3)+(Table3[[#This Row],[L]]*$CE$4)+(Table3[[#This Row],[GF]]*$CE$5)+(Table3[[#This Row],[GA]]*$CE$6)</f>
        <v>48.15</v>
      </c>
      <c r="BM24" s="21">
        <f>(82*(((Table3[[#This Row],[PTS%]]*$CE$3)+((1-Table3[[#This Row],[PTS%]])*$CE$4)+(Table3[[#This Row],[GF]]*$CE$5)+(Table3[[#This Row],[GA]]*$CE$6))/Table3[[#This Row],[GP]])) + (Table3[[#This Row],[W]]*$CE$3)+(Table3[[#This Row],[L]]*$CE$4)+(Table3[[#This Row],[GF]]*$CE$5)+(Table3[[#This Row],[GA]]*$CE$6)</f>
        <v>110.52857142857144</v>
      </c>
      <c r="BN24">
        <f>COUNTIFS(DataRegularSeason20242025!$D$3:$D$1315,$A24,DataRegularSeason20242025!$H$3:$H$1315, $A24)</f>
        <v>9</v>
      </c>
      <c r="BO24">
        <f>COUNTIFS(DataRegularSeason20242025!$E$3:$E$1315,$A24,DataRegularSeason20242025!$H$3:$H$1315, $A24)</f>
        <v>13</v>
      </c>
      <c r="BP24">
        <f>BN24+BO24</f>
        <v>22</v>
      </c>
      <c r="BQ24">
        <f>F24-BN24</f>
        <v>13</v>
      </c>
      <c r="BR24">
        <f>H24-BO24</f>
        <v>7</v>
      </c>
      <c r="BS24">
        <f>BQ24+BR24</f>
        <v>20</v>
      </c>
      <c r="BV24">
        <v>1994</v>
      </c>
    </row>
    <row r="25" spans="1:77"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40</v>
      </c>
      <c r="E25" s="15">
        <f>Table3[[#This Row],[Watched]]/Table3[[#This Row],[GP]]</f>
        <v>0.88888888888888884</v>
      </c>
      <c r="F25">
        <f>COUNTIFS(DataRegularSeason20242025!$N$3:$N$1315,1,DataRegularSeason20242025!$D$3:$D$1315,$A25)</f>
        <v>21</v>
      </c>
      <c r="G25">
        <f>41-Table3[[#This Row],[GP_A]]</f>
        <v>20</v>
      </c>
      <c r="H25">
        <f>COUNTIFS(DataRegularSeason20242025!$E$3:$E$1315,$A25,DataRegularSeason20242025!$N$3:$N$1315,1)</f>
        <v>24</v>
      </c>
      <c r="I25">
        <f>41-Table3[[#This Row],[GP_H]]</f>
        <v>17</v>
      </c>
      <c r="J25">
        <f>F25+H25</f>
        <v>45</v>
      </c>
      <c r="K25">
        <f>82-Table3[[#This Row],[GP]]</f>
        <v>37</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15</v>
      </c>
      <c r="Q25">
        <f>COUNTIFS(DataRegularSeason20242025!$D$3:$D$1315,$A25, DataRegularSeason20242025!$S$3:$S$1315, $A25,DataRegularSeason20242025!$M$3:$M$1315,"REG")</f>
        <v>10</v>
      </c>
      <c r="R25">
        <f>COUNTIFS(DataRegularSeason20242025!$D$3:$D$1315,$A25, DataRegularSeason20242025!$S$3:$S$1315, $A25,DataRegularSeason20242025!$M$3:$M$1315,"OT")</f>
        <v>2</v>
      </c>
      <c r="S25">
        <f>COUNTIFS(DataRegularSeason20242025!$D$3:$D$1315,$A25, DataRegularSeason20242025!$S$3:$S$1315, $A25,DataRegularSeason20242025!$M$3:$M$1315,"SO")</f>
        <v>3</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4</v>
      </c>
      <c r="W25">
        <f>COUNTIFS(DataRegularSeason20242025!$E$3:$E$1315,$A25, DataRegularSeason20242025!$L$3:$L$1315, $A25,DataRegularSeason20242025!$N$3:$N$1315,1,DataRegularSeason20242025!$M$3:$M$1315,"SO")</f>
        <v>1</v>
      </c>
      <c r="X25">
        <f>H25-T25</f>
        <v>12</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1</v>
      </c>
      <c r="AB25">
        <f>Table3[[#This Row],[W_A]]+Table3[[#This Row],[W_H]]</f>
        <v>18</v>
      </c>
      <c r="AC25">
        <f>Table3[[#This Row],[L_A]]+Table3[[#This Row],[L_H]]</f>
        <v>27</v>
      </c>
      <c r="AD25">
        <f>Table3[[#This Row],[RW_A]]+Table3[[#This Row],[RW_H]]</f>
        <v>12</v>
      </c>
      <c r="AE25">
        <f>Table3[[#This Row],[RL_A]]+Table3[[#This Row],[RL_H]]</f>
        <v>19</v>
      </c>
      <c r="AF25">
        <f>Table3[[#This Row],[OTW_A]]+Table3[[#This Row],[OTW_H]]</f>
        <v>5</v>
      </c>
      <c r="AG25">
        <f>Table3[[#This Row],[OTL_A]]+Table3[[#This Row],[OTL_H]]</f>
        <v>4</v>
      </c>
      <c r="AH25">
        <f>Table3[[#This Row],[SOW_A]]+Table3[[#This Row],[SOW_H]]</f>
        <v>1</v>
      </c>
      <c r="AI25">
        <f>Table3[[#This Row],[SOL_A]]+Table3[[#This Row],[SOL_H]]</f>
        <v>4</v>
      </c>
      <c r="AJ25" s="20" t="str">
        <f>_xlfn.CONCAT(TEXT(Table3[[#This Row],[OTW]]+Table3[[#This Row],[SOW]], "0"), "-", TEXT(Table3[[#This Row],[OTL]]+Table3[[#This Row],[SOL]],"0"))</f>
        <v>6-8</v>
      </c>
      <c r="AK25">
        <f>(2*(Table3[[#This Row],[W_A]]+Table3[[#This Row],[W_H]]))+Table3[[#This Row],[OTL_A]]+Table3[[#This Row],[SOL_A]]+Table3[[#This Row],[OTL_H]]+Table3[[#This Row],[SOL_H]]</f>
        <v>44</v>
      </c>
      <c r="AL25">
        <f>(3*(Table3[[#This Row],[RW_A]]+Table3[[#This Row],[RW_H]]))+(2*(Table3[[#This Row],[OTW_A]]+Table3[[#This Row],[SOW_A]]+Table3[[#This Row],[OTW_H]]+Table3[[#This Row],[SOW_H]]))+Table3[[#This Row],[OTL_A]]+Table3[[#This Row],[SOL_A]]+Table3[[#This Row],[OTL_H]]+Table3[[#This Row],[SOL_H]]</f>
        <v>56</v>
      </c>
      <c r="AM25" s="15">
        <f>Table3[[#This Row],[PTS]]/(2*Table3[[#This Row],[GP]])</f>
        <v>0.48888888888888887</v>
      </c>
      <c r="AN25" s="15">
        <f>Table3[[#This Row],[PTS2]]/(3*Table3[[#This Row],[GP]])</f>
        <v>0.4148148148148148</v>
      </c>
      <c r="AO25">
        <f>(2*Table3[[#This Row],[GR]])+Table3[[#This Row],[PTS]]</f>
        <v>118</v>
      </c>
      <c r="AP25">
        <f>(3*Table3[[#This Row],[GR]])+Table3[[#This Row],[PTS2]]</f>
        <v>167</v>
      </c>
      <c r="AQ25">
        <f>Table3[[#This Row],[PTS]]+(2 * Table3[[#This Row],[GR]] * Table3[[#This Row],[PTS%]])</f>
        <v>80.177777777777777</v>
      </c>
      <c r="AR25">
        <f>Table3[[#This Row],[PTS2]]+(3 * Table3[[#This Row],[GR]] * Table3[[#This Row],[PTS%2]])</f>
        <v>102.04444444444445</v>
      </c>
      <c r="AS25" s="20" t="str">
        <f>_xlfn.CONCAT(TEXT(Table3[[#This Row],[W]], "0"), "-", TEXT(Table3[[#This Row],[RL]],"0"), "-", TEXT(Table3[[#This Row],[OTL]]+Table3[[#This Row],[SOL]], "0"))</f>
        <v>18-19-8</v>
      </c>
      <c r="AT25">
        <f>COUNTIFS(DataRegularSeason20242025!$D$3:$D$1315,Table3[[#This Row],[Teams]],DataRegularSeason20242025!$K$3:$K$1315,0)</f>
        <v>0</v>
      </c>
      <c r="AU25">
        <f>SUMIF(DataRegularSeason20242025!$D$3:$D$1315,$A25, DataRegularSeason20242025!$J$3:$J$1315)</f>
        <v>63</v>
      </c>
      <c r="AV25">
        <f>SUMIF(DataRegularSeason20242025!$D$3:$D$1315,$A25, DataRegularSeason20242025!$K$3:$K$1315)</f>
        <v>79</v>
      </c>
      <c r="AW25">
        <f>AU25-AV25</f>
        <v>-16</v>
      </c>
      <c r="AX25">
        <f>COUNTIFS(DataRegularSeason20242025!$E$3:$E$1315,Table3[[#This Row],[Teams]],DataRegularSeason20242025!$J$3:$J$1315,0)</f>
        <v>0</v>
      </c>
      <c r="AY25">
        <f>SUMIF(DataRegularSeason20242025!$E$3:$E$1315,$A25,DataRegularSeason20242025!$K$3:$K$1315)</f>
        <v>72</v>
      </c>
      <c r="AZ25">
        <f>SUMIF(DataRegularSeason20242025!$E$3:$E$1315,$A25,DataRegularSeason20242025!$J$3:$J$1315)</f>
        <v>90</v>
      </c>
      <c r="BA25">
        <f>AY25-AZ25</f>
        <v>-18</v>
      </c>
      <c r="BB25">
        <f>AU25+AY25</f>
        <v>135</v>
      </c>
      <c r="BC25">
        <f>AV25+AZ25</f>
        <v>169</v>
      </c>
      <c r="BD25">
        <f>BB25-BC25</f>
        <v>-34</v>
      </c>
      <c r="BE25" s="17">
        <f>Table3[[#This Row],[GF]]/Table3[[#This Row],[GP]]</f>
        <v>3</v>
      </c>
      <c r="BF25" s="17">
        <f>Table3[[#This Row],[GA]]/Table3[[#This Row],[GP]]</f>
        <v>3.7555555555555555</v>
      </c>
      <c r="BG25" s="17">
        <f>(Table3[[#This Row],[GF]]-Table3[[#This Row],[GA]])/Table3[[#This Row],[GP]]</f>
        <v>-0.75555555555555554</v>
      </c>
      <c r="BH25" s="50" t="str">
        <f>_xlfn.CONCAT(TEXT(Table3[[#This Row],[W_H]], "0"), "-", TEXT(Table3[[#This Row],[RL_H]],"0"), "-", TEXT(Table3[[#This Row],[OTL_H]]+Table3[[#This Row],[SOL_H]], "0"))</f>
        <v>12-9-3</v>
      </c>
      <c r="BI25" s="50" t="str">
        <f>_xlfn.CONCAT(TEXT(Table3[[#This Row],[W_A]], "0"), "-", TEXT(Table3[[#This Row],[RL_A]],"0"), "-", TEXT(Table3[[#This Row],[OTL_A]]+Table3[[#This Row],[SOL_A]], "0"))</f>
        <v>6-10-5</v>
      </c>
      <c r="BJ25" s="50">
        <f>((2*(Table3[[#This Row],[W_H]]))+Table3[[#This Row],[OTL_H]]+Table3[[#This Row],[SOL_H]])/(2*Table3[[#This Row],[GP_H]])</f>
        <v>0.5625</v>
      </c>
      <c r="BK25" s="50">
        <f>((2*(Table3[[#This Row],[W_A]]))+Table3[[#This Row],[OTL_A]]+Table3[[#This Row],[SOL_A]])/(2*Table3[[#This Row],[GP_A]])</f>
        <v>0.40476190476190477</v>
      </c>
      <c r="BL25" s="21">
        <f>(Table3[[#This Row],[W]]*$CE$3)+(Table3[[#This Row],[L]]*$CE$4)+(Table3[[#This Row],[GF]]*$CE$5)+(Table3[[#This Row],[GA]]*$CE$6)</f>
        <v>54.25</v>
      </c>
      <c r="BM25" s="21">
        <f>(82*(((Table3[[#This Row],[PTS%]]*$CE$3)+((1-Table3[[#This Row],[PTS%]])*$CE$4)+(Table3[[#This Row],[GF]]*$CE$5)+(Table3[[#This Row],[GA]]*$CE$6))/Table3[[#This Row],[GP]])) + (Table3[[#This Row],[W]]*$CE$3)+(Table3[[#This Row],[L]]*$CE$4)+(Table3[[#This Row],[GF]]*$CE$5)+(Table3[[#This Row],[GA]]*$CE$6)</f>
        <v>122.6703950617284</v>
      </c>
      <c r="BN25">
        <f>COUNTIFS(DataRegularSeason20242025!$D$3:$D$1315,$A25,DataRegularSeason20242025!$H$3:$H$1315, $A25)</f>
        <v>9</v>
      </c>
      <c r="BO25">
        <f>COUNTIFS(DataRegularSeason20242025!$E$3:$E$1315,$A25,DataRegularSeason20242025!$H$3:$H$1315, $A25)</f>
        <v>11</v>
      </c>
      <c r="BP25">
        <f>BN25+BO25</f>
        <v>20</v>
      </c>
      <c r="BQ25">
        <f>F25-BN25</f>
        <v>12</v>
      </c>
      <c r="BR25">
        <f>H25-BO25</f>
        <v>13</v>
      </c>
      <c r="BS25">
        <f>BQ25+BR25</f>
        <v>25</v>
      </c>
      <c r="BV25">
        <v>2017</v>
      </c>
    </row>
    <row r="26" spans="1:77"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38</v>
      </c>
      <c r="E26" s="15">
        <f>Table3[[#This Row],[Watched]]/Table3[[#This Row],[GP]]</f>
        <v>0.86363636363636365</v>
      </c>
      <c r="F26">
        <f>COUNTIFS(DataRegularSeason20242025!$N$3:$N$1315,1,DataRegularSeason20242025!$D$3:$D$1315,$A26)</f>
        <v>22</v>
      </c>
      <c r="G26">
        <f>41-Table3[[#This Row],[GP_A]]</f>
        <v>19</v>
      </c>
      <c r="H26">
        <f>COUNTIFS(DataRegularSeason20242025!$E$3:$E$1315,$A26,DataRegularSeason20242025!$N$3:$N$1315,1)</f>
        <v>22</v>
      </c>
      <c r="I26">
        <f>41-Table3[[#This Row],[GP_H]]</f>
        <v>19</v>
      </c>
      <c r="J26">
        <f>F26+H26</f>
        <v>44</v>
      </c>
      <c r="K26">
        <f>82-Table3[[#This Row],[GP]]</f>
        <v>38</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F26-L26</f>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H26-T26</f>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19</v>
      </c>
      <c r="AC26">
        <f>Table3[[#This Row],[L_A]]+Table3[[#This Row],[L_H]]</f>
        <v>25</v>
      </c>
      <c r="AD26">
        <f>Table3[[#This Row],[RW_A]]+Table3[[#This Row],[RW_H]]</f>
        <v>11</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s="20" t="str">
        <f>_xlfn.CONCAT(TEXT(Table3[[#This Row],[OTW]]+Table3[[#This Row],[SOW]], "0"), "-", TEXT(Table3[[#This Row],[OTL]]+Table3[[#This Row],[SOL]],"0"))</f>
        <v>8-5</v>
      </c>
      <c r="AK26">
        <f>(2*(Table3[[#This Row],[W_A]]+Table3[[#This Row],[W_H]]))+Table3[[#This Row],[OTL_A]]+Table3[[#This Row],[SOL_A]]+Table3[[#This Row],[OTL_H]]+Table3[[#This Row],[SOL_H]]</f>
        <v>43</v>
      </c>
      <c r="AL26">
        <f>(3*(Table3[[#This Row],[RW_A]]+Table3[[#This Row],[RW_H]]))+(2*(Table3[[#This Row],[OTW_A]]+Table3[[#This Row],[SOW_A]]+Table3[[#This Row],[OTW_H]]+Table3[[#This Row],[SOW_H]]))+Table3[[#This Row],[OTL_A]]+Table3[[#This Row],[SOL_A]]+Table3[[#This Row],[OTL_H]]+Table3[[#This Row],[SOL_H]]</f>
        <v>54</v>
      </c>
      <c r="AM26" s="15">
        <f>Table3[[#This Row],[PTS]]/(2*Table3[[#This Row],[GP]])</f>
        <v>0.48863636363636365</v>
      </c>
      <c r="AN26" s="15">
        <f>Table3[[#This Row],[PTS2]]/(3*Table3[[#This Row],[GP]])</f>
        <v>0.40909090909090912</v>
      </c>
      <c r="AO26">
        <f>(2*Table3[[#This Row],[GR]])+Table3[[#This Row],[PTS]]</f>
        <v>119</v>
      </c>
      <c r="AP26">
        <f>(3*Table3[[#This Row],[GR]])+Table3[[#This Row],[PTS2]]</f>
        <v>168</v>
      </c>
      <c r="AQ26">
        <f>Table3[[#This Row],[PTS]]+(2 * Table3[[#This Row],[GR]] * Table3[[#This Row],[PTS%]])</f>
        <v>80.13636363636364</v>
      </c>
      <c r="AR26">
        <f>Table3[[#This Row],[PTS2]]+(3 * Table3[[#This Row],[GR]] * Table3[[#This Row],[PTS%2]])</f>
        <v>100.63636363636364</v>
      </c>
      <c r="AS26" s="20" t="str">
        <f>_xlfn.CONCAT(TEXT(Table3[[#This Row],[W]], "0"), "-", TEXT(Table3[[#This Row],[RL]],"0"), "-", TEXT(Table3[[#This Row],[OTL]]+Table3[[#This Row],[SOL]], "0"))</f>
        <v>19-20-5</v>
      </c>
      <c r="AT26">
        <f>COUNTIFS(DataRegularSeason20242025!$D$3:$D$1315,Table3[[#This Row],[Teams]],DataRegularSeason20242025!$K$3:$K$1315,0)</f>
        <v>2</v>
      </c>
      <c r="AU26">
        <f>SUMIF(DataRegularSeason20242025!$D$3:$D$1315,$A26, DataRegularSeason20242025!$J$3:$J$1315)</f>
        <v>69</v>
      </c>
      <c r="AV26">
        <f>SUMIF(DataRegularSeason20242025!$D$3:$D$1315,$A26, DataRegularSeason20242025!$K$3:$K$1315)</f>
        <v>81</v>
      </c>
      <c r="AW26">
        <f>AU26-AV26</f>
        <v>-12</v>
      </c>
      <c r="AX26">
        <f>COUNTIFS(DataRegularSeason20242025!$E$3:$E$1315,Table3[[#This Row],[Teams]],DataRegularSeason20242025!$J$3:$J$1315,0)</f>
        <v>1</v>
      </c>
      <c r="AY26">
        <f>SUMIF(DataRegularSeason20242025!$E$3:$E$1315,$A26,DataRegularSeason20242025!$K$3:$K$1315)</f>
        <v>67</v>
      </c>
      <c r="AZ26">
        <f>SUMIF(DataRegularSeason20242025!$E$3:$E$1315,$A26,DataRegularSeason20242025!$J$3:$J$1315)</f>
        <v>73</v>
      </c>
      <c r="BA26">
        <f>AY26-AZ26</f>
        <v>-6</v>
      </c>
      <c r="BB26">
        <f>AU26+AY26</f>
        <v>136</v>
      </c>
      <c r="BC26">
        <f>AV26+AZ26</f>
        <v>154</v>
      </c>
      <c r="BD26">
        <f>BB26-BC26</f>
        <v>-18</v>
      </c>
      <c r="BE26" s="17">
        <f>Table3[[#This Row],[GF]]/Table3[[#This Row],[GP]]</f>
        <v>3.0909090909090908</v>
      </c>
      <c r="BF26" s="17">
        <f>Table3[[#This Row],[GA]]/Table3[[#This Row],[GP]]</f>
        <v>3.5</v>
      </c>
      <c r="BG26" s="17">
        <f>(Table3[[#This Row],[GF]]-Table3[[#This Row],[GA]])/Table3[[#This Row],[GP]]</f>
        <v>-0.40909090909090912</v>
      </c>
      <c r="BH26" s="50" t="str">
        <f>_xlfn.CONCAT(TEXT(Table3[[#This Row],[W_H]], "0"), "-", TEXT(Table3[[#This Row],[RL_H]],"0"), "-", TEXT(Table3[[#This Row],[OTL_H]]+Table3[[#This Row],[SOL_H]], "0"))</f>
        <v>10-11-1</v>
      </c>
      <c r="BI26" s="50" t="str">
        <f>_xlfn.CONCAT(TEXT(Table3[[#This Row],[W_A]], "0"), "-", TEXT(Table3[[#This Row],[RL_A]],"0"), "-", TEXT(Table3[[#This Row],[OTL_A]]+Table3[[#This Row],[SOL_A]], "0"))</f>
        <v>9-9-4</v>
      </c>
      <c r="BJ26" s="50">
        <f>((2*(Table3[[#This Row],[W_H]]))+Table3[[#This Row],[OTL_H]]+Table3[[#This Row],[SOL_H]])/(2*Table3[[#This Row],[GP_H]])</f>
        <v>0.47727272727272729</v>
      </c>
      <c r="BK26" s="50">
        <f>((2*(Table3[[#This Row],[W_A]]))+Table3[[#This Row],[OTL_A]]+Table3[[#This Row],[SOL_A]])/(2*Table3[[#This Row],[GP_A]])</f>
        <v>0.5</v>
      </c>
      <c r="BL26" s="21">
        <f>(Table3[[#This Row],[W]]*$CE$3)+(Table3[[#This Row],[L]]*$CE$4)+(Table3[[#This Row],[GF]]*$CE$5)+(Table3[[#This Row],[GA]]*$CE$6)</f>
        <v>52.8</v>
      </c>
      <c r="BM26" s="21">
        <f>(82*(((Table3[[#This Row],[PTS%]]*$CE$3)+((1-Table3[[#This Row],[PTS%]])*$CE$4)+(Table3[[#This Row],[GF]]*$CE$5)+(Table3[[#This Row],[GA]]*$CE$6))/Table3[[#This Row],[GP]])) + (Table3[[#This Row],[W]]*$CE$3)+(Table3[[#This Row],[L]]*$CE$4)+(Table3[[#This Row],[GF]]*$CE$5)+(Table3[[#This Row],[GA]]*$CE$6)</f>
        <v>120.2594008264463</v>
      </c>
      <c r="BN26">
        <f>COUNTIFS(DataRegularSeason20242025!$D$3:$D$1315,$A26,DataRegularSeason20242025!$H$3:$H$1315, $A26)</f>
        <v>5</v>
      </c>
      <c r="BO26">
        <f>COUNTIFS(DataRegularSeason20242025!$E$3:$E$1315,$A26,DataRegularSeason20242025!$H$3:$H$1315, $A26)</f>
        <v>6</v>
      </c>
      <c r="BP26">
        <f>BN26+BO26</f>
        <v>11</v>
      </c>
      <c r="BQ26">
        <f>F26-BN26</f>
        <v>17</v>
      </c>
      <c r="BR26">
        <f>H26-BO26</f>
        <v>16</v>
      </c>
      <c r="BS26">
        <f>BQ26+BR26</f>
        <v>33</v>
      </c>
      <c r="BV26">
        <v>1975</v>
      </c>
    </row>
    <row r="27" spans="1:77"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0.7441860465116279</v>
      </c>
      <c r="F27">
        <f>COUNTIFS(DataRegularSeason20242025!$N$3:$N$1315,1,DataRegularSeason20242025!$D$3:$D$1315,$A27)</f>
        <v>24</v>
      </c>
      <c r="G27">
        <f>41-Table3[[#This Row],[GP_A]]</f>
        <v>17</v>
      </c>
      <c r="H27">
        <f>COUNTIFS(DataRegularSeason20242025!$E$3:$E$1315,$A27,DataRegularSeason20242025!$N$3:$N$1315,1)</f>
        <v>19</v>
      </c>
      <c r="I27">
        <f>41-Table3[[#This Row],[GP_H]]</f>
        <v>22</v>
      </c>
      <c r="J27">
        <f>F27+H27</f>
        <v>43</v>
      </c>
      <c r="K27">
        <f>82-Table3[[#This Row],[GP]]</f>
        <v>39</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12</v>
      </c>
      <c r="Y27">
        <f>COUNTIFS(DataRegularSeason20242025!$E$3:$E$1315,$A27, DataRegularSeason20242025!$S$3:$S$1315, $A27,DataRegularSeason20242025!$M$3:$M$1315,"REG")</f>
        <v>10</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26</v>
      </c>
      <c r="AD27">
        <f>Table3[[#This Row],[RW_A]]+Table3[[#This Row],[RW_H]]</f>
        <v>13</v>
      </c>
      <c r="AE27">
        <f>Table3[[#This Row],[RL_A]]+Table3[[#This Row],[RL_H]]</f>
        <v>19</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41</v>
      </c>
      <c r="AL27">
        <f>(3*(Table3[[#This Row],[RW_A]]+Table3[[#This Row],[RW_H]]))+(2*(Table3[[#This Row],[OTW_A]]+Table3[[#This Row],[SOW_A]]+Table3[[#This Row],[OTW_H]]+Table3[[#This Row],[SOW_H]]))+Table3[[#This Row],[OTL_A]]+Table3[[#This Row],[SOL_A]]+Table3[[#This Row],[OTL_H]]+Table3[[#This Row],[SOL_H]]</f>
        <v>54</v>
      </c>
      <c r="AM27" s="15">
        <f>Table3[[#This Row],[PTS]]/(2*Table3[[#This Row],[GP]])</f>
        <v>0.47674418604651164</v>
      </c>
      <c r="AN27" s="15">
        <f>Table3[[#This Row],[PTS2]]/(3*Table3[[#This Row],[GP]])</f>
        <v>0.41860465116279072</v>
      </c>
      <c r="AO27">
        <f>(2*Table3[[#This Row],[GR]])+Table3[[#This Row],[PTS]]</f>
        <v>119</v>
      </c>
      <c r="AP27">
        <f>(3*Table3[[#This Row],[GR]])+Table3[[#This Row],[PTS2]]</f>
        <v>171</v>
      </c>
      <c r="AQ27">
        <f>Table3[[#This Row],[PTS]]+(2 * Table3[[#This Row],[GR]] * Table3[[#This Row],[PTS%]])</f>
        <v>78.186046511627907</v>
      </c>
      <c r="AR27">
        <f>Table3[[#This Row],[PTS2]]+(3 * Table3[[#This Row],[GR]] * Table3[[#This Row],[PTS%2]])</f>
        <v>102.97674418604652</v>
      </c>
      <c r="AS27" s="20" t="str">
        <f>_xlfn.CONCAT(TEXT(Table3[[#This Row],[W]], "0"), "-", TEXT(Table3[[#This Row],[RL]],"0"), "-", TEXT(Table3[[#This Row],[OTL]]+Table3[[#This Row],[SOL]], "0"))</f>
        <v>17-19-7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50</v>
      </c>
      <c r="AZ27">
        <f>SUMIF(DataRegularSeason20242025!$E$3:$E$1315,$A27,DataRegularSeason20242025!$J$3:$J$1315)</f>
        <v>65</v>
      </c>
      <c r="BA27">
        <f>AY27-AZ27</f>
        <v>-15</v>
      </c>
      <c r="BB27">
        <f>AU27+AY27</f>
        <v>114</v>
      </c>
      <c r="BC27">
        <f>AV27+AZ27</f>
        <v>131</v>
      </c>
      <c r="BD27">
        <f>BB27-BC27</f>
        <v>-17</v>
      </c>
      <c r="BE27" s="17">
        <f>Table3[[#This Row],[GF]]/Table3[[#This Row],[GP]]</f>
        <v>2.6511627906976742</v>
      </c>
      <c r="BF27" s="17">
        <f>Table3[[#This Row],[GA]]/Table3[[#This Row],[GP]]</f>
        <v>3.0465116279069768</v>
      </c>
      <c r="BG27" s="17">
        <f>(Table3[[#This Row],[GF]]-Table3[[#This Row],[GA]])/Table3[[#This Row],[GP]]</f>
        <v>-0.39534883720930231</v>
      </c>
      <c r="BH27" s="50" t="str">
        <f>_xlfn.CONCAT(TEXT(Table3[[#This Row],[W_H]], "0"), "-", TEXT(Table3[[#This Row],[RL_H]],"0"), "-", TEXT(Table3[[#This Row],[OTL_H]]+Table3[[#This Row],[SOL_H]], "0"))</f>
        <v>7-10-2</v>
      </c>
      <c r="BI27" s="50" t="str">
        <f>_xlfn.CONCAT(TEXT(Table3[[#This Row],[W_A]], "0"), "-", TEXT(Table3[[#This Row],[RL_A]],"0"), "-", TEXT(Table3[[#This Row],[OTL_A]]+Table3[[#This Row],[SOL_A]], "0"))</f>
        <v>10-9-5</v>
      </c>
      <c r="BJ27" s="50">
        <f>((2*(Table3[[#This Row],[W_H]]))+Table3[[#This Row],[OTL_H]]+Table3[[#This Row],[SOL_H]])/(2*Table3[[#This Row],[GP_H]])</f>
        <v>0.42105263157894735</v>
      </c>
      <c r="BK27" s="50">
        <f>((2*(Table3[[#This Row],[W_A]]))+Table3[[#This Row],[OTL_A]]+Table3[[#This Row],[SOL_A]])/(2*Table3[[#This Row],[GP_A]])</f>
        <v>0.52083333333333337</v>
      </c>
      <c r="BL27" s="21">
        <f>(Table3[[#This Row],[W]]*$CE$3)+(Table3[[#This Row],[L]]*$CE$4)+(Table3[[#This Row],[GF]]*$CE$5)+(Table3[[#This Row],[GA]]*$CE$6)</f>
        <v>46.5</v>
      </c>
      <c r="BM27" s="21">
        <f>(82*(((Table3[[#This Row],[PTS%]]*$CE$3)+((1-Table3[[#This Row],[PTS%]])*$CE$4)+(Table3[[#This Row],[GF]]*$CE$5)+(Table3[[#This Row],[GA]]*$CE$6))/Table3[[#This Row],[GP]])) + (Table3[[#This Row],[W]]*$CE$3)+(Table3[[#This Row],[L]]*$CE$4)+(Table3[[#This Row],[GF]]*$CE$5)+(Table3[[#This Row],[GA]]*$CE$6)</f>
        <v>104.84461871281772</v>
      </c>
      <c r="BN27">
        <f>COUNTIFS(DataRegularSeason20242025!$D$3:$D$1315,$A27,DataRegularSeason20242025!$H$3:$H$1315, $A27)</f>
        <v>5</v>
      </c>
      <c r="BO27">
        <f>COUNTIFS(DataRegularSeason20242025!$E$3:$E$1315,$A27,DataRegularSeason20242025!$H$3:$H$1315, $A27)</f>
        <v>7</v>
      </c>
      <c r="BP27">
        <f>BN27+BO27</f>
        <v>12</v>
      </c>
      <c r="BQ27">
        <f>F27-BN27</f>
        <v>19</v>
      </c>
      <c r="BR27">
        <f>H27-BO27</f>
        <v>12</v>
      </c>
      <c r="BS27">
        <f>BQ27+BR27</f>
        <v>31</v>
      </c>
      <c r="BV27">
        <v>1983</v>
      </c>
    </row>
    <row r="28" spans="1:77"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F28+H28</f>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s="20" t="str">
        <f>_xlfn.CONCAT(TEXT(Table3[[#This Row],[OTW]]+Table3[[#This Row],[SOW]], "0"), "-", TEXT(Table3[[#This Row],[OTL]]+Table3[[#This Row],[SOL]],"0"))</f>
        <v>6-5</v>
      </c>
      <c r="AK28">
        <f>(2*(Table3[[#This Row],[W_A]]+Table3[[#This Row],[W_H]]))+Table3[[#This Row],[OTL_A]]+Table3[[#This Row],[SOL_A]]+Table3[[#This Row],[OTL_H]]+Table3[[#This Row],[SOL_H]]</f>
        <v>41</v>
      </c>
      <c r="AL28">
        <f>(3*(Table3[[#This Row],[RW_A]]+Table3[[#This Row],[RW_H]]))+(2*(Table3[[#This Row],[OTW_A]]+Table3[[#This Row],[SOW_A]]+Table3[[#This Row],[OTW_H]]+Table3[[#This Row],[SOW_H]]))+Table3[[#This Row],[OTL_A]]+Table3[[#This Row],[SOL_A]]+Table3[[#This Row],[OTL_H]]+Table3[[#This Row],[SOL_H]]</f>
        <v>53</v>
      </c>
      <c r="AM28" s="15">
        <f>Table3[[#This Row],[PTS]]/(2*Table3[[#This Row],[GP]])</f>
        <v>0.47674418604651164</v>
      </c>
      <c r="AN28" s="15">
        <f>Table3[[#This Row],[PTS2]]/(3*Table3[[#This Row],[GP]])</f>
        <v>0.41085271317829458</v>
      </c>
      <c r="AO28">
        <f>(2*Table3[[#This Row],[GR]])+Table3[[#This Row],[PTS]]</f>
        <v>119</v>
      </c>
      <c r="AP28">
        <f>(3*Table3[[#This Row],[GR]])+Table3[[#This Row],[PTS2]]</f>
        <v>170</v>
      </c>
      <c r="AQ28">
        <f>Table3[[#This Row],[PTS]]+(2 * Table3[[#This Row],[GR]] * Table3[[#This Row],[PTS%]])</f>
        <v>78.186046511627907</v>
      </c>
      <c r="AR28">
        <f>Table3[[#This Row],[PTS2]]+(3 * Table3[[#This Row],[GR]] * Table3[[#This Row],[PTS%2]])</f>
        <v>101.06976744186046</v>
      </c>
      <c r="AS28" s="20" t="str">
        <f>_xlfn.CONCAT(TEXT(Table3[[#This Row],[W]], "0"), "-", TEXT(Table3[[#This Row],[RL]],"0"), "-", TEXT(Table3[[#This Row],[OTL]]+Table3[[#This Row],[SOL]], "0"))</f>
        <v>18-20-5</v>
      </c>
      <c r="AT28">
        <f>COUNTIFS(DataRegularSeason20242025!$D$3:$D$1315,Table3[[#This Row],[Teams]],DataRegularSeason20242025!$K$3:$K$1315,0)</f>
        <v>1</v>
      </c>
      <c r="AU28">
        <f>SUMIF(DataRegularSeason20242025!$D$3:$D$1315,$A28, DataRegularSeason20242025!$J$3:$J$1315)</f>
        <v>51</v>
      </c>
      <c r="AV28">
        <f>SUMIF(DataRegularSeason20242025!$D$3:$D$1315,$A28, DataRegularSeason20242025!$K$3:$K$1315)</f>
        <v>65</v>
      </c>
      <c r="AW28">
        <f>AU28-AV28</f>
        <v>-14</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108</v>
      </c>
      <c r="BC28">
        <f>AV28+AZ28</f>
        <v>135</v>
      </c>
      <c r="BD28">
        <f>BB28-BC28</f>
        <v>-27</v>
      </c>
      <c r="BE28" s="17">
        <f>Table3[[#This Row],[GF]]/Table3[[#This Row],[GP]]</f>
        <v>2.5116279069767442</v>
      </c>
      <c r="BF28" s="17">
        <f>Table3[[#This Row],[GA]]/Table3[[#This Row],[GP]]</f>
        <v>3.13953488372093</v>
      </c>
      <c r="BG28" s="17">
        <f>(Table3[[#This Row],[GF]]-Table3[[#This Row],[GA]])/Table3[[#This Row],[GP]]</f>
        <v>-0.62790697674418605</v>
      </c>
      <c r="BH28" s="50" t="str">
        <f>_xlfn.CONCAT(TEXT(Table3[[#This Row],[W_H]], "0"), "-", TEXT(Table3[[#This Row],[RL_H]],"0"), "-", TEXT(Table3[[#This Row],[OTL_H]]+Table3[[#This Row],[SOL_H]], "0"))</f>
        <v>9-11-2</v>
      </c>
      <c r="BI28" s="50" t="str">
        <f>_xlfn.CONCAT(TEXT(Table3[[#This Row],[W_A]], "0"), "-", TEXT(Table3[[#This Row],[RL_A]],"0"), "-", TEXT(Table3[[#This Row],[OTL_A]]+Table3[[#This Row],[SOL_A]], "0"))</f>
        <v>9-9-3</v>
      </c>
      <c r="BJ28" s="50">
        <f>((2*(Table3[[#This Row],[W_H]]))+Table3[[#This Row],[OTL_H]]+Table3[[#This Row],[SOL_H]])/(2*Table3[[#This Row],[GP_H]])</f>
        <v>0.45454545454545453</v>
      </c>
      <c r="BK28" s="50">
        <f>((2*(Table3[[#This Row],[W_A]]))+Table3[[#This Row],[OTL_A]]+Table3[[#This Row],[SOL_A]])/(2*Table3[[#This Row],[GP_A]])</f>
        <v>0.5</v>
      </c>
      <c r="BL28" s="21">
        <f>(Table3[[#This Row],[W]]*$CE$3)+(Table3[[#This Row],[L]]*$CE$4)+(Table3[[#This Row],[GF]]*$CE$5)+(Table3[[#This Row],[GA]]*$CE$6)</f>
        <v>46.2</v>
      </c>
      <c r="BM28" s="21">
        <f>(82*(((Table3[[#This Row],[PTS%]]*$CE$3)+((1-Table3[[#This Row],[PTS%]])*$CE$4)+(Table3[[#This Row],[GF]]*$CE$5)+(Table3[[#This Row],[GA]]*$CE$6))/Table3[[#This Row],[GP]])) + (Table3[[#This Row],[W]]*$CE$3)+(Table3[[#This Row],[L]]*$CE$4)+(Table3[[#This Row],[GF]]*$CE$5)+(Table3[[#This Row],[GA]]*$CE$6)</f>
        <v>103.59113034072472</v>
      </c>
      <c r="BN28">
        <f>COUNTIFS(DataRegularSeason20242025!$D$3:$D$1315,$A28,DataRegularSeason20242025!$H$3:$H$1315, $A28)</f>
        <v>8</v>
      </c>
      <c r="BO28">
        <f>COUNTIFS(DataRegularSeason20242025!$E$3:$E$1315,$A28,DataRegularSeason20242025!$H$3:$H$1315, $A28)</f>
        <v>7</v>
      </c>
      <c r="BP28">
        <f>BN28+BO28</f>
        <v>15</v>
      </c>
      <c r="BQ28">
        <f>F28-BN28</f>
        <v>13</v>
      </c>
      <c r="BR28">
        <f>H28-BO28</f>
        <v>15</v>
      </c>
      <c r="BS28">
        <f>BQ28+BR28</f>
        <v>28</v>
      </c>
      <c r="BT28" s="6">
        <f>(BQ28+BN28)</f>
        <v>21</v>
      </c>
      <c r="BU28" s="6"/>
      <c r="BV28">
        <v>2007</v>
      </c>
    </row>
    <row r="29" spans="1:77"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35</v>
      </c>
      <c r="E29" s="15">
        <f>Table3[[#This Row],[Watched]]/Table3[[#This Row],[GP]]</f>
        <v>0.79545454545454541</v>
      </c>
      <c r="F29">
        <f>COUNTIFS(DataRegularSeason20242025!$N$3:$N$1315,1,DataRegularSeason20242025!$D$3:$D$1315,$A29)</f>
        <v>22</v>
      </c>
      <c r="G29">
        <f>41-Table3[[#This Row],[GP_A]]</f>
        <v>19</v>
      </c>
      <c r="H29">
        <f>COUNTIFS(DataRegularSeason20242025!$E$3:$E$1315,$A29,DataRegularSeason20242025!$N$3:$N$1315,1)</f>
        <v>22</v>
      </c>
      <c r="I29">
        <f>41-Table3[[#This Row],[GP_H]]</f>
        <v>19</v>
      </c>
      <c r="J29">
        <f>F29+H29</f>
        <v>44</v>
      </c>
      <c r="K29">
        <f>82-Table3[[#This Row],[GP]]</f>
        <v>38</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26</v>
      </c>
      <c r="AD29">
        <f>Table3[[#This Row],[RW_A]]+Table3[[#This Row],[RW_H]]</f>
        <v>14</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39</v>
      </c>
      <c r="AL29">
        <f>(3*(Table3[[#This Row],[RW_A]]+Table3[[#This Row],[RW_H]]))+(2*(Table3[[#This Row],[OTW_A]]+Table3[[#This Row],[SOW_A]]+Table3[[#This Row],[OTW_H]]+Table3[[#This Row],[SOW_H]]))+Table3[[#This Row],[OTL_A]]+Table3[[#This Row],[SOL_A]]+Table3[[#This Row],[OTL_H]]+Table3[[#This Row],[SOL_H]]</f>
        <v>53</v>
      </c>
      <c r="AM29" s="15">
        <f>Table3[[#This Row],[PTS]]/(2*Table3[[#This Row],[GP]])</f>
        <v>0.44318181818181818</v>
      </c>
      <c r="AN29" s="15">
        <f>Table3[[#This Row],[PTS2]]/(3*Table3[[#This Row],[GP]])</f>
        <v>0.40151515151515149</v>
      </c>
      <c r="AO29">
        <f>(2*Table3[[#This Row],[GR]])+Table3[[#This Row],[PTS]]</f>
        <v>115</v>
      </c>
      <c r="AP29">
        <f>(3*Table3[[#This Row],[GR]])+Table3[[#This Row],[PTS2]]</f>
        <v>167</v>
      </c>
      <c r="AQ29">
        <f>Table3[[#This Row],[PTS]]+(2 * Table3[[#This Row],[GR]] * Table3[[#This Row],[PTS%]])</f>
        <v>72.681818181818187</v>
      </c>
      <c r="AR29">
        <f>Table3[[#This Row],[PTS2]]+(3 * Table3[[#This Row],[GR]] * Table3[[#This Row],[PTS%2]])</f>
        <v>98.77272727272728</v>
      </c>
      <c r="AS29" s="20" t="str">
        <f>_xlfn.CONCAT(TEXT(Table3[[#This Row],[W]], "0"), "-", TEXT(Table3[[#This Row],[RL]],"0"), "-", TEXT(Table3[[#This Row],[OTL]]+Table3[[#This Row],[SOL]], "0"))</f>
        <v>18-23-3</v>
      </c>
      <c r="AT29">
        <f>COUNTIFS(DataRegularSeason20242025!$D$3:$D$1315,Table3[[#This Row],[Teams]],DataRegularSeason20242025!$K$3:$K$1315,0)</f>
        <v>0</v>
      </c>
      <c r="AU29">
        <f>SUMIF(DataRegularSeason20242025!$D$3:$D$1315,$A29, DataRegularSeason20242025!$J$3:$J$1315)</f>
        <v>71</v>
      </c>
      <c r="AV29">
        <f>SUMIF(DataRegularSeason20242025!$D$3:$D$1315,$A29, DataRegularSeason20242025!$K$3:$K$1315)</f>
        <v>82</v>
      </c>
      <c r="AW29">
        <f>AU29-AV29</f>
        <v>-11</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128</v>
      </c>
      <c r="BC29">
        <f>AV29+AZ29</f>
        <v>144</v>
      </c>
      <c r="BD29">
        <f>BB29-BC29</f>
        <v>-16</v>
      </c>
      <c r="BE29" s="17">
        <f>Table3[[#This Row],[GF]]/Table3[[#This Row],[GP]]</f>
        <v>2.9090909090909092</v>
      </c>
      <c r="BF29" s="17">
        <f>Table3[[#This Row],[GA]]/Table3[[#This Row],[GP]]</f>
        <v>3.2727272727272729</v>
      </c>
      <c r="BG29" s="17">
        <f>(Table3[[#This Row],[GF]]-Table3[[#This Row],[GA]])/Table3[[#This Row],[GP]]</f>
        <v>-0.36363636363636365</v>
      </c>
      <c r="BH29" s="50" t="str">
        <f>_xlfn.CONCAT(TEXT(Table3[[#This Row],[W_H]], "0"), "-", TEXT(Table3[[#This Row],[RL_H]],"0"), "-", TEXT(Table3[[#This Row],[OTL_H]]+Table3[[#This Row],[SOL_H]], "0"))</f>
        <v>9-10-3</v>
      </c>
      <c r="BI29" s="50" t="str">
        <f>_xlfn.CONCAT(TEXT(Table3[[#This Row],[W_A]], "0"), "-", TEXT(Table3[[#This Row],[RL_A]],"0"), "-", TEXT(Table3[[#This Row],[OTL_A]]+Table3[[#This Row],[SOL_A]], "0"))</f>
        <v>9-13-0</v>
      </c>
      <c r="BJ29" s="50">
        <f>((2*(Table3[[#This Row],[W_H]]))+Table3[[#This Row],[OTL_H]]+Table3[[#This Row],[SOL_H]])/(2*Table3[[#This Row],[GP_H]])</f>
        <v>0.47727272727272729</v>
      </c>
      <c r="BK29" s="50">
        <f>((2*(Table3[[#This Row],[W_A]]))+Table3[[#This Row],[OTL_A]]+Table3[[#This Row],[SOL_A]])/(2*Table3[[#This Row],[GP_A]])</f>
        <v>0.40909090909090912</v>
      </c>
      <c r="BL29" s="21">
        <f>(Table3[[#This Row],[W]]*$CE$3)+(Table3[[#This Row],[L]]*$CE$4)+(Table3[[#This Row],[GF]]*$CE$5)+(Table3[[#This Row],[GA]]*$CE$6)</f>
        <v>50.4</v>
      </c>
      <c r="BM29" s="21">
        <f>(82*(((Table3[[#This Row],[PTS%]]*$CE$3)+((1-Table3[[#This Row],[PTS%]])*$CE$4)+(Table3[[#This Row],[GF]]*$CE$5)+(Table3[[#This Row],[GA]]*$CE$6))/Table3[[#This Row],[GP]])) + (Table3[[#This Row],[W]]*$CE$3)+(Table3[[#This Row],[L]]*$CE$4)+(Table3[[#This Row],[GF]]*$CE$5)+(Table3[[#This Row],[GA]]*$CE$6)</f>
        <v>113.74245867768596</v>
      </c>
      <c r="BN29">
        <f>COUNTIFS(DataRegularSeason20242025!$D$3:$D$1315,$A29,DataRegularSeason20242025!$H$3:$H$1315, $A29)</f>
        <v>7</v>
      </c>
      <c r="BO29">
        <f>COUNTIFS(DataRegularSeason20242025!$E$3:$E$1315,$A29,DataRegularSeason20242025!$H$3:$H$1315, $A29)</f>
        <v>7</v>
      </c>
      <c r="BP29">
        <f>BN29+BO29</f>
        <v>14</v>
      </c>
      <c r="BQ29">
        <f>F29-BN29</f>
        <v>15</v>
      </c>
      <c r="BR29">
        <f>H29-BO29</f>
        <v>15</v>
      </c>
      <c r="BS29">
        <f>BQ29+BR29</f>
        <v>30</v>
      </c>
    </row>
    <row r="30" spans="1:77"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37</v>
      </c>
      <c r="AL30">
        <f>(3*(Table3[[#This Row],[RW_A]]+Table3[[#This Row],[RW_H]]))+(2*(Table3[[#This Row],[OTW_A]]+Table3[[#This Row],[SOW_A]]+Table3[[#This Row],[OTW_H]]+Table3[[#This Row],[SOW_H]]))+Table3[[#This Row],[OTL_A]]+Table3[[#This Row],[SOL_A]]+Table3[[#This Row],[OTL_H]]+Table3[[#This Row],[SOL_H]]</f>
        <v>49</v>
      </c>
      <c r="AM30" s="15">
        <f>Table3[[#This Row],[PTS]]/(2*Table3[[#This Row],[GP]])</f>
        <v>0.43023255813953487</v>
      </c>
      <c r="AN30" s="15">
        <f>Table3[[#This Row],[PTS2]]/(3*Table3[[#This Row],[GP]])</f>
        <v>0.37984496124031009</v>
      </c>
      <c r="AO30">
        <f>(2*Table3[[#This Row],[GR]])+Table3[[#This Row],[PTS]]</f>
        <v>115</v>
      </c>
      <c r="AP30">
        <f>(3*Table3[[#This Row],[GR]])+Table3[[#This Row],[PTS2]]</f>
        <v>166</v>
      </c>
      <c r="AQ30">
        <f>Table3[[#This Row],[PTS]]+(2 * Table3[[#This Row],[GR]] * Table3[[#This Row],[PTS%]])</f>
        <v>70.558139534883722</v>
      </c>
      <c r="AR30">
        <f>Table3[[#This Row],[PTS2]]+(3 * Table3[[#This Row],[GR]] * Table3[[#This Row],[PTS%2]])</f>
        <v>93.441860465116278</v>
      </c>
      <c r="AS30" s="20" t="str">
        <f>_xlfn.CONCAT(TEXT(Table3[[#This Row],[W]], "0"), "-", TEXT(Table3[[#This Row],[RL]],"0"), "-", TEXT(Table3[[#This Row],[OTL]]+Table3[[#This Row],[SOL]], "0"))</f>
        <v>16-22-5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71</v>
      </c>
      <c r="AZ30">
        <f>SUMIF(DataRegularSeason20242025!$E$3:$E$1315,$A30,DataRegularSeason20242025!$J$3:$J$1315)</f>
        <v>80</v>
      </c>
      <c r="BA30">
        <f>AY30-AZ30</f>
        <v>-9</v>
      </c>
      <c r="BB30">
        <f>AU30+AY30</f>
        <v>132</v>
      </c>
      <c r="BC30">
        <f>AV30+AZ30</f>
        <v>146</v>
      </c>
      <c r="BD30">
        <f>BB30-BC30</f>
        <v>-14</v>
      </c>
      <c r="BE30" s="17">
        <f>Table3[[#This Row],[GF]]/Table3[[#This Row],[GP]]</f>
        <v>3.0697674418604652</v>
      </c>
      <c r="BF30" s="17">
        <f>Table3[[#This Row],[GA]]/Table3[[#This Row],[GP]]</f>
        <v>3.3953488372093021</v>
      </c>
      <c r="BG30" s="17">
        <f>(Table3[[#This Row],[GF]]-Table3[[#This Row],[GA]])/Table3[[#This Row],[GP]]</f>
        <v>-0.32558139534883723</v>
      </c>
      <c r="BH30" s="50" t="str">
        <f>_xlfn.CONCAT(TEXT(Table3[[#This Row],[W_H]], "0"), "-", TEXT(Table3[[#This Row],[RL_H]],"0"), "-", TEXT(Table3[[#This Row],[OTL_H]]+Table3[[#This Row],[SOL_H]], "0"))</f>
        <v>8-11-3</v>
      </c>
      <c r="BI30" s="50" t="str">
        <f>_xlfn.CONCAT(TEXT(Table3[[#This Row],[W_A]], "0"), "-", TEXT(Table3[[#This Row],[RL_A]],"0"), "-", TEXT(Table3[[#This Row],[OTL_A]]+Table3[[#This Row],[SOL_A]], "0"))</f>
        <v>8-11-2</v>
      </c>
      <c r="BJ30" s="50">
        <f>((2*(Table3[[#This Row],[W_H]]))+Table3[[#This Row],[OTL_H]]+Table3[[#This Row],[SOL_H]])/(2*Table3[[#This Row],[GP_H]])</f>
        <v>0.43181818181818182</v>
      </c>
      <c r="BK30" s="50">
        <f>((2*(Table3[[#This Row],[W_A]]))+Table3[[#This Row],[OTL_A]]+Table3[[#This Row],[SOL_A]])/(2*Table3[[#This Row],[GP_A]])</f>
        <v>0.42857142857142855</v>
      </c>
      <c r="BL30" s="21">
        <f>(Table3[[#This Row],[W]]*$CE$3)+(Table3[[#This Row],[L]]*$CE$4)+(Table3[[#This Row],[GF]]*$CE$5)+(Table3[[#This Row],[GA]]*$CE$6)</f>
        <v>50.500000000000007</v>
      </c>
      <c r="BM30" s="21">
        <f>(82*(((Table3[[#This Row],[PTS%]]*$CE$3)+((1-Table3[[#This Row],[PTS%]])*$CE$4)+(Table3[[#This Row],[GF]]*$CE$5)+(Table3[[#This Row],[GA]]*$CE$6))/Table3[[#This Row],[GP]])) + (Table3[[#This Row],[W]]*$CE$3)+(Table3[[#This Row],[L]]*$CE$4)+(Table3[[#This Row],[GF]]*$CE$5)+(Table3[[#This Row],[GA]]*$CE$6)</f>
        <v>116.83618171984855</v>
      </c>
      <c r="BN30">
        <f>COUNTIFS(DataRegularSeason20242025!$D$3:$D$1315,$A30,DataRegularSeason20242025!$H$3:$H$1315, $A30)</f>
        <v>10</v>
      </c>
      <c r="BO30">
        <f>COUNTIFS(DataRegularSeason20242025!$E$3:$E$1315,$A30,DataRegularSeason20242025!$H$3:$H$1315, $A30)</f>
        <v>9</v>
      </c>
      <c r="BP30">
        <f>BN30+BO30</f>
        <v>19</v>
      </c>
      <c r="BQ30">
        <f>F30-BN30</f>
        <v>11</v>
      </c>
      <c r="BR30">
        <f>H30-BO30</f>
        <v>13</v>
      </c>
      <c r="BS30">
        <f>BQ30+BR30</f>
        <v>24</v>
      </c>
    </row>
    <row r="31" spans="1:77"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F31+H31</f>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s="20" t="str">
        <f>_xlfn.CONCAT(TEXT(Table3[[#This Row],[OTW]]+Table3[[#This Row],[SOW]], "0"), "-", TEXT(Table3[[#This Row],[OTL]]+Table3[[#This Row],[SOL]],"0"))</f>
        <v>2-7</v>
      </c>
      <c r="AK31">
        <f>(2*(Table3[[#This Row],[W_A]]+Table3[[#This Row],[W_H]]))+Table3[[#This Row],[OTL_A]]+Table3[[#This Row],[SOL_A]]+Table3[[#This Row],[OTL_H]]+Table3[[#This Row],[SOL_H]]</f>
        <v>33</v>
      </c>
      <c r="AL31">
        <f>(3*(Table3[[#This Row],[RW_A]]+Table3[[#This Row],[RW_H]]))+(2*(Table3[[#This Row],[OTW_A]]+Table3[[#This Row],[SOW_A]]+Table3[[#This Row],[OTW_H]]+Table3[[#This Row],[SOW_H]]))+Table3[[#This Row],[OTL_A]]+Table3[[#This Row],[SOL_A]]+Table3[[#This Row],[OTL_H]]+Table3[[#This Row],[SOL_H]]</f>
        <v>44</v>
      </c>
      <c r="AM31" s="15">
        <f>Table3[[#This Row],[PTS]]/(2*Table3[[#This Row],[GP]])</f>
        <v>0.39285714285714285</v>
      </c>
      <c r="AN31" s="15">
        <f>Table3[[#This Row],[PTS2]]/(3*Table3[[#This Row],[GP]])</f>
        <v>0.34920634920634919</v>
      </c>
      <c r="AO31">
        <f>(2*Table3[[#This Row],[GR]])+Table3[[#This Row],[PTS]]</f>
        <v>113</v>
      </c>
      <c r="AP31">
        <f>(3*Table3[[#This Row],[GR]])+Table3[[#This Row],[PTS2]]</f>
        <v>164</v>
      </c>
      <c r="AQ31">
        <f>Table3[[#This Row],[PTS]]+(2 * Table3[[#This Row],[GR]] * Table3[[#This Row],[PTS%]])</f>
        <v>64.428571428571431</v>
      </c>
      <c r="AR31">
        <f>Table3[[#This Row],[PTS2]]+(3 * Table3[[#This Row],[GR]] * Table3[[#This Row],[PTS%2]])</f>
        <v>85.904761904761898</v>
      </c>
      <c r="AS31" s="20" t="str">
        <f>_xlfn.CONCAT(TEXT(Table3[[#This Row],[W]], "0"), "-", TEXT(Table3[[#This Row],[RL]],"0"), "-", TEXT(Table3[[#This Row],[OTL]]+Table3[[#This Row],[SOL]], "0"))</f>
        <v>13-22-7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76</v>
      </c>
      <c r="AW31">
        <f>AU31-AV31</f>
        <v>-29</v>
      </c>
      <c r="AX31">
        <f>COUNTIFS(DataRegularSeason20242025!$E$3:$E$1315,Table3[[#This Row],[Teams]],DataRegularSeason20242025!$J$3:$J$1315,0)</f>
        <v>3</v>
      </c>
      <c r="AY31">
        <f>SUMIF(DataRegularSeason20242025!$E$3:$E$1315,$A31,DataRegularSeason20242025!$K$3:$K$1315)</f>
        <v>54</v>
      </c>
      <c r="AZ31">
        <f>SUMIF(DataRegularSeason20242025!$E$3:$E$1315,$A31,DataRegularSeason20242025!$J$3:$J$1315)</f>
        <v>57</v>
      </c>
      <c r="BA31">
        <f>AY31-AZ31</f>
        <v>-3</v>
      </c>
      <c r="BB31">
        <f>AU31+AY31</f>
        <v>101</v>
      </c>
      <c r="BC31">
        <f>AV31+AZ31</f>
        <v>133</v>
      </c>
      <c r="BD31">
        <f>BB31-BC31</f>
        <v>-32</v>
      </c>
      <c r="BE31" s="17">
        <f>Table3[[#This Row],[GF]]/Table3[[#This Row],[GP]]</f>
        <v>2.4047619047619047</v>
      </c>
      <c r="BF31" s="17">
        <f>Table3[[#This Row],[GA]]/Table3[[#This Row],[GP]]</f>
        <v>3.1666666666666665</v>
      </c>
      <c r="BG31" s="17">
        <f>(Table3[[#This Row],[GF]]-Table3[[#This Row],[GA]])/Table3[[#This Row],[GP]]</f>
        <v>-0.76190476190476186</v>
      </c>
      <c r="BH31" s="50" t="str">
        <f>_xlfn.CONCAT(TEXT(Table3[[#This Row],[W_H]], "0"), "-", TEXT(Table3[[#This Row],[RL_H]],"0"), "-", TEXT(Table3[[#This Row],[OTL_H]]+Table3[[#This Row],[SOL_H]], "0"))</f>
        <v>8-8-3</v>
      </c>
      <c r="BI31" s="50" t="str">
        <f>_xlfn.CONCAT(TEXT(Table3[[#This Row],[W_A]], "0"), "-", TEXT(Table3[[#This Row],[RL_A]],"0"), "-", TEXT(Table3[[#This Row],[OTL_A]]+Table3[[#This Row],[SOL_A]], "0"))</f>
        <v>5-14-4</v>
      </c>
      <c r="BJ31" s="50">
        <f>((2*(Table3[[#This Row],[W_H]]))+Table3[[#This Row],[OTL_H]]+Table3[[#This Row],[SOL_H]])/(2*Table3[[#This Row],[GP_H]])</f>
        <v>0.5</v>
      </c>
      <c r="BK31" s="50">
        <f>((2*(Table3[[#This Row],[W_A]]))+Table3[[#This Row],[OTL_A]]+Table3[[#This Row],[SOL_A]])/(2*Table3[[#This Row],[GP_A]])</f>
        <v>0.30434782608695654</v>
      </c>
      <c r="BL31" s="21">
        <f>(Table3[[#This Row],[W]]*$CE$3)+(Table3[[#This Row],[L]]*$CE$4)+(Table3[[#This Row],[GF]]*$CE$5)+(Table3[[#This Row],[GA]]*$CE$6)</f>
        <v>43.65</v>
      </c>
      <c r="BM31" s="21">
        <f>(82*(((Table3[[#This Row],[PTS%]]*$CE$3)+((1-Table3[[#This Row],[PTS%]])*$CE$4)+(Table3[[#This Row],[GF]]*$CE$5)+(Table3[[#This Row],[GA]]*$CE$6))/Table3[[#This Row],[GP]])) + (Table3[[#This Row],[W]]*$CE$3)+(Table3[[#This Row],[L]]*$CE$4)+(Table3[[#This Row],[GF]]*$CE$5)+(Table3[[#This Row],[GA]]*$CE$6)</f>
        <v>99.934353741496594</v>
      </c>
      <c r="BN31">
        <f>COUNTIFS(DataRegularSeason20242025!$D$3:$D$1315,$A31,DataRegularSeason20242025!$H$3:$H$1315, $A31)</f>
        <v>6</v>
      </c>
      <c r="BO31">
        <f>COUNTIFS(DataRegularSeason20242025!$E$3:$E$1315,$A31,DataRegularSeason20242025!$H$3:$H$1315, $A31)</f>
        <v>10</v>
      </c>
      <c r="BP31">
        <f>BN31+BO31</f>
        <v>16</v>
      </c>
      <c r="BQ31">
        <f>F31-BN31</f>
        <v>17</v>
      </c>
      <c r="BR31">
        <f>H31-BO31</f>
        <v>9</v>
      </c>
      <c r="BS31">
        <f>BQ31+BR31</f>
        <v>26</v>
      </c>
    </row>
    <row r="32" spans="1:77"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36</v>
      </c>
      <c r="E32" s="15">
        <f>Table3[[#This Row],[Watched]]/Table3[[#This Row],[GP]]</f>
        <v>0.8</v>
      </c>
      <c r="F32">
        <f>COUNTIFS(DataRegularSeason20242025!$N$3:$N$1315,1,DataRegularSeason20242025!$D$3:$D$1315,$A32)</f>
        <v>22</v>
      </c>
      <c r="G32">
        <f>41-Table3[[#This Row],[GP_A]]</f>
        <v>19</v>
      </c>
      <c r="H32">
        <f>COUNTIFS(DataRegularSeason20242025!$E$3:$E$1315,$A32,DataRegularSeason20242025!$N$3:$N$1315,1)</f>
        <v>23</v>
      </c>
      <c r="I32">
        <f>41-Table3[[#This Row],[GP_H]]</f>
        <v>18</v>
      </c>
      <c r="J32">
        <f>F32+H32</f>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32</v>
      </c>
      <c r="AD32">
        <f>Table3[[#This Row],[RW_A]]+Table3[[#This Row],[RW_H]]</f>
        <v>9</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32</v>
      </c>
      <c r="AL32">
        <f>(3*(Table3[[#This Row],[RW_A]]+Table3[[#This Row],[RW_H]]))+(2*(Table3[[#This Row],[OTW_A]]+Table3[[#This Row],[SOW_A]]+Table3[[#This Row],[OTW_H]]+Table3[[#This Row],[SOW_H]]))+Table3[[#This Row],[OTL_A]]+Table3[[#This Row],[SOL_A]]+Table3[[#This Row],[OTL_H]]+Table3[[#This Row],[SOL_H]]</f>
        <v>41</v>
      </c>
      <c r="AM32" s="15">
        <f>Table3[[#This Row],[PTS]]/(2*Table3[[#This Row],[GP]])</f>
        <v>0.35555555555555557</v>
      </c>
      <c r="AN32" s="15">
        <f>Table3[[#This Row],[PTS2]]/(3*Table3[[#This Row],[GP]])</f>
        <v>0.3037037037037037</v>
      </c>
      <c r="AO32">
        <f>(2*Table3[[#This Row],[GR]])+Table3[[#This Row],[PTS]]</f>
        <v>106</v>
      </c>
      <c r="AP32">
        <f>(3*Table3[[#This Row],[GR]])+Table3[[#This Row],[PTS2]]</f>
        <v>152</v>
      </c>
      <c r="AQ32">
        <f>Table3[[#This Row],[PTS]]+(2 * Table3[[#This Row],[GR]] * Table3[[#This Row],[PTS%]])</f>
        <v>58.311111111111117</v>
      </c>
      <c r="AR32">
        <f>Table3[[#This Row],[PTS2]]+(3 * Table3[[#This Row],[GR]] * Table3[[#This Row],[PTS%2]])</f>
        <v>74.711111111111109</v>
      </c>
      <c r="AS32" s="20" t="str">
        <f>_xlfn.CONCAT(TEXT(Table3[[#This Row],[W]], "0"), "-", TEXT(Table3[[#This Row],[RL]],"0"), "-", TEXT(Table3[[#This Row],[OTL]]+Table3[[#This Row],[SOL]], "0"))</f>
        <v>13-26-6</v>
      </c>
      <c r="AT32">
        <f>COUNTIFS(DataRegularSeason20242025!$D$3:$D$1315,Table3[[#This Row],[Teams]],DataRegularSeason20242025!$K$3:$K$1315,0)</f>
        <v>1</v>
      </c>
      <c r="AU32">
        <f>SUMIF(DataRegularSeason20242025!$D$3:$D$1315,$A32, DataRegularSeason20242025!$J$3:$J$1315)</f>
        <v>51</v>
      </c>
      <c r="AV32">
        <f>SUMIF(DataRegularSeason20242025!$D$3:$D$1315,$A32, DataRegularSeason20242025!$K$3:$K$1315)</f>
        <v>80</v>
      </c>
      <c r="AW32">
        <f>AU32-AV32</f>
        <v>-29</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AY32-AZ32</f>
        <v>-15</v>
      </c>
      <c r="BB32">
        <f>AU32+AY32</f>
        <v>114</v>
      </c>
      <c r="BC32">
        <f>AV32+AZ32</f>
        <v>158</v>
      </c>
      <c r="BD32">
        <f>BB32-BC32</f>
        <v>-44</v>
      </c>
      <c r="BE32" s="17">
        <f>Table3[[#This Row],[GF]]/Table3[[#This Row],[GP]]</f>
        <v>2.5333333333333332</v>
      </c>
      <c r="BF32" s="17">
        <f>Table3[[#This Row],[GA]]/Table3[[#This Row],[GP]]</f>
        <v>3.5111111111111111</v>
      </c>
      <c r="BG32" s="17">
        <f>(Table3[[#This Row],[GF]]-Table3[[#This Row],[GA]])/Table3[[#This Row],[GP]]</f>
        <v>-0.97777777777777775</v>
      </c>
      <c r="BH32" s="50" t="str">
        <f>_xlfn.CONCAT(TEXT(Table3[[#This Row],[W_H]], "0"), "-", TEXT(Table3[[#This Row],[RL_H]],"0"), "-", TEXT(Table3[[#This Row],[OTL_H]]+Table3[[#This Row],[SOL_H]], "0"))</f>
        <v>8-14-1</v>
      </c>
      <c r="BI32" s="50" t="str">
        <f>_xlfn.CONCAT(TEXT(Table3[[#This Row],[W_A]], "0"), "-", TEXT(Table3[[#This Row],[RL_A]],"0"), "-", TEXT(Table3[[#This Row],[OTL_A]]+Table3[[#This Row],[SOL_A]], "0"))</f>
        <v>5-12-5</v>
      </c>
      <c r="BJ32" s="50">
        <f>((2*(Table3[[#This Row],[W_H]]))+Table3[[#This Row],[OTL_H]]+Table3[[#This Row],[SOL_H]])/(2*Table3[[#This Row],[GP_H]])</f>
        <v>0.36956521739130432</v>
      </c>
      <c r="BK32" s="50">
        <f>((2*(Table3[[#This Row],[W_A]]))+Table3[[#This Row],[OTL_A]]+Table3[[#This Row],[SOL_A]])/(2*Table3[[#This Row],[GP_A]])</f>
        <v>0.34090909090909088</v>
      </c>
      <c r="BL32" s="21">
        <f>(Table3[[#This Row],[W]]*$CE$3)+(Table3[[#This Row],[L]]*$CE$4)+(Table3[[#This Row],[GF]]*$CE$5)+(Table3[[#This Row],[GA]]*$CE$6)</f>
        <v>49</v>
      </c>
      <c r="BM32" s="21">
        <f>(82*(((Table3[[#This Row],[PTS%]]*$CE$3)+((1-Table3[[#This Row],[PTS%]])*$CE$4)+(Table3[[#This Row],[GF]]*$CE$5)+(Table3[[#This Row],[GA]]*$CE$6))/Table3[[#This Row],[GP]])) + (Table3[[#This Row],[W]]*$CE$3)+(Table3[[#This Row],[L]]*$CE$4)+(Table3[[#This Row],[GF]]*$CE$5)+(Table3[[#This Row],[GA]]*$CE$6)</f>
        <v>109.62735802469135</v>
      </c>
      <c r="BN32">
        <f>COUNTIFS(DataRegularSeason20242025!$D$3:$D$1315,$A32,DataRegularSeason20242025!$H$3:$H$1315, $A32)</f>
        <v>4</v>
      </c>
      <c r="BO32">
        <f>COUNTIFS(DataRegularSeason20242025!$E$3:$E$1315,$A32,DataRegularSeason20242025!$H$3:$H$1315, $A32)</f>
        <v>5</v>
      </c>
      <c r="BP32">
        <f>BN32+BO32</f>
        <v>9</v>
      </c>
      <c r="BQ32">
        <f>F32-BN32</f>
        <v>18</v>
      </c>
      <c r="BR32">
        <f>H32-BO32</f>
        <v>18</v>
      </c>
      <c r="BS32">
        <f>BQ32+BR32</f>
        <v>36</v>
      </c>
    </row>
    <row r="33" spans="1:77"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38</v>
      </c>
      <c r="E33" s="15">
        <f>Table3[[#This Row],[Watched]]/Table3[[#This Row],[GP]]</f>
        <v>0.86363636363636365</v>
      </c>
      <c r="F33">
        <f>COUNTIFS(DataRegularSeason20242025!$N$3:$N$1315,1,DataRegularSeason20242025!$D$3:$D$1315,$A33)</f>
        <v>22</v>
      </c>
      <c r="G33">
        <f>41-Table3[[#This Row],[GP_A]]</f>
        <v>19</v>
      </c>
      <c r="H33">
        <f>COUNTIFS(DataRegularSeason20242025!$E$3:$E$1315,$A33,DataRegularSeason20242025!$N$3:$N$1315,1)</f>
        <v>22</v>
      </c>
      <c r="I33">
        <f>41-Table3[[#This Row],[GP_H]]</f>
        <v>19</v>
      </c>
      <c r="J33">
        <f>F33+H33</f>
        <v>44</v>
      </c>
      <c r="K33">
        <f>82-Table3[[#This Row],[GP]]</f>
        <v>38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30</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0</v>
      </c>
      <c r="AJ33" s="20" t="str">
        <f>_xlfn.CONCAT(TEXT(Table3[[#This Row],[OTW]]+Table3[[#This Row],[SOW]], "0"), "-", TEXT(Table3[[#This Row],[OTL]]+Table3[[#This Row],[SOL]],"0"))</f>
        <v>2-2</v>
      </c>
      <c r="AK33">
        <f>(2*(Table3[[#This Row],[W_A]]+Table3[[#This Row],[W_H]]))+Table3[[#This Row],[OTL_A]]+Table3[[#This Row],[SOL_A]]+Table3[[#This Row],[OTL_H]]+Table3[[#This Row],[SOL_H]]</f>
        <v>30</v>
      </c>
      <c r="AL33">
        <f>(3*(Table3[[#This Row],[RW_A]]+Table3[[#This Row],[RW_H]]))+(2*(Table3[[#This Row],[OTW_A]]+Table3[[#This Row],[SOW_A]]+Table3[[#This Row],[OTW_H]]+Table3[[#This Row],[SOW_H]]))+Table3[[#This Row],[OTL_A]]+Table3[[#This Row],[SOL_A]]+Table3[[#This Row],[OTL_H]]+Table3[[#This Row],[SOL_H]]</f>
        <v>42</v>
      </c>
      <c r="AM33" s="15">
        <f>Table3[[#This Row],[PTS]]/(2*Table3[[#This Row],[GP]])</f>
        <v>0.34090909090909088</v>
      </c>
      <c r="AN33" s="15">
        <f>Table3[[#This Row],[PTS2]]/(3*Table3[[#This Row],[GP]])</f>
        <v>0.31818181818181818</v>
      </c>
      <c r="AO33">
        <f>(2*Table3[[#This Row],[GR]])+Table3[[#This Row],[PTS]]</f>
        <v>106</v>
      </c>
      <c r="AP33">
        <f>(3*Table3[[#This Row],[GR]])+Table3[[#This Row],[PTS2]]</f>
        <v>156</v>
      </c>
      <c r="AQ33">
        <f>Table3[[#This Row],[PTS]]+(2 * Table3[[#This Row],[GR]] * Table3[[#This Row],[PTS%]])</f>
        <v>55.909090909090907</v>
      </c>
      <c r="AR33">
        <f>Table3[[#This Row],[PTS2]]+(3 * Table3[[#This Row],[GR]] * Table3[[#This Row],[PTS%2]])</f>
        <v>78.27272727272728</v>
      </c>
      <c r="AS33" s="20" t="str">
        <f>_xlfn.CONCAT(TEXT(Table3[[#This Row],[W]], "0"), "-", TEXT(Table3[[#This Row],[RL]],"0"), "-", TEXT(Table3[[#This Row],[OTL]]+Table3[[#This Row],[SOL]], "0"))</f>
        <v>14-28-2</v>
      </c>
      <c r="AT33">
        <f>COUNTIFS(DataRegularSeason20242025!$D$3:$D$1315,Table3[[#This Row],[Teams]],DataRegularSeason20242025!$K$3:$K$1315,0)</f>
        <v>0</v>
      </c>
      <c r="AU33">
        <f>SUMIF(DataRegularSeason20242025!$D$3:$D$1315,$A33, DataRegularSeason20242025!$J$3:$J$1315)</f>
        <v>53</v>
      </c>
      <c r="AV33">
        <f>SUMIF(DataRegularSeason20242025!$D$3:$D$1315,$A33, DataRegularSeason20242025!$K$3:$K$1315)</f>
        <v>77</v>
      </c>
      <c r="AW33">
        <f>AU33-AV33</f>
        <v>-24</v>
      </c>
      <c r="AX33">
        <f>COUNTIFS(DataRegularSeason20242025!$E$3:$E$1315,Table3[[#This Row],[Teams]],DataRegularSeason20242025!$J$3:$J$1315,0)</f>
        <v>0</v>
      </c>
      <c r="AY33">
        <f>SUMIF(DataRegularSeason20242025!$E$3:$E$1315,$A33,DataRegularSeason20242025!$K$3:$K$1315)</f>
        <v>60</v>
      </c>
      <c r="AZ33">
        <f>SUMIF(DataRegularSeason20242025!$E$3:$E$1315,$A33,DataRegularSeason20242025!$J$3:$J$1315)</f>
        <v>75</v>
      </c>
      <c r="BA33">
        <f>AY33-AZ33</f>
        <v>-15</v>
      </c>
      <c r="BB33">
        <f>AU33+AY33</f>
        <v>113</v>
      </c>
      <c r="BC33">
        <f>AV33+AZ33</f>
        <v>152</v>
      </c>
      <c r="BD33">
        <f>BB33-BC33</f>
        <v>-39</v>
      </c>
      <c r="BE33" s="17">
        <f>Table3[[#This Row],[GF]]/Table3[[#This Row],[GP]]</f>
        <v>2.5681818181818183</v>
      </c>
      <c r="BF33" s="17">
        <f>Table3[[#This Row],[GA]]/Table3[[#This Row],[GP]]</f>
        <v>3.4545454545454546</v>
      </c>
      <c r="BG33" s="17">
        <f>(Table3[[#This Row],[GF]]-Table3[[#This Row],[GA]])/Table3[[#This Row],[GP]]</f>
        <v>-0.88636363636363635</v>
      </c>
      <c r="BH33" s="50" t="str">
        <f>_xlfn.CONCAT(TEXT(Table3[[#This Row],[W_H]], "0"), "-", TEXT(Table3[[#This Row],[RL_H]],"0"), "-", TEXT(Table3[[#This Row],[OTL_H]]+Table3[[#This Row],[SOL_H]], "0"))</f>
        <v>9-13-0</v>
      </c>
      <c r="BI33" s="50" t="str">
        <f>_xlfn.CONCAT(TEXT(Table3[[#This Row],[W_A]], "0"), "-", TEXT(Table3[[#This Row],[RL_A]],"0"), "-", TEXT(Table3[[#This Row],[OTL_A]]+Table3[[#This Row],[SOL_A]], "0"))</f>
        <v>5-15-2</v>
      </c>
      <c r="BJ33" s="50">
        <f>((2*(Table3[[#This Row],[W_H]]))+Table3[[#This Row],[OTL_H]]+Table3[[#This Row],[SOL_H]])/(2*Table3[[#This Row],[GP_H]])</f>
        <v>0.40909090909090912</v>
      </c>
      <c r="BK33" s="50">
        <f>((2*(Table3[[#This Row],[W_A]]))+Table3[[#This Row],[OTL_A]]+Table3[[#This Row],[SOL_A]])/(2*Table3[[#This Row],[GP_A]])</f>
        <v>0.27272727272727271</v>
      </c>
      <c r="BL33" s="21">
        <f>(Table3[[#This Row],[W]]*$CE$3)+(Table3[[#This Row],[L]]*$CE$4)+(Table3[[#This Row],[GF]]*$CE$5)+(Table3[[#This Row],[GA]]*$CE$6)</f>
        <v>48.150000000000006</v>
      </c>
      <c r="BM33" s="21">
        <f>(82*(((Table3[[#This Row],[PTS%]]*$CE$3)+((1-Table3[[#This Row],[PTS%]])*$CE$4)+(Table3[[#This Row],[GF]]*$CE$5)+(Table3[[#This Row],[GA]]*$CE$6))/Table3[[#This Row],[GP]])) + (Table3[[#This Row],[W]]*$CE$3)+(Table3[[#This Row],[L]]*$CE$4)+(Table3[[#This Row],[GF]]*$CE$5)+(Table3[[#This Row],[GA]]*$CE$6)</f>
        <v>108.75206611570249</v>
      </c>
      <c r="BN33">
        <f>COUNTIFS(DataRegularSeason20242025!$D$3:$D$1315,$A33,DataRegularSeason20242025!$H$3:$H$1315, $A33)</f>
        <v>2</v>
      </c>
      <c r="BO33">
        <f>COUNTIFS(DataRegularSeason20242025!$E$3:$E$1315,$A33,DataRegularSeason20242025!$H$3:$H$1315, $A33)</f>
        <v>5</v>
      </c>
      <c r="BP33">
        <f>BN33+BO33</f>
        <v>7</v>
      </c>
      <c r="BQ33">
        <f>F33-BN33</f>
        <v>20</v>
      </c>
      <c r="BR33">
        <f>H33-BO33</f>
        <v>17</v>
      </c>
      <c r="BS33">
        <f>BQ33+BR33</f>
        <v>37</v>
      </c>
      <c r="BV33">
        <v>2015</v>
      </c>
    </row>
    <row r="34" spans="1:77" x14ac:dyDescent="0.25">
      <c r="BY34" t="str">
        <f t="array" ref="BY34:BY66">IF(DataRegularSeason20242025!$D$3:$D$1315="CGY",DataRegularSeason20242025!$D$3:$D$1315,"")</f>
        <v/>
      </c>
    </row>
    <row r="35" spans="1:77" x14ac:dyDescent="0.25">
      <c r="A35" t="s">
        <v>1760</v>
      </c>
      <c r="D35">
        <f>SUM(D$2:D$33)</f>
        <v>1128</v>
      </c>
      <c r="E35">
        <f t="shared" ref="E35:BU35" si="0">SUM(E$2:E$33)</f>
        <v>26.112605145531976</v>
      </c>
      <c r="F35">
        <f t="shared" si="0"/>
        <v>691</v>
      </c>
      <c r="G35">
        <f t="shared" si="0"/>
        <v>621</v>
      </c>
      <c r="H35">
        <f t="shared" si="0"/>
        <v>691</v>
      </c>
      <c r="I35">
        <f t="shared" si="0"/>
        <v>621</v>
      </c>
      <c r="J35">
        <f t="shared" si="0"/>
        <v>1382</v>
      </c>
      <c r="K35">
        <f t="shared" si="0"/>
        <v>1242</v>
      </c>
      <c r="L35">
        <f t="shared" si="0"/>
        <v>318</v>
      </c>
      <c r="M35">
        <f t="shared" si="0"/>
        <v>254</v>
      </c>
      <c r="N35">
        <f t="shared" si="0"/>
        <v>50</v>
      </c>
      <c r="O35">
        <f t="shared" si="0"/>
        <v>14</v>
      </c>
      <c r="P35">
        <f t="shared" si="0"/>
        <v>373</v>
      </c>
      <c r="Q35">
        <f t="shared" si="0"/>
        <v>297</v>
      </c>
      <c r="R35">
        <f t="shared" si="0"/>
        <v>58</v>
      </c>
      <c r="S35">
        <f t="shared" si="0"/>
        <v>18</v>
      </c>
      <c r="T35">
        <f t="shared" si="0"/>
        <v>373</v>
      </c>
      <c r="U35">
        <f t="shared" si="0"/>
        <v>297</v>
      </c>
      <c r="V35">
        <f t="shared" si="0"/>
        <v>58</v>
      </c>
      <c r="W35">
        <f t="shared" si="0"/>
        <v>18</v>
      </c>
      <c r="X35">
        <f t="shared" si="0"/>
        <v>318</v>
      </c>
      <c r="Y35">
        <f t="shared" si="0"/>
        <v>254</v>
      </c>
      <c r="Z35">
        <f t="shared" si="0"/>
        <v>50</v>
      </c>
      <c r="AA35">
        <f t="shared" si="0"/>
        <v>14</v>
      </c>
      <c r="AB35">
        <f t="shared" si="0"/>
        <v>691</v>
      </c>
      <c r="AC35">
        <f t="shared" si="0"/>
        <v>691</v>
      </c>
      <c r="AD35">
        <f t="shared" si="0"/>
        <v>551</v>
      </c>
      <c r="AE35">
        <f t="shared" si="0"/>
        <v>551</v>
      </c>
      <c r="AF35">
        <f t="shared" si="0"/>
        <v>108</v>
      </c>
      <c r="AG35">
        <f t="shared" si="0"/>
        <v>108</v>
      </c>
      <c r="AH35">
        <f t="shared" si="0"/>
        <v>32</v>
      </c>
      <c r="AI35">
        <f t="shared" si="0"/>
        <v>32</v>
      </c>
      <c r="AK35">
        <f t="shared" si="0"/>
        <v>1522</v>
      </c>
      <c r="AL35">
        <f t="shared" si="0"/>
        <v>2073</v>
      </c>
      <c r="AM35">
        <f t="shared" si="0"/>
        <v>17.636037006889246</v>
      </c>
      <c r="AN35">
        <f t="shared" si="0"/>
        <v>16.017260823670355</v>
      </c>
      <c r="AO35">
        <f t="shared" si="0"/>
        <v>4006</v>
      </c>
      <c r="AP35">
        <f t="shared" si="0"/>
        <v>5799</v>
      </c>
      <c r="AQ35">
        <f t="shared" si="0"/>
        <v>2892.3100691298364</v>
      </c>
      <c r="AR35">
        <f t="shared" si="0"/>
        <v>3940.2461626229069</v>
      </c>
      <c r="AT35">
        <f t="shared" si="0"/>
        <v>35</v>
      </c>
      <c r="AU35">
        <f t="shared" si="0"/>
        <v>2041</v>
      </c>
      <c r="AV35">
        <f t="shared" si="0"/>
        <v>2142</v>
      </c>
      <c r="AW35">
        <f t="shared" si="0"/>
        <v>-101</v>
      </c>
      <c r="AX35">
        <f t="shared" si="0"/>
        <v>49</v>
      </c>
      <c r="AY35">
        <f t="shared" si="0"/>
        <v>2142</v>
      </c>
      <c r="AZ35">
        <f t="shared" si="0"/>
        <v>2041</v>
      </c>
      <c r="BA35">
        <f t="shared" si="0"/>
        <v>101</v>
      </c>
      <c r="BB35">
        <f t="shared" si="0"/>
        <v>4183</v>
      </c>
      <c r="BC35">
        <f t="shared" si="0"/>
        <v>4183</v>
      </c>
      <c r="BD35">
        <f t="shared" si="0"/>
        <v>0</v>
      </c>
      <c r="BE35">
        <f t="shared" si="0"/>
        <v>96.902202766666733</v>
      </c>
      <c r="BF35">
        <f t="shared" si="0"/>
        <v>96.765034491253999</v>
      </c>
      <c r="BG35">
        <f t="shared" si="0"/>
        <v>0.13716827541274268</v>
      </c>
      <c r="BL35">
        <f t="shared" si="0"/>
        <v>1598.5500000000002</v>
      </c>
      <c r="BN35">
        <f t="shared" si="0"/>
        <v>320</v>
      </c>
      <c r="BO35">
        <f t="shared" si="0"/>
        <v>386</v>
      </c>
      <c r="BP35">
        <f t="shared" si="0"/>
        <v>706</v>
      </c>
      <c r="BQ35">
        <f t="shared" si="0"/>
        <v>371</v>
      </c>
      <c r="BR35">
        <f t="shared" si="0"/>
        <v>305</v>
      </c>
      <c r="BS35">
        <f t="shared" si="0"/>
        <v>676</v>
      </c>
      <c r="BT35">
        <f t="shared" si="0"/>
        <v>21</v>
      </c>
      <c r="BU35">
        <f t="shared" si="0"/>
        <v>0</v>
      </c>
      <c r="BY35" t="str">
        <v/>
      </c>
    </row>
    <row r="36" spans="1:77" x14ac:dyDescent="0.25">
      <c r="A36" t="s">
        <v>1807</v>
      </c>
      <c r="D36">
        <f>AVERAGE(D$2:D$33)</f>
        <v>35.25</v>
      </c>
      <c r="E36">
        <f t="shared" ref="E36:BU36" si="1">AVERAGE(E$2:E$33)</f>
        <v>0.81601891079787425</v>
      </c>
      <c r="F36">
        <f t="shared" si="1"/>
        <v>21.59375</v>
      </c>
      <c r="G36">
        <f t="shared" si="1"/>
        <v>19.40625</v>
      </c>
      <c r="H36">
        <f t="shared" si="1"/>
        <v>21.59375</v>
      </c>
      <c r="I36">
        <f t="shared" si="1"/>
        <v>19.40625</v>
      </c>
      <c r="J36">
        <f t="shared" si="1"/>
        <v>43.1875</v>
      </c>
      <c r="K36">
        <f t="shared" si="1"/>
        <v>38.8125</v>
      </c>
      <c r="L36">
        <f t="shared" si="1"/>
        <v>9.9375</v>
      </c>
      <c r="M36">
        <f t="shared" si="1"/>
        <v>7.9375</v>
      </c>
      <c r="N36">
        <f t="shared" si="1"/>
        <v>1.5625</v>
      </c>
      <c r="O36">
        <f t="shared" si="1"/>
        <v>0.4375</v>
      </c>
      <c r="P36">
        <f t="shared" si="1"/>
        <v>11.65625</v>
      </c>
      <c r="Q36">
        <f t="shared" si="1"/>
        <v>9.28125</v>
      </c>
      <c r="R36">
        <f t="shared" si="1"/>
        <v>1.8125</v>
      </c>
      <c r="S36">
        <f t="shared" si="1"/>
        <v>0.5625</v>
      </c>
      <c r="T36">
        <f t="shared" si="1"/>
        <v>11.65625</v>
      </c>
      <c r="U36">
        <f t="shared" si="1"/>
        <v>9.28125</v>
      </c>
      <c r="V36">
        <f t="shared" si="1"/>
        <v>1.8125</v>
      </c>
      <c r="W36">
        <f t="shared" si="1"/>
        <v>0.5625</v>
      </c>
      <c r="X36">
        <f t="shared" si="1"/>
        <v>9.9375</v>
      </c>
      <c r="Y36">
        <f t="shared" si="1"/>
        <v>7.9375</v>
      </c>
      <c r="Z36">
        <f t="shared" si="1"/>
        <v>1.5625</v>
      </c>
      <c r="AA36">
        <f t="shared" si="1"/>
        <v>0.4375</v>
      </c>
      <c r="AB36">
        <f t="shared" si="1"/>
        <v>21.59375</v>
      </c>
      <c r="AC36">
        <f t="shared" si="1"/>
        <v>21.59375</v>
      </c>
      <c r="AD36">
        <f t="shared" si="1"/>
        <v>17.21875</v>
      </c>
      <c r="AE36">
        <f t="shared" si="1"/>
        <v>17.21875</v>
      </c>
      <c r="AF36">
        <f t="shared" si="1"/>
        <v>3.375</v>
      </c>
      <c r="AG36">
        <f t="shared" si="1"/>
        <v>3.375</v>
      </c>
      <c r="AH36">
        <f t="shared" si="1"/>
        <v>1</v>
      </c>
      <c r="AI36">
        <f t="shared" si="1"/>
        <v>1</v>
      </c>
      <c r="AK36">
        <f t="shared" si="1"/>
        <v>47.5625</v>
      </c>
      <c r="AL36">
        <f t="shared" si="1"/>
        <v>64.78125</v>
      </c>
      <c r="AM36">
        <f t="shared" si="1"/>
        <v>0.55112615646528895</v>
      </c>
      <c r="AN36">
        <f t="shared" si="1"/>
        <v>0.5005394007396986</v>
      </c>
      <c r="AO36">
        <f t="shared" si="1"/>
        <v>125.1875</v>
      </c>
      <c r="AP36">
        <f t="shared" si="1"/>
        <v>181.21875</v>
      </c>
      <c r="AQ36">
        <f t="shared" si="1"/>
        <v>90.384689660307387</v>
      </c>
      <c r="AR36">
        <f t="shared" si="1"/>
        <v>123.13269258196584</v>
      </c>
      <c r="AT36">
        <f t="shared" si="1"/>
        <v>1.09375</v>
      </c>
      <c r="AU36">
        <f t="shared" si="1"/>
        <v>63.78125</v>
      </c>
      <c r="AV36">
        <f t="shared" si="1"/>
        <v>66.9375</v>
      </c>
      <c r="AW36">
        <f t="shared" si="1"/>
        <v>-3.15625</v>
      </c>
      <c r="AX36">
        <f t="shared" si="1"/>
        <v>1.53125</v>
      </c>
      <c r="AY36">
        <f t="shared" si="1"/>
        <v>66.9375</v>
      </c>
      <c r="AZ36">
        <f t="shared" si="1"/>
        <v>63.78125</v>
      </c>
      <c r="BA36">
        <f t="shared" si="1"/>
        <v>3.15625</v>
      </c>
      <c r="BB36">
        <f t="shared" si="1"/>
        <v>130.71875</v>
      </c>
      <c r="BC36">
        <f t="shared" si="1"/>
        <v>130.71875</v>
      </c>
      <c r="BD36">
        <f t="shared" si="1"/>
        <v>0</v>
      </c>
      <c r="BE36">
        <f t="shared" si="1"/>
        <v>3.0281938364583354</v>
      </c>
      <c r="BF36">
        <f t="shared" si="1"/>
        <v>3.0239073278516875</v>
      </c>
      <c r="BG36">
        <f t="shared" si="1"/>
        <v>4.2865086066482087E-3</v>
      </c>
      <c r="BL36">
        <f t="shared" si="1"/>
        <v>49.954687500000006</v>
      </c>
      <c r="BN36">
        <f t="shared" si="1"/>
        <v>10</v>
      </c>
      <c r="BO36">
        <f t="shared" si="1"/>
        <v>12.0625</v>
      </c>
      <c r="BP36">
        <f t="shared" si="1"/>
        <v>22.0625</v>
      </c>
      <c r="BQ36">
        <f t="shared" si="1"/>
        <v>11.59375</v>
      </c>
      <c r="BR36">
        <f t="shared" si="1"/>
        <v>9.53125</v>
      </c>
      <c r="BS36">
        <f t="shared" si="1"/>
        <v>21.125</v>
      </c>
      <c r="BT36">
        <f t="shared" si="1"/>
        <v>21</v>
      </c>
      <c r="BU36" t="e">
        <f t="shared" si="1"/>
        <v>#DIV/0!</v>
      </c>
      <c r="BY36" t="str">
        <v/>
      </c>
    </row>
    <row r="37" spans="1:77" x14ac:dyDescent="0.25">
      <c r="A37" t="s">
        <v>1808</v>
      </c>
      <c r="D37">
        <f>_xlfn.STDEV.P(D$2:D$33)</f>
        <v>6.1694813396265333</v>
      </c>
      <c r="E37">
        <f t="shared" ref="E37:BU37" si="2">_xlfn.STDEV.P(E$2:E$33)</f>
        <v>0.14030665734584552</v>
      </c>
      <c r="F37">
        <f t="shared" si="2"/>
        <v>1.5783570373967988</v>
      </c>
      <c r="G37">
        <f t="shared" si="2"/>
        <v>1.5783570373967988</v>
      </c>
      <c r="H37">
        <f t="shared" si="2"/>
        <v>1.7474870350019769</v>
      </c>
      <c r="I37">
        <f t="shared" si="2"/>
        <v>1.7474870350019769</v>
      </c>
      <c r="J37">
        <f t="shared" si="2"/>
        <v>1.1575161985907585</v>
      </c>
      <c r="K37">
        <f t="shared" si="2"/>
        <v>1.1575161985907585</v>
      </c>
      <c r="L37">
        <f t="shared" si="2"/>
        <v>2.7378995142261888</v>
      </c>
      <c r="M37">
        <f t="shared" si="2"/>
        <v>2.8166635848109371</v>
      </c>
      <c r="N37">
        <f t="shared" si="2"/>
        <v>1.0588171466310885</v>
      </c>
      <c r="O37">
        <f t="shared" si="2"/>
        <v>0.60917464655056019</v>
      </c>
      <c r="P37">
        <f t="shared" si="2"/>
        <v>2.9326755595360359</v>
      </c>
      <c r="Q37">
        <f t="shared" si="2"/>
        <v>2.5277753930086431</v>
      </c>
      <c r="R37">
        <f t="shared" si="2"/>
        <v>1.3095204274848102</v>
      </c>
      <c r="S37">
        <f t="shared" si="2"/>
        <v>0.9333240326917549</v>
      </c>
      <c r="T37">
        <f t="shared" si="2"/>
        <v>3.1485053497651867</v>
      </c>
      <c r="U37">
        <f t="shared" si="2"/>
        <v>3.2809523674536942</v>
      </c>
      <c r="V37">
        <f t="shared" si="2"/>
        <v>1.1575161985907585</v>
      </c>
      <c r="W37">
        <f t="shared" si="2"/>
        <v>0.82679728470768454</v>
      </c>
      <c r="X37">
        <f t="shared" si="2"/>
        <v>2.7943861132635197</v>
      </c>
      <c r="Y37">
        <f t="shared" si="2"/>
        <v>2.6568014133540352</v>
      </c>
      <c r="Z37">
        <f t="shared" si="2"/>
        <v>1.1709371246996996</v>
      </c>
      <c r="AA37">
        <f t="shared" si="2"/>
        <v>0.60917464655056019</v>
      </c>
      <c r="AB37">
        <f t="shared" si="2"/>
        <v>4.5884322962750579</v>
      </c>
      <c r="AC37">
        <f t="shared" si="2"/>
        <v>4.755650422129448</v>
      </c>
      <c r="AD37">
        <f t="shared" si="2"/>
        <v>4.8071195572296723</v>
      </c>
      <c r="AE37">
        <f t="shared" si="2"/>
        <v>4.1887824528733884</v>
      </c>
      <c r="AF37">
        <f t="shared" si="2"/>
        <v>1.4947825928876748</v>
      </c>
      <c r="AG37">
        <f t="shared" si="2"/>
        <v>1.8328597873268975</v>
      </c>
      <c r="AH37">
        <f t="shared" si="2"/>
        <v>1.0606601717798212</v>
      </c>
      <c r="AI37">
        <f t="shared" si="2"/>
        <v>1.0897247358851685</v>
      </c>
      <c r="AK37">
        <f t="shared" si="2"/>
        <v>8.3626307912044044</v>
      </c>
      <c r="AL37">
        <f t="shared" si="2"/>
        <v>12.861605593295884</v>
      </c>
      <c r="AM37">
        <f t="shared" si="2"/>
        <v>9.7744983952294445E-2</v>
      </c>
      <c r="AN37">
        <f t="shared" si="2"/>
        <v>0.10037010697337052</v>
      </c>
      <c r="AO37">
        <f t="shared" si="2"/>
        <v>8.7444178622707636</v>
      </c>
      <c r="AP37">
        <f t="shared" si="2"/>
        <v>13.543297177478607</v>
      </c>
      <c r="AQ37">
        <f t="shared" si="2"/>
        <v>16.030177368176158</v>
      </c>
      <c r="AR37">
        <f t="shared" si="2"/>
        <v>24.691046315449341</v>
      </c>
      <c r="AT37">
        <f t="shared" si="2"/>
        <v>1.2338804388999771</v>
      </c>
      <c r="AU37">
        <f t="shared" si="2"/>
        <v>9.0371952749456508</v>
      </c>
      <c r="AV37">
        <f t="shared" si="2"/>
        <v>9.3137583042507597</v>
      </c>
      <c r="AW37">
        <f t="shared" si="2"/>
        <v>14.302773714825387</v>
      </c>
      <c r="AX37">
        <f t="shared" si="2"/>
        <v>1.3689497571130944</v>
      </c>
      <c r="AY37">
        <f t="shared" si="2"/>
        <v>10.945711203480567</v>
      </c>
      <c r="AZ37">
        <f t="shared" si="2"/>
        <v>10.979339617549865</v>
      </c>
      <c r="BA37">
        <f t="shared" si="2"/>
        <v>15.974803158020446</v>
      </c>
      <c r="BB37">
        <f t="shared" si="2"/>
        <v>14.199987621033337</v>
      </c>
      <c r="BC37">
        <f t="shared" si="2"/>
        <v>16.111398090715156</v>
      </c>
      <c r="BD37">
        <f t="shared" si="2"/>
        <v>24.372115213907882</v>
      </c>
      <c r="BE37">
        <f t="shared" si="2"/>
        <v>0.33350246453225757</v>
      </c>
      <c r="BF37">
        <f t="shared" si="2"/>
        <v>0.3372307526703216</v>
      </c>
      <c r="BG37">
        <f t="shared" si="2"/>
        <v>0.5629908958875719</v>
      </c>
      <c r="BL37">
        <f t="shared" si="2"/>
        <v>2.7618879235667313</v>
      </c>
      <c r="BN37">
        <f t="shared" si="2"/>
        <v>4.3445367992456916</v>
      </c>
      <c r="BO37">
        <f t="shared" si="2"/>
        <v>5.0183257915364559</v>
      </c>
      <c r="BP37">
        <f t="shared" si="2"/>
        <v>9.1170770398192857</v>
      </c>
      <c r="BQ37">
        <f t="shared" si="2"/>
        <v>5.0302794094861172</v>
      </c>
      <c r="BR37">
        <f t="shared" si="2"/>
        <v>4.7235075354549823</v>
      </c>
      <c r="BS37">
        <f t="shared" si="2"/>
        <v>9.1915382281748688</v>
      </c>
      <c r="BT37">
        <f t="shared" si="2"/>
        <v>0</v>
      </c>
      <c r="BU37" t="e">
        <f t="shared" si="2"/>
        <v>#DIV/0!</v>
      </c>
      <c r="BY37" t="str">
        <v/>
      </c>
    </row>
    <row r="38" spans="1:77" x14ac:dyDescent="0.25">
      <c r="BY38" t="str">
        <v/>
      </c>
    </row>
    <row r="39" spans="1:77" x14ac:dyDescent="0.25">
      <c r="BY39" t="str">
        <v/>
      </c>
    </row>
    <row r="40" spans="1:77" x14ac:dyDescent="0.25">
      <c r="BY40" t="str">
        <v/>
      </c>
    </row>
    <row r="41" spans="1:77" x14ac:dyDescent="0.25">
      <c r="BY41" t="str">
        <v/>
      </c>
    </row>
    <row r="42" spans="1:77" x14ac:dyDescent="0.25">
      <c r="BY42" t="str">
        <v>CGY</v>
      </c>
    </row>
    <row r="43" spans="1:77" x14ac:dyDescent="0.25">
      <c r="BY43" t="str">
        <v/>
      </c>
    </row>
    <row r="44" spans="1:77" x14ac:dyDescent="0.25">
      <c r="BY44" t="str">
        <v/>
      </c>
    </row>
    <row r="45" spans="1:77" x14ac:dyDescent="0.25">
      <c r="BY45" t="str">
        <v/>
      </c>
    </row>
    <row r="46" spans="1:77" x14ac:dyDescent="0.25">
      <c r="BY46" t="str">
        <v/>
      </c>
    </row>
    <row r="47" spans="1:77" x14ac:dyDescent="0.25">
      <c r="BY47" t="str">
        <v/>
      </c>
    </row>
    <row r="48" spans="1:77" x14ac:dyDescent="0.25">
      <c r="BY48" t="str">
        <v/>
      </c>
    </row>
    <row r="49" spans="77:77" x14ac:dyDescent="0.25">
      <c r="BY49" t="str">
        <v/>
      </c>
    </row>
    <row r="50" spans="77:77" x14ac:dyDescent="0.25">
      <c r="BY50" t="str">
        <v/>
      </c>
    </row>
    <row r="51" spans="77:77" x14ac:dyDescent="0.25">
      <c r="BY51" t="str">
        <v/>
      </c>
    </row>
    <row r="52" spans="77:77" x14ac:dyDescent="0.25">
      <c r="BY52" t="str">
        <v/>
      </c>
    </row>
    <row r="53" spans="77:77" x14ac:dyDescent="0.25">
      <c r="BY53" t="str">
        <v/>
      </c>
    </row>
    <row r="54" spans="77:77" x14ac:dyDescent="0.25">
      <c r="BY54" t="str">
        <v/>
      </c>
    </row>
    <row r="55" spans="77:77" x14ac:dyDescent="0.25">
      <c r="BY55" t="str">
        <v/>
      </c>
    </row>
    <row r="56" spans="77:77" x14ac:dyDescent="0.25">
      <c r="BY56" t="str">
        <v/>
      </c>
    </row>
    <row r="57" spans="77:77" x14ac:dyDescent="0.25">
      <c r="BY57" t="str">
        <v/>
      </c>
    </row>
    <row r="58" spans="77:77" x14ac:dyDescent="0.25">
      <c r="BY58" t="str">
        <v/>
      </c>
    </row>
    <row r="59" spans="77:77" x14ac:dyDescent="0.25">
      <c r="BY59" t="str">
        <v/>
      </c>
    </row>
    <row r="60" spans="77:77" x14ac:dyDescent="0.25">
      <c r="BY60" t="str">
        <v/>
      </c>
    </row>
    <row r="61" spans="77:77" x14ac:dyDescent="0.25">
      <c r="BY61" t="str">
        <v/>
      </c>
    </row>
    <row r="62" spans="77:77" x14ac:dyDescent="0.25">
      <c r="BY62" t="str">
        <v/>
      </c>
    </row>
    <row r="63" spans="77:77" x14ac:dyDescent="0.25">
      <c r="BY63" t="str">
        <v/>
      </c>
    </row>
    <row r="64" spans="77:77" x14ac:dyDescent="0.25">
      <c r="BY64" t="str">
        <v/>
      </c>
    </row>
    <row r="65" spans="77:77" x14ac:dyDescent="0.25">
      <c r="BY65" t="str">
        <v/>
      </c>
    </row>
    <row r="66" spans="77:77" x14ac:dyDescent="0.25">
      <c r="BY66" t="str">
        <v/>
      </c>
    </row>
    <row r="99" spans="97:97" x14ac:dyDescent="0.25">
      <c r="CS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K1:AK34 AK38:AK1048576">
    <cfRule type="colorScale" priority="29">
      <colorScale>
        <cfvo type="min"/>
        <cfvo type="percentile" val="50"/>
        <cfvo type="max"/>
        <color rgb="FFF8696B"/>
        <color rgb="FFFFEB84"/>
        <color rgb="FF63BE7B"/>
      </colorScale>
    </cfRule>
  </conditionalFormatting>
  <conditionalFormatting sqref="AL1:AL34 AL38:AL1048576">
    <cfRule type="colorScale" priority="58">
      <colorScale>
        <cfvo type="min"/>
        <cfvo type="percentile" val="50"/>
        <cfvo type="max"/>
        <color rgb="FFF8696B"/>
        <color rgb="FFFFEB84"/>
        <color rgb="FF63BE7B"/>
      </colorScale>
    </cfRule>
  </conditionalFormatting>
  <conditionalFormatting sqref="AM1:AN34 AM38:AN1048576">
    <cfRule type="colorScale" priority="27">
      <colorScale>
        <cfvo type="min"/>
        <cfvo type="percentile" val="50"/>
        <cfvo type="max"/>
        <color rgb="FFF8696B"/>
        <color rgb="FFFCFCFF"/>
        <color rgb="FF5A8AC6"/>
      </colorScale>
    </cfRule>
  </conditionalFormatting>
  <conditionalFormatting sqref="AO2:AO33">
    <cfRule type="colorScale" priority="2">
      <colorScale>
        <cfvo type="min"/>
        <cfvo type="percentile" val="50"/>
        <cfvo type="max"/>
        <color rgb="FFF8696B"/>
        <color rgb="FFFFEB84"/>
        <color rgb="FF63BE7B"/>
      </colorScale>
    </cfRule>
  </conditionalFormatting>
  <conditionalFormatting sqref="AP2:AP33">
    <cfRule type="colorScale" priority="1">
      <colorScale>
        <cfvo type="min"/>
        <cfvo type="percentile" val="50"/>
        <cfvo type="max"/>
        <color rgb="FFF8696B"/>
        <color rgb="FFFFEB84"/>
        <color rgb="FF63BE7B"/>
      </colorScale>
    </cfRule>
  </conditionalFormatting>
  <conditionalFormatting sqref="AQ1:AQ34 AQ38:AQ1048576">
    <cfRule type="colorScale" priority="7">
      <colorScale>
        <cfvo type="min"/>
        <cfvo type="percentile" val="50"/>
        <cfvo type="max"/>
        <color rgb="FFF8696B"/>
        <color rgb="FFFFEB84"/>
        <color rgb="FF63BE7B"/>
      </colorScale>
    </cfRule>
  </conditionalFormatting>
  <conditionalFormatting sqref="AR1:AR34 AR38:AR1048576">
    <cfRule type="colorScale" priority="6">
      <colorScale>
        <cfvo type="min"/>
        <cfvo type="percentile" val="50"/>
        <cfvo type="max"/>
        <color rgb="FFF8696B"/>
        <color rgb="FFFFEB84"/>
        <color rgb="FF63BE7B"/>
      </colorScale>
    </cfRule>
  </conditionalFormatting>
  <conditionalFormatting sqref="BB1:BB34 BB38:BB1048576">
    <cfRule type="colorScale" priority="25">
      <colorScale>
        <cfvo type="min"/>
        <cfvo type="max"/>
        <color rgb="FFFCFCFF"/>
        <color rgb="FF63BE7B"/>
      </colorScale>
    </cfRule>
  </conditionalFormatting>
  <conditionalFormatting sqref="BC1:BC34 BC38:BC1048576">
    <cfRule type="colorScale" priority="24">
      <colorScale>
        <cfvo type="min"/>
        <cfvo type="max"/>
        <color rgb="FFFCFCFF"/>
        <color rgb="FFF8696B"/>
      </colorScale>
    </cfRule>
  </conditionalFormatting>
  <conditionalFormatting sqref="BD1:BD34 BD38:BD1048576">
    <cfRule type="colorScale" priority="26">
      <colorScale>
        <cfvo type="min"/>
        <cfvo type="percentile" val="50"/>
        <cfvo type="max"/>
        <color rgb="FFF8696B"/>
        <color rgb="FFFFEB84"/>
        <color rgb="FF63BE7B"/>
      </colorScale>
    </cfRule>
  </conditionalFormatting>
  <conditionalFormatting sqref="BE1:BE34 BE38:BE1048576">
    <cfRule type="colorScale" priority="23">
      <colorScale>
        <cfvo type="min"/>
        <cfvo type="max"/>
        <color rgb="FFFCFCFF"/>
        <color rgb="FF63BE7B"/>
      </colorScale>
    </cfRule>
  </conditionalFormatting>
  <conditionalFormatting sqref="BF1:BF34 BF38:BF1048576">
    <cfRule type="colorScale" priority="22">
      <colorScale>
        <cfvo type="min"/>
        <cfvo type="max"/>
        <color rgb="FFFCFCFF"/>
        <color rgb="FFF8696B"/>
      </colorScale>
    </cfRule>
  </conditionalFormatting>
  <conditionalFormatting sqref="BG1:BM1 BG38:BM1048576 BG34:BM34 BG2:BK33">
    <cfRule type="colorScale" priority="21">
      <colorScale>
        <cfvo type="min"/>
        <cfvo type="percentile" val="50"/>
        <cfvo type="max"/>
        <color rgb="FFF8696B"/>
        <color rgb="FFFCFCFF"/>
        <color rgb="FF63BE7B"/>
      </colorScale>
    </cfRule>
  </conditionalFormatting>
  <conditionalFormatting sqref="BJ2:BJ33">
    <cfRule type="colorScale" priority="4">
      <colorScale>
        <cfvo type="min"/>
        <cfvo type="percentile" val="50"/>
        <cfvo type="max"/>
        <color rgb="FFF8696B"/>
        <color rgb="FFFCFCFF"/>
        <color rgb="FF5A8AC6"/>
      </colorScale>
    </cfRule>
  </conditionalFormatting>
  <conditionalFormatting sqref="BK2:BK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9" t="s">
        <v>47</v>
      </c>
      <c r="D1" s="90"/>
      <c r="E1" s="89" t="s">
        <v>24</v>
      </c>
      <c r="F1" s="90"/>
      <c r="G1" s="89" t="s">
        <v>23</v>
      </c>
      <c r="H1" s="90"/>
      <c r="I1" s="89" t="s">
        <v>28</v>
      </c>
      <c r="J1" s="90"/>
      <c r="K1" s="89" t="s">
        <v>12</v>
      </c>
      <c r="L1" s="90"/>
      <c r="M1" s="89" t="s">
        <v>38</v>
      </c>
      <c r="N1" s="90"/>
      <c r="O1" s="89" t="s">
        <v>25</v>
      </c>
      <c r="P1" s="90"/>
      <c r="Q1" s="89" t="s">
        <v>27</v>
      </c>
      <c r="R1" s="97"/>
      <c r="S1" s="89" t="s">
        <v>17</v>
      </c>
      <c r="T1" s="90"/>
      <c r="U1" s="89" t="s">
        <v>26</v>
      </c>
      <c r="V1" s="90"/>
      <c r="W1" s="89" t="s">
        <v>34</v>
      </c>
      <c r="X1" s="90"/>
      <c r="Y1" s="89" t="s">
        <v>37</v>
      </c>
      <c r="Z1" s="90"/>
      <c r="AA1" s="89" t="s">
        <v>35</v>
      </c>
      <c r="AB1" s="90"/>
      <c r="AC1" s="89" t="s">
        <v>13</v>
      </c>
      <c r="AD1" s="90"/>
      <c r="AE1" s="89" t="s">
        <v>15</v>
      </c>
      <c r="AF1" s="90"/>
      <c r="AG1" s="98" t="s">
        <v>22</v>
      </c>
      <c r="AH1" s="97"/>
      <c r="AI1" s="89" t="s">
        <v>44</v>
      </c>
      <c r="AJ1" s="90"/>
      <c r="AK1" s="89" t="s">
        <v>36</v>
      </c>
      <c r="AL1" s="90"/>
      <c r="AM1" s="89" t="s">
        <v>32</v>
      </c>
      <c r="AN1" s="90"/>
      <c r="AO1" s="89" t="s">
        <v>33</v>
      </c>
      <c r="AP1" s="90"/>
      <c r="AQ1" s="89" t="s">
        <v>20</v>
      </c>
      <c r="AR1" s="90"/>
      <c r="AS1" s="89" t="s">
        <v>45</v>
      </c>
      <c r="AT1" s="90"/>
      <c r="AU1" s="89" t="s">
        <v>21</v>
      </c>
      <c r="AV1" s="90"/>
      <c r="AW1" s="89" t="s">
        <v>46</v>
      </c>
      <c r="AX1" s="97"/>
      <c r="AY1" s="89" t="s">
        <v>16</v>
      </c>
      <c r="AZ1" s="90"/>
      <c r="BA1" s="89" t="s">
        <v>29</v>
      </c>
      <c r="BB1" s="90"/>
      <c r="BC1" s="89" t="s">
        <v>31</v>
      </c>
      <c r="BD1" s="90"/>
      <c r="BE1" s="89" t="s">
        <v>14</v>
      </c>
      <c r="BF1" s="89"/>
      <c r="BG1" s="93" t="s">
        <v>19</v>
      </c>
      <c r="BH1" s="94"/>
      <c r="BI1" s="89" t="s">
        <v>30</v>
      </c>
      <c r="BJ1" s="90"/>
      <c r="BK1" s="89" t="s">
        <v>43</v>
      </c>
      <c r="BL1" s="90"/>
      <c r="BM1" s="89" t="s">
        <v>18</v>
      </c>
      <c r="BN1" s="90"/>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5">
        <f>BO3+BO4</f>
        <v>43</v>
      </c>
      <c r="BQ3" s="91">
        <f>82-BP3</f>
        <v>39</v>
      </c>
    </row>
    <row r="4" spans="1:69" ht="12"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5"/>
      <c r="BQ4" s="91"/>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5">
        <f t="shared" ref="BP5" si="1">BO5+BO6</f>
        <v>42</v>
      </c>
      <c r="BQ5" s="91">
        <f t="shared" ref="BQ5" si="2">82-BP5</f>
        <v>40</v>
      </c>
    </row>
    <row r="6" spans="1:69" ht="12"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5"/>
      <c r="BQ6" s="91"/>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5">
        <f t="shared" ref="BP7" si="3">BO7+BO8</f>
        <v>43</v>
      </c>
      <c r="BQ7" s="91">
        <f t="shared" ref="BQ7" si="4">82-BP7</f>
        <v>39</v>
      </c>
    </row>
    <row r="8" spans="1:69" ht="12"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5"/>
      <c r="BQ8" s="91"/>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5">
        <f t="shared" ref="BP9" si="5">BO9+BO10</f>
        <v>41</v>
      </c>
      <c r="BQ9" s="91">
        <f t="shared" ref="BQ9" si="6">82-BP9</f>
        <v>41</v>
      </c>
    </row>
    <row r="10" spans="1:69" ht="12"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5"/>
      <c r="BQ10" s="91"/>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5">
        <f t="shared" ref="BP11" si="7">BO11+BO12</f>
        <v>44</v>
      </c>
      <c r="BQ11" s="91">
        <f t="shared" ref="BQ11" si="8">82-BP11</f>
        <v>38</v>
      </c>
    </row>
    <row r="12" spans="1:69" ht="12"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5"/>
      <c r="BQ12" s="91"/>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5">
        <f t="shared" ref="BP13" si="9">BO13+BO14</f>
        <v>45</v>
      </c>
      <c r="BQ13" s="91">
        <f t="shared" ref="BQ13" si="10">82-BP13</f>
        <v>37</v>
      </c>
    </row>
    <row r="14" spans="1:69" ht="12"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5"/>
      <c r="BQ14" s="91"/>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5">
        <f t="shared" ref="BP15" si="11">BO15+BO16</f>
        <v>42</v>
      </c>
      <c r="BQ15" s="91">
        <f t="shared" ref="BQ15" si="12">82-BP15</f>
        <v>40</v>
      </c>
    </row>
    <row r="16" spans="1:69" ht="12"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5"/>
      <c r="BQ16" s="91"/>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5">
        <f t="shared" ref="BP17" si="13">BO17+BO18</f>
        <v>43</v>
      </c>
      <c r="BQ17" s="91">
        <f t="shared" ref="BQ17" si="14">82-BP17</f>
        <v>39</v>
      </c>
    </row>
    <row r="18" spans="1:69" ht="12"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5"/>
      <c r="BQ18" s="91"/>
    </row>
    <row r="19" spans="1:69" ht="12"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5">
        <f t="shared" ref="BP19" si="15">BO19+BO20</f>
        <v>44</v>
      </c>
      <c r="BQ19" s="91">
        <f t="shared" ref="BQ19" si="16">82-BP19</f>
        <v>38</v>
      </c>
    </row>
    <row r="20" spans="1:69" ht="12"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5"/>
      <c r="BQ20" s="91"/>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5">
        <f t="shared" ref="BP21" si="17">BO21+BO22</f>
        <v>44</v>
      </c>
      <c r="BQ21" s="91">
        <f t="shared" ref="BQ21" si="18">82-BP21</f>
        <v>38</v>
      </c>
    </row>
    <row r="22" spans="1:69" ht="12"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5"/>
      <c r="BQ22" s="91"/>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5">
        <f t="shared" ref="BP23" si="19">BO23+BO24</f>
        <v>42</v>
      </c>
      <c r="BQ23" s="91">
        <f t="shared" ref="BQ23" si="20">82-BP23</f>
        <v>40</v>
      </c>
    </row>
    <row r="24" spans="1:69" ht="12"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5"/>
      <c r="BQ24" s="91"/>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5">
        <f t="shared" ref="BP25" si="21">BO25+BO26</f>
        <v>44</v>
      </c>
      <c r="BQ25" s="91">
        <f t="shared" ref="BQ25" si="22">82-BP25</f>
        <v>38</v>
      </c>
    </row>
    <row r="26" spans="1:69" ht="12"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5"/>
      <c r="BQ26" s="91"/>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5">
        <f t="shared" ref="BP27" si="23">BO27+BO28</f>
        <v>42</v>
      </c>
      <c r="BQ27" s="91">
        <f t="shared" ref="BQ27" si="24">82-BP27</f>
        <v>40</v>
      </c>
    </row>
    <row r="28" spans="1:69" ht="12"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5"/>
      <c r="BQ28" s="91"/>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5">
        <f t="shared" ref="BP29" si="25">BO29+BO30</f>
        <v>44</v>
      </c>
      <c r="BQ29" s="91">
        <f t="shared" ref="BQ29" si="26">82-BP29</f>
        <v>38</v>
      </c>
    </row>
    <row r="30" spans="1:69" ht="12"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5"/>
      <c r="BQ30" s="91"/>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5">
        <f t="shared" ref="BP31" si="27">BO31+BO32</f>
        <v>43</v>
      </c>
      <c r="BQ31" s="91">
        <f t="shared" ref="BQ31" si="28">82-BP31</f>
        <v>39</v>
      </c>
    </row>
    <row r="32" spans="1:69" ht="12"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5"/>
      <c r="BQ32" s="91"/>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5">
        <f t="shared" ref="BP33" si="29">BO33+BO34</f>
        <v>44</v>
      </c>
      <c r="BQ33" s="91">
        <f t="shared" ref="BQ33" si="30">82-BP33</f>
        <v>38</v>
      </c>
    </row>
    <row r="34" spans="1:69" ht="12"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5"/>
      <c r="BQ34" s="91"/>
    </row>
    <row r="35" spans="1:69" ht="12"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5">
        <f t="shared" ref="BP35" si="31">BO35+BO36</f>
        <v>43</v>
      </c>
      <c r="BQ35" s="91">
        <f t="shared" ref="BQ35" si="32">82-BP35</f>
        <v>39</v>
      </c>
    </row>
    <row r="36" spans="1:69" ht="12"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5"/>
      <c r="BQ36" s="91"/>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5">
        <f t="shared" ref="BP37" si="33">BO37+BO38</f>
        <v>43</v>
      </c>
      <c r="BQ37" s="91">
        <f t="shared" ref="BQ37" si="34">82-BP37</f>
        <v>39</v>
      </c>
    </row>
    <row r="38" spans="1:69" ht="12"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5"/>
      <c r="BQ38" s="91"/>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5">
        <f t="shared" ref="BP39" si="35">BO39+BO40</f>
        <v>45</v>
      </c>
      <c r="BQ39" s="91">
        <f t="shared" ref="BQ39" si="36">82-BP39</f>
        <v>37</v>
      </c>
    </row>
    <row r="40" spans="1:69" ht="12"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5"/>
      <c r="BQ40" s="91"/>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5">
        <f t="shared" ref="BP41" si="37">BO41+BO42</f>
        <v>43</v>
      </c>
      <c r="BQ41" s="91">
        <f t="shared" ref="BQ41" si="38">82-BP41</f>
        <v>39</v>
      </c>
    </row>
    <row r="42" spans="1:69" ht="12"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5"/>
      <c r="BQ42" s="91"/>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5">
        <f t="shared" ref="BP43" si="39">BO43+BO44</f>
        <v>42</v>
      </c>
      <c r="BQ43" s="91">
        <f t="shared" ref="BQ43" si="40">82-BP43</f>
        <v>40</v>
      </c>
    </row>
    <row r="44" spans="1:69" ht="12"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5"/>
      <c r="BQ44" s="91"/>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5">
        <f t="shared" ref="BP45" si="41">BO45+BO46</f>
        <v>44</v>
      </c>
      <c r="BQ45" s="91">
        <f t="shared" ref="BQ45" si="42">82-BP45</f>
        <v>38</v>
      </c>
    </row>
    <row r="46" spans="1:69" ht="12"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5"/>
      <c r="BQ46" s="91"/>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5">
        <f t="shared" ref="BP47" si="43">BO47+BO48</f>
        <v>45</v>
      </c>
      <c r="BQ47" s="91">
        <f t="shared" ref="BQ47" si="44">82-BP47</f>
        <v>37</v>
      </c>
    </row>
    <row r="48" spans="1:69" ht="12"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5"/>
      <c r="BQ48" s="91"/>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5">
        <f t="shared" ref="BP49" si="45">BO49+BO50</f>
        <v>43</v>
      </c>
      <c r="BQ49" s="91">
        <f t="shared" ref="BQ49" si="46">82-BP49</f>
        <v>39</v>
      </c>
    </row>
    <row r="50" spans="1:69" ht="12"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5"/>
      <c r="BQ50" s="91"/>
    </row>
    <row r="51" spans="1:69" ht="12"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5">
        <f t="shared" ref="BP51" si="47">BO51+BO52</f>
        <v>45</v>
      </c>
      <c r="BQ51" s="91">
        <f t="shared" ref="BQ51" si="48">82-BP51</f>
        <v>37</v>
      </c>
    </row>
    <row r="52" spans="1:69" ht="12"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5"/>
      <c r="BQ52" s="91"/>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5">
        <f t="shared" ref="BP53" si="49">BO53+BO54</f>
        <v>43</v>
      </c>
      <c r="BQ53" s="91">
        <f t="shared" ref="BQ53" si="50">82-BP53</f>
        <v>39</v>
      </c>
    </row>
    <row r="54" spans="1:69" ht="12"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5"/>
      <c r="BQ54" s="91"/>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5">
        <f t="shared" ref="BP55" si="51">BO55+BO56</f>
        <v>42</v>
      </c>
      <c r="BQ55" s="91">
        <f t="shared" ref="BQ55" si="52">82-BP55</f>
        <v>40</v>
      </c>
    </row>
    <row r="56" spans="1:69" ht="12"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5"/>
      <c r="BQ56" s="91"/>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5">
        <f t="shared" ref="BP57" si="53">BO57+BO58</f>
        <v>44</v>
      </c>
      <c r="BQ57" s="91">
        <f t="shared" ref="BQ57" si="54">82-BP57</f>
        <v>38</v>
      </c>
    </row>
    <row r="58" spans="1:69" ht="12"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5"/>
      <c r="BQ58" s="91"/>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5">
        <f t="shared" ref="BP59" si="55">BO59+BO60</f>
        <v>43</v>
      </c>
      <c r="BQ59" s="91">
        <f t="shared" ref="BQ59" si="56">82-BP59</f>
        <v>39</v>
      </c>
    </row>
    <row r="60" spans="1:69" ht="12"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5"/>
      <c r="BQ60" s="91"/>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5">
        <f t="shared" ref="BP61" si="57">BO61+BO62</f>
        <v>43</v>
      </c>
      <c r="BQ61" s="91">
        <f t="shared" ref="BQ61" si="58">82-BP61</f>
        <v>39</v>
      </c>
    </row>
    <row r="62" spans="1:69" ht="12"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5"/>
      <c r="BQ62" s="91"/>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5">
        <f t="shared" ref="BP63" si="59">BO63+BO64</f>
        <v>40</v>
      </c>
      <c r="BQ63" s="91">
        <f t="shared" ref="BQ63" si="60">82-BP63</f>
        <v>42</v>
      </c>
    </row>
    <row r="64" spans="1:69" ht="12"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5"/>
      <c r="BQ64" s="91"/>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5">
        <f t="shared" ref="BP65" si="61">BO65+BO66</f>
        <v>44</v>
      </c>
      <c r="BQ65" s="91">
        <f t="shared" ref="BQ65" si="62">82-BP65</f>
        <v>38</v>
      </c>
    </row>
    <row r="66" spans="1:69" ht="12"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5"/>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691</v>
      </c>
      <c r="BQ67" s="35">
        <f>SUM(BQ3:BQ66)/2</f>
        <v>621</v>
      </c>
    </row>
    <row r="68" spans="1:69" x14ac:dyDescent="0.25">
      <c r="BP68" s="51">
        <f>2*BP67/SUM(BP3:BQ66)</f>
        <v>0.52667682926829273</v>
      </c>
      <c r="BQ68" s="51">
        <f>2*BQ67/SUM(BP3:BQ66)</f>
        <v>0.47332317073170732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2025-01-16T05:25:25Z</dcterms:modified>
</cp:coreProperties>
</file>