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B4DACBCF-DE3B-47CA-A671-9C23BFD9408F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G61" i="7"/>
  <c r="F61" i="7"/>
  <c r="E61" i="7"/>
  <c r="D61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G56" i="7"/>
  <c r="F56" i="7"/>
  <c r="E56" i="7"/>
  <c r="D56" i="7"/>
  <c r="I57" i="7"/>
  <c r="H57" i="7"/>
  <c r="G57" i="7"/>
  <c r="F57" i="7"/>
  <c r="E57" i="7"/>
  <c r="D57" i="7"/>
  <c r="I55" i="7"/>
  <c r="H55" i="7"/>
  <c r="G55" i="7"/>
  <c r="F55" i="7"/>
  <c r="E55" i="7"/>
  <c r="D55" i="7"/>
  <c r="I54" i="7"/>
  <c r="H54" i="7"/>
  <c r="G54" i="7"/>
  <c r="F54" i="7"/>
  <c r="E54" i="7"/>
  <c r="D54" i="7"/>
  <c r="G52" i="7"/>
  <c r="F52" i="7"/>
  <c r="E52" i="7"/>
  <c r="D52" i="7"/>
  <c r="I50" i="7"/>
  <c r="H50" i="7"/>
  <c r="G50" i="7"/>
  <c r="F50" i="7"/>
  <c r="E50" i="7"/>
  <c r="D50" i="7"/>
  <c r="I53" i="7"/>
  <c r="H53" i="7"/>
  <c r="G53" i="7"/>
  <c r="F53" i="7"/>
  <c r="E53" i="7"/>
  <c r="D53" i="7"/>
  <c r="G49" i="7"/>
  <c r="F49" i="7"/>
  <c r="E49" i="7"/>
  <c r="D49" i="7"/>
  <c r="I51" i="7"/>
  <c r="H51" i="7"/>
  <c r="G51" i="7"/>
  <c r="F51" i="7"/>
  <c r="E51" i="7"/>
  <c r="D51" i="7"/>
  <c r="D48" i="7"/>
  <c r="I47" i="7"/>
  <c r="H47" i="7"/>
  <c r="G47" i="7"/>
  <c r="F47" i="7"/>
  <c r="E47" i="7"/>
  <c r="D47" i="7"/>
  <c r="H46" i="7"/>
  <c r="G46" i="7"/>
  <c r="F46" i="7"/>
  <c r="E46" i="7"/>
  <c r="D46" i="7"/>
  <c r="D45" i="7"/>
  <c r="I43" i="7"/>
  <c r="H43" i="7"/>
  <c r="G43" i="7"/>
  <c r="F43" i="7"/>
  <c r="E43" i="7"/>
  <c r="D43" i="7"/>
  <c r="H42" i="7"/>
  <c r="G42" i="7"/>
  <c r="F42" i="7"/>
  <c r="E42" i="7"/>
  <c r="D42" i="7"/>
  <c r="I41" i="7"/>
  <c r="H41" i="7"/>
  <c r="G41" i="7"/>
  <c r="F41" i="7"/>
  <c r="E41" i="7"/>
  <c r="D41" i="7"/>
  <c r="I40" i="7"/>
  <c r="H40" i="7"/>
  <c r="G40" i="7"/>
  <c r="F40" i="7"/>
  <c r="E40" i="7"/>
  <c r="D40" i="7"/>
  <c r="H44" i="7"/>
  <c r="G44" i="7"/>
  <c r="F44" i="7"/>
  <c r="E44" i="7"/>
  <c r="D44" i="7"/>
  <c r="G39" i="7"/>
  <c r="F39" i="7"/>
  <c r="E39" i="7"/>
  <c r="D39" i="7"/>
  <c r="H38" i="7"/>
  <c r="G38" i="7"/>
  <c r="F38" i="7"/>
  <c r="E38" i="7"/>
  <c r="D38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3" i="7"/>
  <c r="E3" i="7"/>
  <c r="F3" i="7"/>
  <c r="G3" i="7"/>
  <c r="H3" i="7"/>
  <c r="D9" i="7"/>
  <c r="D11" i="7"/>
  <c r="E11" i="7"/>
  <c r="F11" i="7"/>
  <c r="G11" i="7"/>
  <c r="H11" i="7"/>
  <c r="I11" i="7"/>
  <c r="D16" i="7"/>
  <c r="E16" i="7"/>
  <c r="F16" i="7"/>
  <c r="G16" i="7"/>
  <c r="H16" i="7"/>
  <c r="I16" i="7"/>
  <c r="D30" i="7"/>
  <c r="E30" i="7"/>
  <c r="F30" i="7"/>
  <c r="G30" i="7"/>
  <c r="H30" i="7"/>
  <c r="D23" i="7"/>
  <c r="E23" i="7"/>
  <c r="F23" i="7"/>
  <c r="G23" i="7"/>
  <c r="D18" i="7"/>
  <c r="E18" i="7"/>
  <c r="F18" i="7"/>
  <c r="G18" i="7"/>
  <c r="D21" i="7"/>
  <c r="E21" i="7"/>
  <c r="F21" i="7"/>
  <c r="G21" i="7"/>
  <c r="H21" i="7"/>
  <c r="I21" i="7"/>
  <c r="D5" i="7"/>
  <c r="E5" i="7"/>
  <c r="F5" i="7"/>
  <c r="G5" i="7"/>
  <c r="H5" i="7"/>
  <c r="I5" i="7"/>
  <c r="D29" i="7"/>
  <c r="E29" i="7"/>
  <c r="F29" i="7"/>
  <c r="G29" i="7"/>
  <c r="H29" i="7"/>
  <c r="D2" i="7"/>
  <c r="E2" i="7"/>
  <c r="F2" i="7"/>
  <c r="G2" i="7"/>
  <c r="D28" i="7"/>
  <c r="E28" i="7"/>
  <c r="F28" i="7"/>
  <c r="G28" i="7"/>
  <c r="D22" i="7"/>
  <c r="E22" i="7"/>
  <c r="F22" i="7"/>
  <c r="G22" i="7"/>
  <c r="H22" i="7"/>
  <c r="I22" i="7"/>
  <c r="D4" i="7"/>
  <c r="E4" i="7"/>
  <c r="F4" i="7"/>
  <c r="G4" i="7"/>
  <c r="H4" i="7"/>
  <c r="D12" i="7"/>
  <c r="D19" i="7"/>
  <c r="E19" i="7"/>
  <c r="F19" i="7"/>
  <c r="G19" i="7"/>
  <c r="H19" i="7"/>
  <c r="I19" i="7"/>
  <c r="D17" i="7"/>
  <c r="E17" i="7"/>
  <c r="F17" i="7"/>
  <c r="G17" i="7"/>
  <c r="H17" i="7"/>
  <c r="I17" i="7"/>
  <c r="D13" i="7"/>
  <c r="E13" i="7"/>
  <c r="F13" i="7"/>
  <c r="G13" i="7"/>
  <c r="D8" i="7"/>
  <c r="E8" i="7"/>
  <c r="F8" i="7"/>
  <c r="G8" i="7"/>
  <c r="H8" i="7"/>
  <c r="I8" i="7"/>
  <c r="D15" i="7"/>
  <c r="E15" i="7"/>
  <c r="F15" i="7"/>
  <c r="G15" i="7"/>
  <c r="H15" i="7"/>
  <c r="I15" i="7"/>
  <c r="D14" i="7"/>
  <c r="E14" i="7"/>
  <c r="F14" i="7"/>
  <c r="G14" i="7"/>
  <c r="D27" i="7"/>
  <c r="E27" i="7"/>
  <c r="F27" i="7"/>
  <c r="G27" i="7"/>
  <c r="H27" i="7"/>
  <c r="D33" i="7"/>
  <c r="E33" i="7"/>
  <c r="F33" i="7"/>
  <c r="G33" i="7"/>
  <c r="H33" i="7"/>
  <c r="I33" i="7"/>
  <c r="D24" i="7"/>
  <c r="E24" i="7"/>
  <c r="F24" i="7"/>
  <c r="G24" i="7"/>
  <c r="H24" i="7"/>
  <c r="D7" i="7"/>
  <c r="E7" i="7"/>
  <c r="F7" i="7"/>
  <c r="G7" i="7"/>
  <c r="H7" i="7"/>
  <c r="I7" i="7"/>
  <c r="D6" i="7"/>
  <c r="E6" i="7"/>
  <c r="F6" i="7"/>
  <c r="G6" i="7"/>
  <c r="H6" i="7"/>
  <c r="D25" i="7"/>
  <c r="E25" i="7"/>
  <c r="F25" i="7"/>
  <c r="G25" i="7"/>
  <c r="H25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0" i="7"/>
  <c r="E10" i="7"/>
  <c r="F10" i="7"/>
  <c r="G10" i="7"/>
  <c r="H10" i="7"/>
  <c r="E32" i="7"/>
  <c r="F32" i="7"/>
  <c r="G32" i="7"/>
  <c r="H32" i="7"/>
  <c r="I32" i="7"/>
  <c r="D32" i="7"/>
  <c r="CR34" i="2" a="1"/>
  <c r="BB7" i="2"/>
  <c r="BB10" i="2"/>
  <c r="BB28" i="2"/>
  <c r="BB9" i="2"/>
  <c r="BB8" i="2"/>
  <c r="BB26" i="2"/>
  <c r="BB30" i="2"/>
  <c r="BB22" i="2"/>
  <c r="BB27" i="2"/>
  <c r="BB24" i="2"/>
  <c r="BB2" i="2"/>
  <c r="BB5" i="2"/>
  <c r="BB18" i="2"/>
  <c r="BB33" i="2"/>
  <c r="BB19" i="2"/>
  <c r="BB32" i="2"/>
  <c r="BB21" i="2"/>
  <c r="BB31" i="2"/>
  <c r="BB15" i="2"/>
  <c r="BB14" i="2"/>
  <c r="BB25" i="2"/>
  <c r="BB12" i="2"/>
  <c r="BB23" i="2"/>
  <c r="BB4" i="2"/>
  <c r="BB17" i="2"/>
  <c r="BB3" i="2"/>
  <c r="BB29" i="2"/>
  <c r="BB16" i="2"/>
  <c r="BB11" i="2"/>
  <c r="BB20" i="2"/>
  <c r="BB6" i="2"/>
  <c r="BB13" i="2"/>
  <c r="AX7" i="2"/>
  <c r="AX10" i="2"/>
  <c r="AX28" i="2"/>
  <c r="AX9" i="2"/>
  <c r="AX8" i="2"/>
  <c r="AX26" i="2"/>
  <c r="AX30" i="2"/>
  <c r="AX22" i="2"/>
  <c r="AX27" i="2"/>
  <c r="AX24" i="2"/>
  <c r="AX2" i="2"/>
  <c r="AX5" i="2"/>
  <c r="AX18" i="2"/>
  <c r="AX33" i="2"/>
  <c r="AX19" i="2"/>
  <c r="AX32" i="2"/>
  <c r="AX21" i="2"/>
  <c r="AX31" i="2"/>
  <c r="AX15" i="2"/>
  <c r="AX14" i="2"/>
  <c r="AX25" i="2"/>
  <c r="AX12" i="2"/>
  <c r="AX23" i="2"/>
  <c r="AX4" i="2"/>
  <c r="AX17" i="2"/>
  <c r="AX3" i="2"/>
  <c r="AX29" i="2"/>
  <c r="AX16" i="2"/>
  <c r="AX11" i="2"/>
  <c r="AX20" i="2"/>
  <c r="AX6" i="2"/>
  <c r="AX13" i="2"/>
  <c r="AY8" i="2"/>
  <c r="AZ8" i="2"/>
  <c r="BC8" i="2"/>
  <c r="BD8" i="2"/>
  <c r="AY33" i="2"/>
  <c r="AZ33" i="2"/>
  <c r="BC33" i="2"/>
  <c r="BD33" i="2"/>
  <c r="AY2" i="2"/>
  <c r="AZ2" i="2"/>
  <c r="BC2" i="2"/>
  <c r="BD2" i="2"/>
  <c r="AY23" i="2"/>
  <c r="AZ23" i="2"/>
  <c r="BC23" i="2"/>
  <c r="BD23" i="2"/>
  <c r="AY28" i="2"/>
  <c r="AZ28" i="2"/>
  <c r="BC28" i="2"/>
  <c r="BD28" i="2"/>
  <c r="AY30" i="2"/>
  <c r="AZ30" i="2"/>
  <c r="BC30" i="2"/>
  <c r="BD30" i="2"/>
  <c r="AY5" i="2"/>
  <c r="AZ5" i="2"/>
  <c r="BC5" i="2"/>
  <c r="BD5" i="2"/>
  <c r="AY4" i="2"/>
  <c r="AZ4" i="2"/>
  <c r="BC4" i="2"/>
  <c r="BD4" i="2"/>
  <c r="AY15" i="2"/>
  <c r="AZ15" i="2"/>
  <c r="BC15" i="2"/>
  <c r="BD15" i="2"/>
  <c r="AY7" i="2"/>
  <c r="AZ7" i="2"/>
  <c r="BC7" i="2"/>
  <c r="BD7" i="2"/>
  <c r="AY9" i="2"/>
  <c r="AZ9" i="2"/>
  <c r="BC9" i="2"/>
  <c r="BD9" i="2"/>
  <c r="AY31" i="2"/>
  <c r="AZ31" i="2"/>
  <c r="BC31" i="2"/>
  <c r="BD31" i="2"/>
  <c r="AY12" i="2"/>
  <c r="AZ12" i="2"/>
  <c r="BC12" i="2"/>
  <c r="BD12" i="2"/>
  <c r="AY11" i="2"/>
  <c r="AZ11" i="2"/>
  <c r="BC11" i="2"/>
  <c r="BD11" i="2"/>
  <c r="AY14" i="2"/>
  <c r="AZ14" i="2"/>
  <c r="BC14" i="2"/>
  <c r="BD14" i="2"/>
  <c r="AY6" i="2"/>
  <c r="AZ6" i="2"/>
  <c r="BC6" i="2"/>
  <c r="BD6" i="2"/>
  <c r="AY32" i="2"/>
  <c r="AZ32" i="2"/>
  <c r="BC32" i="2"/>
  <c r="BD32" i="2"/>
  <c r="AY22" i="2"/>
  <c r="AZ22" i="2"/>
  <c r="BC22" i="2"/>
  <c r="BD22" i="2"/>
  <c r="AY29" i="2"/>
  <c r="AZ29" i="2"/>
  <c r="BC29" i="2"/>
  <c r="BD29" i="2"/>
  <c r="AY21" i="2"/>
  <c r="AZ21" i="2"/>
  <c r="BC21" i="2"/>
  <c r="BD21" i="2"/>
  <c r="AY18" i="2"/>
  <c r="AZ18" i="2"/>
  <c r="BC18" i="2"/>
  <c r="BD18" i="2"/>
  <c r="AY3" i="2"/>
  <c r="AZ3" i="2"/>
  <c r="BC3" i="2"/>
  <c r="BD3" i="2"/>
  <c r="AY20" i="2"/>
  <c r="AZ20" i="2"/>
  <c r="BC20" i="2"/>
  <c r="BD20" i="2"/>
  <c r="AY16" i="2"/>
  <c r="AZ16" i="2"/>
  <c r="BC16" i="2"/>
  <c r="BD16" i="2"/>
  <c r="AY27" i="2"/>
  <c r="AZ27" i="2"/>
  <c r="BC27" i="2"/>
  <c r="BD27" i="2"/>
  <c r="AY25" i="2"/>
  <c r="AZ25" i="2"/>
  <c r="BC25" i="2"/>
  <c r="BD25" i="2"/>
  <c r="AY26" i="2"/>
  <c r="AZ26" i="2"/>
  <c r="BC26" i="2"/>
  <c r="BD26" i="2"/>
  <c r="AY24" i="2"/>
  <c r="AZ24" i="2"/>
  <c r="BC24" i="2"/>
  <c r="BD24" i="2"/>
  <c r="AY17" i="2"/>
  <c r="AZ17" i="2"/>
  <c r="BC17" i="2"/>
  <c r="BD17" i="2"/>
  <c r="AY10" i="2"/>
  <c r="AZ10" i="2"/>
  <c r="BC10" i="2"/>
  <c r="BD10" i="2"/>
  <c r="AY13" i="2"/>
  <c r="AZ13" i="2"/>
  <c r="BC13" i="2"/>
  <c r="BD13" i="2"/>
  <c r="BD19" i="2"/>
  <c r="BC19" i="2"/>
  <c r="AZ19" i="2"/>
  <c r="AY19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L23" i="5"/>
  <c r="BJ11" i="5"/>
  <c r="BN15" i="5"/>
  <c r="BE26" i="5"/>
  <c r="BM64" i="5"/>
  <c r="D9" i="5"/>
  <c r="AX5" i="5"/>
  <c r="BF53" i="5"/>
  <c r="BD17" i="5"/>
  <c r="AX65" i="5"/>
  <c r="D65" i="5"/>
  <c r="BK34" i="5"/>
  <c r="BK44" i="5"/>
  <c r="BJ55" i="5"/>
  <c r="BN41" i="5"/>
  <c r="BN53" i="5"/>
  <c r="BJ15" i="5"/>
  <c r="C8" i="5"/>
  <c r="C32" i="5"/>
  <c r="AZ45" i="5"/>
  <c r="D55" i="5"/>
  <c r="D39" i="5"/>
  <c r="BK22" i="5"/>
  <c r="BB49" i="5"/>
  <c r="C30" i="5"/>
  <c r="BJ35" i="5"/>
  <c r="BG18" i="5"/>
  <c r="BM30" i="5"/>
  <c r="D5" i="5"/>
  <c r="BI46" i="5"/>
  <c r="BK10" i="5"/>
  <c r="BL43" i="5"/>
  <c r="BN51" i="5"/>
  <c r="C22" i="5"/>
  <c r="BN57" i="5"/>
  <c r="BH55" i="5"/>
  <c r="BL37" i="5"/>
  <c r="BH21" i="5"/>
  <c r="BK6" i="5"/>
  <c r="BK32" i="5"/>
  <c r="BM48" i="5"/>
  <c r="BL47" i="5"/>
  <c r="BG66" i="5"/>
  <c r="AF59" i="5"/>
  <c r="AX53" i="5"/>
  <c r="AM54" i="5"/>
  <c r="BK50" i="5"/>
  <c r="BM20" i="5"/>
  <c r="BL31" i="5"/>
  <c r="AD43" i="5"/>
  <c r="C42" i="5"/>
  <c r="BL5" i="5"/>
  <c r="BH11" i="5"/>
  <c r="BK8" i="5"/>
  <c r="D41" i="5"/>
  <c r="BI44" i="5"/>
  <c r="AN49" i="5"/>
  <c r="BF9" i="5"/>
  <c r="AW34" i="5"/>
  <c r="BH9" i="5"/>
  <c r="BJ49" i="5"/>
  <c r="C40" i="5"/>
  <c r="BF41" i="5"/>
  <c r="BF45" i="5"/>
  <c r="BJ25" i="5"/>
  <c r="D45" i="5"/>
  <c r="BI10" i="5"/>
  <c r="C54" i="5"/>
  <c r="BM36" i="5"/>
  <c r="BM8" i="5"/>
  <c r="BN27" i="5"/>
  <c r="AY26" i="5"/>
  <c r="D63" i="5"/>
  <c r="BE50" i="5"/>
  <c r="C12" i="5"/>
  <c r="BL11" i="5"/>
  <c r="AX41" i="5"/>
  <c r="D47" i="5"/>
  <c r="BI42" i="5"/>
  <c r="BI56" i="5"/>
  <c r="BK26" i="5"/>
  <c r="D21" i="5"/>
  <c r="BH37" i="5"/>
  <c r="BN55" i="5"/>
  <c r="BM52" i="5"/>
  <c r="BN35" i="5"/>
  <c r="C46" i="5"/>
  <c r="BA18" i="5"/>
  <c r="C38" i="5"/>
  <c r="BH45" i="5"/>
  <c r="BN61" i="5"/>
  <c r="AY50" i="5"/>
  <c r="BF21" i="5"/>
  <c r="BJ53" i="5"/>
  <c r="BH63" i="5"/>
  <c r="BI12" i="5"/>
  <c r="BH31" i="5"/>
  <c r="D37" i="5"/>
  <c r="AU66" i="5"/>
  <c r="D51" i="5"/>
  <c r="BJ33" i="5"/>
  <c r="BB13" i="5"/>
  <c r="BK42" i="5"/>
  <c r="BN23" i="5"/>
  <c r="BL9" i="5"/>
  <c r="BM14" i="5"/>
  <c r="BM60" i="5"/>
  <c r="D25" i="5"/>
  <c r="C66" i="5"/>
  <c r="BG56" i="5"/>
  <c r="D53" i="5"/>
  <c r="BJ7" i="5"/>
  <c r="BJ43" i="5"/>
  <c r="BK56" i="5"/>
  <c r="BH5" i="5"/>
  <c r="AV25" i="5"/>
  <c r="BG30" i="5"/>
  <c r="BN37" i="5"/>
  <c r="BK30" i="5"/>
  <c r="AY38" i="5"/>
  <c r="BH39" i="5"/>
  <c r="BI58" i="5"/>
  <c r="BK54" i="5"/>
  <c r="BK40" i="5"/>
  <c r="BL53" i="5"/>
  <c r="AZ9" i="5"/>
  <c r="BI26" i="5"/>
  <c r="D57" i="5"/>
  <c r="BG54" i="5"/>
  <c r="AZ21" i="5"/>
  <c r="BG38" i="5"/>
  <c r="BJ21" i="5"/>
  <c r="BI8" i="5"/>
  <c r="BL39" i="5"/>
  <c r="BJ45" i="5"/>
  <c r="C6" i="5"/>
  <c r="BI34" i="5"/>
  <c r="D19" i="5"/>
  <c r="BI40" i="5"/>
  <c r="X55" i="5"/>
  <c r="BI20" i="5"/>
  <c r="C26" i="5"/>
  <c r="BH27" i="5"/>
  <c r="AT47" i="5"/>
  <c r="BE14" i="5"/>
  <c r="BN29" i="5"/>
  <c r="AQ50" i="5"/>
  <c r="BM16" i="5"/>
  <c r="BI64" i="5"/>
  <c r="BH53" i="5"/>
  <c r="BM26" i="5"/>
  <c r="BG42" i="5"/>
  <c r="BL55" i="5"/>
  <c r="C34" i="5"/>
  <c r="BN19" i="5"/>
  <c r="BL33" i="5"/>
  <c r="C36" i="5"/>
  <c r="BI22" i="5"/>
  <c r="BC58" i="5"/>
  <c r="BF33" i="5"/>
  <c r="BN13" i="5"/>
  <c r="BI38" i="5"/>
  <c r="BM24" i="5"/>
  <c r="BL13" i="5"/>
  <c r="AW22" i="5"/>
  <c r="BJ29" i="5"/>
  <c r="BJ39" i="5"/>
  <c r="D33" i="5"/>
  <c r="BL41" i="5"/>
  <c r="D43" i="5"/>
  <c r="AA44" i="5"/>
  <c r="AW10" i="5"/>
  <c r="BM32" i="5"/>
  <c r="BN49" i="5"/>
  <c r="BI32" i="5"/>
  <c r="BK46" i="5"/>
  <c r="BN17" i="5"/>
  <c r="C16" i="5"/>
  <c r="BM58" i="5"/>
  <c r="BM18" i="5"/>
  <c r="BJ9" i="5"/>
  <c r="D11" i="5"/>
  <c r="AU42" i="5"/>
  <c r="BA30" i="5"/>
  <c r="BH33" i="5"/>
  <c r="BJ41" i="5"/>
  <c r="BL45" i="5"/>
  <c r="BG44" i="5"/>
  <c r="BG26" i="5"/>
  <c r="BH43" i="5"/>
  <c r="AL57" i="5"/>
  <c r="BJ17" i="5"/>
  <c r="AI58" i="5"/>
  <c r="BL7" i="5"/>
  <c r="BJ5" i="5"/>
  <c r="BH57" i="5"/>
  <c r="BM28" i="5"/>
  <c r="AU54" i="5"/>
  <c r="BI6" i="5"/>
  <c r="D31" i="5"/>
  <c r="BK66" i="5"/>
  <c r="BD29" i="5"/>
  <c r="BI52" i="5"/>
  <c r="C10" i="5"/>
  <c r="C44" i="5"/>
  <c r="AK62" i="5"/>
  <c r="BL21" i="5"/>
  <c r="BJ31" i="5"/>
  <c r="BM22" i="5"/>
  <c r="BH41" i="5"/>
  <c r="AZ33" i="5"/>
  <c r="BH25" i="5"/>
  <c r="C56" i="5"/>
  <c r="Q46" i="5"/>
  <c r="AT25" i="5"/>
  <c r="AJ53" i="5"/>
  <c r="BG6" i="5"/>
  <c r="BL25" i="5"/>
  <c r="BJ65" i="5"/>
  <c r="AW46" i="5"/>
  <c r="AV37" i="5"/>
  <c r="BK12" i="5"/>
  <c r="BK14" i="5"/>
  <c r="BB61" i="5"/>
  <c r="BL15" i="5"/>
  <c r="BI4" i="5"/>
  <c r="BI60" i="5"/>
  <c r="BI14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V19" i="5"/>
  <c r="S22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H13" i="5"/>
  <c r="M8" i="5"/>
  <c r="BG28" i="5"/>
  <c r="AB59" i="5"/>
  <c r="AN7" i="5"/>
  <c r="G40" i="5"/>
  <c r="U16" i="5"/>
  <c r="P21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U58" i="5"/>
  <c r="BF47" i="5"/>
  <c r="V25" i="5"/>
  <c r="Y22" i="5"/>
  <c r="BC28" i="5"/>
  <c r="AB55" i="5"/>
  <c r="AQ20" i="5"/>
  <c r="T43" i="5"/>
  <c r="AN23" i="5"/>
  <c r="W40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M12" i="5"/>
  <c r="AJ13" i="5"/>
  <c r="M36" i="5"/>
  <c r="BC46" i="5"/>
  <c r="BK16" i="5"/>
  <c r="J17" i="5"/>
  <c r="Q10" i="5"/>
  <c r="AB19" i="5"/>
  <c r="S28" i="5"/>
  <c r="BL51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G8" i="5"/>
  <c r="H33" i="5"/>
  <c r="AL3" i="5"/>
  <c r="Z3" i="5"/>
  <c r="L3" i="5"/>
  <c r="BK4" i="5"/>
  <c r="AY4" i="5"/>
  <c r="AM4" i="5"/>
  <c r="BA66" i="5"/>
  <c r="AO66" i="5"/>
  <c r="AC66" i="5"/>
  <c r="Q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L61" i="5"/>
  <c r="Z61" i="5"/>
  <c r="N61" i="5"/>
  <c r="BA60" i="5"/>
  <c r="AO60" i="5"/>
  <c r="O60" i="5"/>
  <c r="BN59" i="5"/>
  <c r="Z59" i="5"/>
  <c r="BA58" i="5"/>
  <c r="BM56" i="5"/>
  <c r="M54" i="5"/>
  <c r="I52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U16" i="5"/>
  <c r="P47" i="5"/>
  <c r="BG58" i="5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U6" i="5"/>
  <c r="F21" i="5"/>
  <c r="P11" i="5"/>
  <c r="K16" i="5"/>
  <c r="AI30" i="5"/>
  <c r="AD35" i="5"/>
  <c r="BC54" i="5"/>
  <c r="BB55" i="5"/>
  <c r="AS6" i="5"/>
  <c r="F45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A8" i="5"/>
  <c r="H27" i="5"/>
  <c r="BC32" i="5"/>
  <c r="AF55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L61" i="5"/>
  <c r="BK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B23" i="5"/>
  <c r="W28" i="5"/>
  <c r="T29" i="5"/>
  <c r="AC20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AH27" i="5"/>
  <c r="AA34" i="5"/>
  <c r="AQ12" i="5"/>
  <c r="L43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N45" i="5"/>
  <c r="AZ57" i="5"/>
  <c r="AK42" i="5"/>
  <c r="AP37" i="5"/>
  <c r="D59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AU32" i="5"/>
  <c r="AF47" i="5"/>
  <c r="BC6" i="5"/>
  <c r="F55" i="5"/>
  <c r="AH37" i="5"/>
  <c r="AK34" i="5"/>
  <c r="AN25" i="5"/>
  <c r="Y40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X9" i="5"/>
  <c r="I50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X17" i="5"/>
  <c r="Q24" i="5"/>
  <c r="Q14" i="5"/>
  <c r="N17" i="5"/>
  <c r="AV21" i="5"/>
  <c r="U48" i="5"/>
  <c r="AJ41" i="5"/>
  <c r="AO36" i="5"/>
  <c r="AK26" i="5"/>
  <c r="Z37" i="5"/>
  <c r="AA10" i="5"/>
  <c r="J27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35" i="5"/>
  <c r="AI56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AO6" i="5"/>
  <c r="F41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S32" i="5"/>
  <c r="AF45" i="5"/>
  <c r="K18" i="5"/>
  <c r="R11" i="5"/>
  <c r="AI22" i="5"/>
  <c r="V35" i="5"/>
  <c r="Z5" i="5"/>
  <c r="E26" i="5"/>
  <c r="BD3" i="5"/>
  <c r="AR3" i="5"/>
  <c r="AF3" i="5"/>
  <c r="BE4" i="5"/>
  <c r="AS4" i="5"/>
  <c r="AG4" i="5"/>
  <c r="U4" i="5"/>
  <c r="I4" i="5"/>
  <c r="AI66" i="5"/>
  <c r="W66" i="5"/>
  <c r="BL65" i="5"/>
  <c r="AZ65" i="5"/>
  <c r="AB65" i="5"/>
  <c r="P65" i="5"/>
  <c r="BC64" i="5"/>
  <c r="AQ64" i="5"/>
  <c r="AE64" i="5"/>
  <c r="G64" i="5"/>
  <c r="AV63" i="5"/>
  <c r="AJ63" i="5"/>
  <c r="X63" i="5"/>
  <c r="L63" i="5"/>
  <c r="AM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5"/>
  <c r="L5" i="5"/>
  <c r="BH49" i="5"/>
  <c r="BA26" i="5"/>
  <c r="Z53" i="5"/>
  <c r="AM20" i="5"/>
  <c r="T39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D23" i="2"/>
  <c r="D14" i="2"/>
  <c r="R20" i="2"/>
  <c r="S2" i="2"/>
  <c r="D20" i="2"/>
  <c r="Q7" i="2"/>
  <c r="R3" i="2"/>
  <c r="D32" i="2"/>
  <c r="D17" i="2"/>
  <c r="W26" i="2"/>
  <c r="AA19" i="2"/>
  <c r="N7" i="2"/>
  <c r="O7" i="2"/>
  <c r="M7" i="2"/>
  <c r="V11" i="2"/>
  <c r="M20" i="2"/>
  <c r="N20" i="2"/>
  <c r="N3" i="2"/>
  <c r="U14" i="2"/>
  <c r="O2" i="2"/>
  <c r="M2" i="2"/>
  <c r="V14" i="2"/>
  <c r="V4" i="2"/>
  <c r="W11" i="2"/>
  <c r="V26" i="2"/>
  <c r="W14" i="2"/>
  <c r="U26" i="2"/>
  <c r="W4" i="2"/>
  <c r="N2" i="2"/>
  <c r="U4" i="2"/>
  <c r="U11" i="2"/>
  <c r="W19" i="2"/>
  <c r="Y19" i="2"/>
  <c r="U19" i="2"/>
  <c r="V19" i="2"/>
  <c r="Z19" i="2"/>
  <c r="O3" i="2"/>
  <c r="M3" i="2"/>
  <c r="O20" i="2"/>
  <c r="I45" i="7"/>
  <c r="H45" i="7"/>
  <c r="G45" i="7"/>
  <c r="F45" i="7"/>
  <c r="I68" i="7"/>
  <c r="I25" i="7"/>
  <c r="I59" i="7"/>
  <c r="I58" i="7"/>
  <c r="E9" i="7"/>
  <c r="E45" i="7"/>
  <c r="I48" i="7"/>
  <c r="H48" i="7"/>
  <c r="G48" i="7"/>
  <c r="F48" i="7"/>
  <c r="E48" i="7"/>
  <c r="BU5" i="1" a="1"/>
  <c r="BU5" i="1" s="1"/>
  <c r="BS5" i="1" a="1"/>
  <c r="BD20" i="1"/>
  <c r="BD19" i="1"/>
  <c r="I27" i="7"/>
  <c r="I24" i="7"/>
  <c r="G9" i="7"/>
  <c r="H9" i="7"/>
  <c r="I9" i="7"/>
  <c r="F9" i="7"/>
  <c r="G12" i="7"/>
  <c r="H12" i="7"/>
  <c r="I12" i="7"/>
  <c r="E12" i="7"/>
  <c r="F12" i="7"/>
  <c r="Q2" i="2"/>
  <c r="R2" i="2"/>
  <c r="S3" i="2"/>
  <c r="Q3" i="2"/>
  <c r="R7" i="2"/>
  <c r="Y26" i="2"/>
  <c r="S7" i="2"/>
  <c r="S20" i="2"/>
  <c r="Q20" i="2"/>
  <c r="Y11" i="2"/>
  <c r="Y4" i="2"/>
  <c r="Z11" i="2"/>
  <c r="Z26" i="2"/>
  <c r="AA26" i="2"/>
  <c r="AA4" i="2"/>
  <c r="AA11" i="2"/>
  <c r="Z4" i="2"/>
  <c r="AA14" i="2"/>
  <c r="Z14" i="2"/>
  <c r="Y14" i="2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3" i="2"/>
  <c r="CE13" i="2" s="1"/>
  <c r="CF10" i="2"/>
  <c r="CE10" i="2" s="1"/>
  <c r="CF17" i="2"/>
  <c r="CE17" i="2" s="1"/>
  <c r="CF7" i="2"/>
  <c r="CE7" i="2" s="1"/>
  <c r="CF31" i="2"/>
  <c r="CE31" i="2" s="1"/>
  <c r="CF12" i="2"/>
  <c r="CE12" i="2" s="1"/>
  <c r="CF4" i="2"/>
  <c r="CE4" i="2" s="1"/>
  <c r="CF25" i="2"/>
  <c r="CE25" i="2" s="1"/>
  <c r="CF2" i="2"/>
  <c r="CE2" i="2" s="1"/>
  <c r="CF5" i="2"/>
  <c r="CE5" i="2" s="1"/>
  <c r="CF14" i="2"/>
  <c r="CE14" i="2" s="1"/>
  <c r="CF9" i="2"/>
  <c r="CE9" i="2" s="1"/>
  <c r="CF27" i="2"/>
  <c r="CE27" i="2" s="1"/>
  <c r="CF28" i="2"/>
  <c r="CE28" i="2" s="1"/>
  <c r="CF23" i="2"/>
  <c r="CE23" i="2" s="1"/>
  <c r="CF29" i="2"/>
  <c r="CE29" i="2" s="1"/>
  <c r="CF24" i="2"/>
  <c r="CE24" i="2" s="1"/>
  <c r="CF11" i="2"/>
  <c r="CE11" i="2" s="1"/>
  <c r="CF8" i="2"/>
  <c r="CE8" i="2" s="1"/>
  <c r="CF15" i="2"/>
  <c r="CE15" i="2" s="1"/>
  <c r="CF16" i="2"/>
  <c r="CE16" i="2" s="1"/>
  <c r="CF22" i="2"/>
  <c r="CE22" i="2" s="1"/>
  <c r="CF21" i="2"/>
  <c r="CE21" i="2" s="1"/>
  <c r="CF18" i="2"/>
  <c r="CE18" i="2" s="1"/>
  <c r="CF26" i="2"/>
  <c r="CE26" i="2" s="1"/>
  <c r="CF19" i="2"/>
  <c r="CE19" i="2" s="1"/>
  <c r="CF32" i="2"/>
  <c r="CE32" i="2" s="1"/>
  <c r="CF3" i="2"/>
  <c r="CE3" i="2" s="1"/>
  <c r="CF33" i="2"/>
  <c r="CE33" i="2" s="1"/>
  <c r="CF6" i="2"/>
  <c r="CE6" i="2" s="1"/>
  <c r="CF20" i="2"/>
  <c r="CE20" i="2" s="1"/>
  <c r="CF30" i="2"/>
  <c r="CE30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D12" i="2" s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W31" i="2" l="1"/>
  <c r="T31" i="2"/>
  <c r="U31" i="2"/>
  <c r="V31" i="2"/>
  <c r="S66" i="1"/>
  <c r="T14" i="2"/>
  <c r="AA62" i="5"/>
  <c r="BJ27" i="5"/>
  <c r="E66" i="5"/>
  <c r="BN5" i="5"/>
  <c r="S62" i="1"/>
  <c r="T26" i="2"/>
  <c r="S77" i="1"/>
  <c r="L20" i="2"/>
  <c r="AH23" i="8"/>
  <c r="S58" i="1"/>
  <c r="T19" i="2"/>
  <c r="S57" i="1"/>
  <c r="L2" i="2"/>
  <c r="T17" i="2"/>
  <c r="V17" i="2"/>
  <c r="W17" i="2"/>
  <c r="U17" i="2"/>
  <c r="T4" i="2"/>
  <c r="U13" i="2"/>
  <c r="V13" i="2"/>
  <c r="O8" i="2"/>
  <c r="W13" i="2"/>
  <c r="N8" i="2"/>
  <c r="T13" i="2"/>
  <c r="S53" i="1"/>
  <c r="L7" i="2"/>
  <c r="S52" i="1"/>
  <c r="T11" i="2"/>
  <c r="L3" i="2"/>
  <c r="N18" i="2"/>
  <c r="O18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3" i="2"/>
  <c r="T23" i="2"/>
  <c r="V23" i="2"/>
  <c r="W23" i="2"/>
  <c r="S46" i="1"/>
  <c r="M9" i="2"/>
  <c r="W21" i="2"/>
  <c r="L9" i="2"/>
  <c r="T21" i="2"/>
  <c r="U21" i="2"/>
  <c r="O9" i="2"/>
  <c r="V21" i="2"/>
  <c r="N9" i="2"/>
  <c r="AP35" i="5"/>
  <c r="AI42" i="5"/>
  <c r="F53" i="5"/>
  <c r="BA6" i="5"/>
  <c r="AL63" i="5"/>
  <c r="BK38" i="5"/>
  <c r="D33" i="2"/>
  <c r="Q8" i="5"/>
  <c r="H17" i="5"/>
  <c r="S45" i="1"/>
  <c r="N15" i="2"/>
  <c r="W25" i="2"/>
  <c r="O15" i="2"/>
  <c r="L15" i="2"/>
  <c r="V25" i="2"/>
  <c r="M15" i="2"/>
  <c r="S44" i="1"/>
  <c r="N10" i="2"/>
  <c r="M10" i="2"/>
  <c r="O10" i="2"/>
  <c r="L10" i="2"/>
  <c r="S43" i="1"/>
  <c r="W29" i="2"/>
  <c r="O6" i="2"/>
  <c r="M6" i="2"/>
  <c r="V29" i="2"/>
  <c r="U29" i="2"/>
  <c r="T29" i="2"/>
  <c r="L6" i="2"/>
  <c r="N6" i="2"/>
  <c r="M27" i="2"/>
  <c r="L27" i="2"/>
  <c r="O27" i="2"/>
  <c r="N27" i="2"/>
  <c r="S41" i="1"/>
  <c r="O5" i="2"/>
  <c r="N5" i="2"/>
  <c r="BM40" i="5"/>
  <c r="AN65" i="5"/>
  <c r="D13" i="2"/>
  <c r="U22" i="2"/>
  <c r="T22" i="2"/>
  <c r="W22" i="2"/>
  <c r="V22" i="2"/>
  <c r="BI48" i="5"/>
  <c r="AV61" i="5"/>
  <c r="BG24" i="5"/>
  <c r="X59" i="5"/>
  <c r="S18" i="5"/>
  <c r="R19" i="5"/>
  <c r="D4" i="2"/>
  <c r="C50" i="5"/>
  <c r="AX3" i="5"/>
  <c r="AD11" i="5"/>
  <c r="K30" i="5"/>
  <c r="BE36" i="5"/>
  <c r="AJ57" i="5"/>
  <c r="D6" i="2"/>
  <c r="N24" i="2"/>
  <c r="M24" i="2"/>
  <c r="L24" i="2"/>
  <c r="U7" i="2"/>
  <c r="W7" i="2"/>
  <c r="O24" i="2"/>
  <c r="V7" i="2"/>
  <c r="T7" i="2"/>
  <c r="V12" i="2"/>
  <c r="T12" i="2"/>
  <c r="U12" i="2"/>
  <c r="W12" i="2"/>
  <c r="BM38" i="5"/>
  <c r="AL65" i="5"/>
  <c r="M13" i="2"/>
  <c r="O13" i="2"/>
  <c r="V32" i="2"/>
  <c r="L13" i="2"/>
  <c r="T32" i="2"/>
  <c r="N13" i="2"/>
  <c r="U32" i="2"/>
  <c r="W32" i="2"/>
  <c r="AO26" i="5"/>
  <c r="Z41" i="5"/>
  <c r="AM46" i="5"/>
  <c r="AT39" i="5"/>
  <c r="AG54" i="5"/>
  <c r="BB33" i="5"/>
  <c r="AQ10" i="5"/>
  <c r="D2" i="2"/>
  <c r="J43" i="5"/>
  <c r="D21" i="2"/>
  <c r="AE16" i="5"/>
  <c r="P31" i="5"/>
  <c r="G6" i="5"/>
  <c r="F7" i="5"/>
  <c r="S26" i="1"/>
  <c r="L33" i="2"/>
  <c r="M33" i="2"/>
  <c r="O33" i="2"/>
  <c r="N33" i="2"/>
  <c r="S33" i="1"/>
  <c r="V30" i="2"/>
  <c r="U30" i="2"/>
  <c r="W30" i="2"/>
  <c r="T30" i="2"/>
  <c r="BC22" i="5"/>
  <c r="V55" i="5"/>
  <c r="S27" i="1"/>
  <c r="L25" i="2"/>
  <c r="O25" i="2"/>
  <c r="N25" i="2"/>
  <c r="M25" i="2"/>
  <c r="AY14" i="5"/>
  <c r="N51" i="5"/>
  <c r="D16" i="2"/>
  <c r="W28" i="2"/>
  <c r="N16" i="2"/>
  <c r="M16" i="2"/>
  <c r="L16" i="2"/>
  <c r="O16" i="2"/>
  <c r="U28" i="2"/>
  <c r="T28" i="2"/>
  <c r="V28" i="2"/>
  <c r="BL27" i="5"/>
  <c r="AA64" i="5"/>
  <c r="D10" i="2"/>
  <c r="M31" i="2"/>
  <c r="N31" i="2"/>
  <c r="BH13" i="5"/>
  <c r="D24" i="2"/>
  <c r="M60" i="5"/>
  <c r="BI50" i="5"/>
  <c r="AX61" i="5"/>
  <c r="C48" i="5"/>
  <c r="AV3" i="5"/>
  <c r="D3" i="2"/>
  <c r="D19" i="2"/>
  <c r="U20" i="2"/>
  <c r="L17" i="2"/>
  <c r="M17" i="2"/>
  <c r="T20" i="2"/>
  <c r="V20" i="2"/>
  <c r="W20" i="2"/>
  <c r="N17" i="2"/>
  <c r="O17" i="2"/>
  <c r="S23" i="1"/>
  <c r="W3" i="2"/>
  <c r="U3" i="2"/>
  <c r="M19" i="2"/>
  <c r="N19" i="2"/>
  <c r="O19" i="2"/>
  <c r="T3" i="2"/>
  <c r="L19" i="2"/>
  <c r="V3" i="2"/>
  <c r="BE18" i="5"/>
  <c r="R57" i="5"/>
  <c r="D26" i="2"/>
  <c r="S21" i="1"/>
  <c r="M28" i="2"/>
  <c r="V24" i="2"/>
  <c r="W24" i="2"/>
  <c r="N28" i="2"/>
  <c r="U24" i="2"/>
  <c r="T24" i="2"/>
  <c r="L26" i="2"/>
  <c r="O26" i="2"/>
  <c r="W5" i="2"/>
  <c r="T5" i="2"/>
  <c r="U5" i="2"/>
  <c r="M26" i="2"/>
  <c r="V5" i="2"/>
  <c r="N26" i="2"/>
  <c r="BL19" i="5"/>
  <c r="S64" i="5"/>
  <c r="W10" i="2"/>
  <c r="O4" i="2"/>
  <c r="N4" i="2"/>
  <c r="M4" i="2"/>
  <c r="T10" i="2"/>
  <c r="U10" i="2"/>
  <c r="V10" i="2"/>
  <c r="L4" i="2"/>
  <c r="AJ11" i="5"/>
  <c r="K36" i="5"/>
  <c r="N23" i="2"/>
  <c r="M23" i="2"/>
  <c r="U6" i="2"/>
  <c r="L23" i="2"/>
  <c r="O23" i="2"/>
  <c r="V6" i="2"/>
  <c r="T6" i="2"/>
  <c r="W6" i="2"/>
  <c r="AG10" i="5"/>
  <c r="J33" i="5"/>
  <c r="W2" i="2"/>
  <c r="T2" i="2"/>
  <c r="U2" i="2"/>
  <c r="O14" i="2"/>
  <c r="M14" i="2"/>
  <c r="L14" i="2"/>
  <c r="N14" i="2"/>
  <c r="V2" i="2"/>
  <c r="AQ26" i="5"/>
  <c r="Z43" i="5"/>
  <c r="M21" i="2"/>
  <c r="W9" i="2"/>
  <c r="N21" i="2"/>
  <c r="O21" i="2"/>
  <c r="V9" i="2"/>
  <c r="L21" i="2"/>
  <c r="AO54" i="5"/>
  <c r="D29" i="2"/>
  <c r="D27" i="2"/>
  <c r="BB41" i="5"/>
  <c r="N29" i="2"/>
  <c r="T27" i="2"/>
  <c r="L29" i="2"/>
  <c r="W27" i="2"/>
  <c r="O29" i="2"/>
  <c r="U27" i="2"/>
  <c r="M29" i="2"/>
  <c r="V27" i="2"/>
  <c r="AE22" i="5"/>
  <c r="V31" i="5"/>
  <c r="D15" i="2"/>
  <c r="W15" i="2"/>
  <c r="L11" i="2"/>
  <c r="U15" i="2"/>
  <c r="T15" i="2"/>
  <c r="O11" i="2"/>
  <c r="V15" i="2"/>
  <c r="N11" i="2"/>
  <c r="M11" i="2"/>
  <c r="AM8" i="5"/>
  <c r="H39" i="5"/>
  <c r="N22" i="2"/>
  <c r="V33" i="2"/>
  <c r="O22" i="2"/>
  <c r="U33" i="2"/>
  <c r="T33" i="2"/>
  <c r="W33" i="2"/>
  <c r="M22" i="2"/>
  <c r="L22" i="2"/>
  <c r="O6" i="5"/>
  <c r="F15" i="5"/>
  <c r="D8" i="2"/>
  <c r="O30" i="2"/>
  <c r="W8" i="2"/>
  <c r="V8" i="2"/>
  <c r="U8" i="2"/>
  <c r="T8" i="2"/>
  <c r="L30" i="2"/>
  <c r="N30" i="2"/>
  <c r="M30" i="2"/>
  <c r="AK46" i="5"/>
  <c r="AT37" i="5"/>
  <c r="O32" i="2"/>
  <c r="N32" i="2"/>
  <c r="T18" i="2"/>
  <c r="V18" i="2"/>
  <c r="W18" i="2"/>
  <c r="M32" i="2"/>
  <c r="U18" i="2"/>
  <c r="L32" i="2"/>
  <c r="AC52" i="5"/>
  <c r="AZ29" i="5"/>
  <c r="S17" i="1"/>
  <c r="W16" i="2"/>
  <c r="U16" i="2"/>
  <c r="L12" i="2"/>
  <c r="N12" i="2"/>
  <c r="O12" i="2"/>
  <c r="M12" i="2"/>
  <c r="V16" i="2"/>
  <c r="T16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3" i="2"/>
  <c r="I23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8" i="2"/>
  <c r="I18" i="2" s="1"/>
  <c r="F32" i="2"/>
  <c r="G32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26" i="2"/>
  <c r="I26" i="2" s="1"/>
  <c r="BF13" i="4"/>
  <c r="M58" i="4"/>
  <c r="AT57" i="10"/>
  <c r="BE46" i="10"/>
  <c r="AT57" i="8"/>
  <c r="BE46" i="8"/>
  <c r="H21" i="2"/>
  <c r="I21" i="2" s="1"/>
  <c r="F9" i="2"/>
  <c r="G9" i="2" s="1"/>
  <c r="AR25" i="4"/>
  <c r="Y44" i="4"/>
  <c r="AP49" i="10"/>
  <c r="AW42" i="10"/>
  <c r="AP49" i="8"/>
  <c r="AW42" i="8"/>
  <c r="F13" i="2"/>
  <c r="G13" i="2" s="1"/>
  <c r="H32" i="2"/>
  <c r="I32" i="2" s="1"/>
  <c r="BM38" i="4"/>
  <c r="AL65" i="4"/>
  <c r="AS58" i="10"/>
  <c r="BF45" i="10"/>
  <c r="BF45" i="8"/>
  <c r="AS58" i="8"/>
  <c r="F21" i="2"/>
  <c r="G21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20" i="2"/>
  <c r="G20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9" i="2"/>
  <c r="G29" i="2" s="1"/>
  <c r="H27" i="2"/>
  <c r="I27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10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5" i="2"/>
  <c r="I1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6" i="2"/>
  <c r="G6" i="2" s="1"/>
  <c r="H29" i="2"/>
  <c r="I29" i="2" s="1"/>
  <c r="AP35" i="4"/>
  <c r="AI42" i="4"/>
  <c r="BD65" i="10"/>
  <c r="BM56" i="10"/>
  <c r="BM56" i="8"/>
  <c r="BD65" i="8"/>
  <c r="F25" i="2"/>
  <c r="G25" i="2" s="1"/>
  <c r="BC22" i="4"/>
  <c r="V55" i="4"/>
  <c r="AQ54" i="10"/>
  <c r="BB43" i="10"/>
  <c r="BB43" i="8"/>
  <c r="AQ54" i="8"/>
  <c r="F22" i="2"/>
  <c r="G22" i="2" s="1"/>
  <c r="H33" i="2"/>
  <c r="I33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2" i="2"/>
  <c r="I2" i="2" s="1"/>
  <c r="F14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9" i="2"/>
  <c r="I19" i="2" s="1"/>
  <c r="AZ63" i="10"/>
  <c r="BK52" i="10"/>
  <c r="BK52" i="8"/>
  <c r="AZ63" i="8"/>
  <c r="F27" i="2"/>
  <c r="G27" i="2" s="1"/>
  <c r="BA6" i="4"/>
  <c r="F53" i="4"/>
  <c r="BA52" i="10"/>
  <c r="AZ53" i="10"/>
  <c r="AZ53" i="8"/>
  <c r="BA52" i="8"/>
  <c r="F33" i="2"/>
  <c r="G33" i="2" s="1"/>
  <c r="G6" i="4"/>
  <c r="F7" i="4"/>
  <c r="S52" i="10"/>
  <c r="AZ19" i="10"/>
  <c r="AZ19" i="8"/>
  <c r="S52" i="8"/>
  <c r="H8" i="2"/>
  <c r="I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2" i="2"/>
  <c r="G2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6" i="2"/>
  <c r="G16" i="2" s="1"/>
  <c r="H28" i="2"/>
  <c r="I28" i="2" s="1"/>
  <c r="AY14" i="4"/>
  <c r="N51" i="4"/>
  <c r="I18" i="10"/>
  <c r="R9" i="10"/>
  <c r="R9" i="8"/>
  <c r="I18" i="8"/>
  <c r="H17" i="2"/>
  <c r="I17" i="2" s="1"/>
  <c r="F31" i="2"/>
  <c r="G31" i="2" s="1"/>
  <c r="L31" i="2"/>
  <c r="O31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7" i="2"/>
  <c r="H7" i="2"/>
  <c r="I7" i="2" s="1"/>
  <c r="X13" i="5"/>
  <c r="M24" i="5"/>
  <c r="L28" i="2"/>
  <c r="F28" i="2"/>
  <c r="G28" i="2" s="1"/>
  <c r="D28" i="2"/>
  <c r="O28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3" i="2"/>
  <c r="I3" i="2" s="1"/>
  <c r="F19" i="2"/>
  <c r="G19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17" i="2"/>
  <c r="G17" i="2" s="1"/>
  <c r="H20" i="2"/>
  <c r="I20" i="2" s="1"/>
  <c r="BG66" i="10"/>
  <c r="BN59" i="10"/>
  <c r="BN59" i="8"/>
  <c r="BG66" i="8"/>
  <c r="T25" i="2"/>
  <c r="D11" i="2"/>
  <c r="H25" i="2"/>
  <c r="I25" i="2" s="1"/>
  <c r="BD31" i="5"/>
  <c r="AE56" i="5"/>
  <c r="D25" i="2"/>
  <c r="U25" i="2"/>
  <c r="BD31" i="4"/>
  <c r="AE56" i="4"/>
  <c r="F11" i="2"/>
  <c r="G11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4" i="2"/>
  <c r="I4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8" i="2"/>
  <c r="G8" i="2" s="1"/>
  <c r="E66" i="4"/>
  <c r="BN5" i="4"/>
  <c r="H13" i="2"/>
  <c r="I13" i="2" s="1"/>
  <c r="L8" i="2"/>
  <c r="M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7" i="2"/>
  <c r="G7" i="2" s="1"/>
  <c r="AN23" i="4"/>
  <c r="W40" i="4"/>
  <c r="H15" i="10"/>
  <c r="O8" i="10"/>
  <c r="O8" i="8"/>
  <c r="H15" i="8"/>
  <c r="F24" i="2"/>
  <c r="G24" i="2" s="1"/>
  <c r="BG24" i="4"/>
  <c r="X59" i="4"/>
  <c r="E16" i="10"/>
  <c r="P5" i="10"/>
  <c r="P5" i="8"/>
  <c r="E16" i="8"/>
  <c r="H24" i="2"/>
  <c r="I24" i="2" s="1"/>
  <c r="BH13" i="4"/>
  <c r="M60" i="4"/>
  <c r="J21" i="10"/>
  <c r="U10" i="10"/>
  <c r="J21" i="8"/>
  <c r="U10" i="8"/>
  <c r="H31" i="2"/>
  <c r="AB17" i="4"/>
  <c r="Q28" i="4"/>
  <c r="D5" i="2"/>
  <c r="F5" i="2"/>
  <c r="G5" i="2" s="1"/>
  <c r="L5" i="2"/>
  <c r="AB17" i="5"/>
  <c r="M5" i="2"/>
  <c r="Q28" i="5"/>
  <c r="D31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3" i="2"/>
  <c r="G3" i="2" s="1"/>
  <c r="H11" i="2"/>
  <c r="I11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5" i="2"/>
  <c r="I5" i="2" s="1"/>
  <c r="F26" i="2"/>
  <c r="G26" i="2" s="1"/>
  <c r="BE18" i="4"/>
  <c r="R57" i="4"/>
  <c r="AU44" i="10"/>
  <c r="AR47" i="10"/>
  <c r="AU44" i="8"/>
  <c r="AR47" i="8"/>
  <c r="D22" i="2"/>
  <c r="AS40" i="5"/>
  <c r="AN45" i="5"/>
  <c r="M18" i="2"/>
  <c r="F18" i="2"/>
  <c r="G18" i="2" s="1"/>
  <c r="H22" i="2"/>
  <c r="I22" i="2" s="1"/>
  <c r="D18" i="2"/>
  <c r="L18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10" i="2"/>
  <c r="F4" i="2"/>
  <c r="G4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3" i="2"/>
  <c r="G23" i="2" s="1"/>
  <c r="H6" i="2"/>
  <c r="I6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12" i="2"/>
  <c r="I12" i="2" s="1"/>
  <c r="K30" i="4"/>
  <c r="AD11" i="4"/>
  <c r="S58" i="10"/>
  <c r="BF19" i="10"/>
  <c r="BF19" i="8"/>
  <c r="S58" i="8"/>
  <c r="BD12" i="1"/>
  <c r="BD13" i="1"/>
  <c r="Z15" i="5"/>
  <c r="D9" i="2"/>
  <c r="O26" i="5"/>
  <c r="D30" i="2"/>
  <c r="CS10" i="2"/>
  <c r="F30" i="2"/>
  <c r="G30" i="2" s="1"/>
  <c r="CS9" i="2"/>
  <c r="Z15" i="4"/>
  <c r="U9" i="2"/>
  <c r="O26" i="4"/>
  <c r="H9" i="2"/>
  <c r="I9" i="2" s="1"/>
  <c r="T9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14" i="2"/>
  <c r="I14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30" i="2"/>
  <c r="I30" i="2" s="1"/>
  <c r="BG20" i="8"/>
  <c r="AE16" i="4"/>
  <c r="Y30" i="10"/>
  <c r="AD25" i="10"/>
  <c r="AD25" i="8"/>
  <c r="Y30" i="8"/>
  <c r="F12" i="2"/>
  <c r="G12" i="2" s="1"/>
  <c r="H16" i="2"/>
  <c r="I16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I31" i="2"/>
  <c r="O1314" i="1"/>
  <c r="O1293" i="1"/>
  <c r="O655" i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O827" i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O1051" i="1"/>
  <c r="O1019" i="1"/>
  <c r="AD1019" i="1" s="1"/>
  <c r="O971" i="1"/>
  <c r="O940" i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O1082" i="1"/>
  <c r="O1002" i="1"/>
  <c r="AD1002" i="1" s="1"/>
  <c r="O906" i="1"/>
  <c r="AD906" i="1" s="1"/>
  <c r="O1194" i="1"/>
  <c r="AD1194" i="1" s="1"/>
  <c r="O1114" i="1"/>
  <c r="O1034" i="1"/>
  <c r="O950" i="1"/>
  <c r="AC950" i="1" s="1"/>
  <c r="O842" i="1"/>
  <c r="O1098" i="1"/>
  <c r="AD1098" i="1" s="1"/>
  <c r="O1210" i="1"/>
  <c r="AD1210" i="1" s="1"/>
  <c r="O1050" i="1"/>
  <c r="O986" i="1"/>
  <c r="O938" i="1"/>
  <c r="O874" i="1"/>
  <c r="AD874" i="1" s="1"/>
  <c r="O1226" i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O678" i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O1006" i="1"/>
  <c r="AD1006" i="1" s="1"/>
  <c r="O1134" i="1"/>
  <c r="AC1134" i="1" s="1"/>
  <c r="O1084" i="1"/>
  <c r="O1022" i="1"/>
  <c r="AD1022" i="1" s="1"/>
  <c r="O974" i="1"/>
  <c r="AC974" i="1" s="1"/>
  <c r="O1198" i="1"/>
  <c r="O1182" i="1"/>
  <c r="O1118" i="1"/>
  <c r="AC1118" i="1" s="1"/>
  <c r="O1054" i="1"/>
  <c r="AC1054" i="1" s="1"/>
  <c r="O990" i="1"/>
  <c r="AD990" i="1" s="1"/>
  <c r="O1199" i="1"/>
  <c r="AD1199" i="1" s="1"/>
  <c r="O1197" i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O1001" i="1"/>
  <c r="AD1001" i="1" s="1"/>
  <c r="O1128" i="1"/>
  <c r="AC1128" i="1" s="1"/>
  <c r="O1097" i="1"/>
  <c r="AD1097" i="1" s="1"/>
  <c r="O969" i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O857" i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O1109" i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O1042" i="1"/>
  <c r="AD1042" i="1" s="1"/>
  <c r="O1026" i="1"/>
  <c r="AC1026" i="1" s="1"/>
  <c r="O1010" i="1"/>
  <c r="AD1010" i="1" s="1"/>
  <c r="O994" i="1"/>
  <c r="AD994" i="1" s="1"/>
  <c r="O978" i="1"/>
  <c r="O946" i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O937" i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11" i="2"/>
  <c r="BU5" i="2"/>
  <c r="BU12" i="2"/>
  <c r="O991" i="1"/>
  <c r="AD991" i="1" s="1"/>
  <c r="BU7" i="2"/>
  <c r="BU4" i="2"/>
  <c r="BU25" i="2"/>
  <c r="BU24" i="2"/>
  <c r="BU16" i="2"/>
  <c r="BU29" i="2"/>
  <c r="BU10" i="2"/>
  <c r="BU30" i="2"/>
  <c r="BU23" i="2"/>
  <c r="BU14" i="2"/>
  <c r="BU33" i="2"/>
  <c r="BU17" i="2"/>
  <c r="BU6" i="2"/>
  <c r="BU28" i="2"/>
  <c r="BU2" i="2"/>
  <c r="BU8" i="2"/>
  <c r="BU26" i="2"/>
  <c r="BU20" i="2"/>
  <c r="BU32" i="2"/>
  <c r="BU9" i="2"/>
  <c r="BU22" i="2"/>
  <c r="BU18" i="2"/>
  <c r="BU27" i="2"/>
  <c r="BU3" i="2"/>
  <c r="BU13" i="2"/>
  <c r="BU19" i="2"/>
  <c r="BU21" i="2"/>
  <c r="BU15" i="2"/>
  <c r="O989" i="1"/>
  <c r="AD989" i="1" s="1"/>
  <c r="BU31" i="2"/>
  <c r="O984" i="1"/>
  <c r="AD984" i="1" s="1"/>
  <c r="BT32" i="2"/>
  <c r="O953" i="1"/>
  <c r="AD953" i="1" s="1"/>
  <c r="BT9" i="2"/>
  <c r="BT31" i="2"/>
  <c r="O977" i="1"/>
  <c r="AD977" i="1" s="1"/>
  <c r="BT17" i="2"/>
  <c r="BT7" i="2"/>
  <c r="BT11" i="2"/>
  <c r="BT5" i="2"/>
  <c r="BT6" i="2"/>
  <c r="BT24" i="2"/>
  <c r="BT12" i="2"/>
  <c r="BT29" i="2"/>
  <c r="BT2" i="2"/>
  <c r="BT13" i="2"/>
  <c r="BT18" i="2"/>
  <c r="BT28" i="2"/>
  <c r="BT10" i="2"/>
  <c r="BT22" i="2"/>
  <c r="BT33" i="2"/>
  <c r="BT3" i="2"/>
  <c r="BT16" i="2"/>
  <c r="BT25" i="2"/>
  <c r="BT8" i="2"/>
  <c r="BT23" i="2"/>
  <c r="BT27" i="2"/>
  <c r="BT19" i="2"/>
  <c r="BT14" i="2"/>
  <c r="BT30" i="2"/>
  <c r="BT4" i="2"/>
  <c r="BT26" i="2"/>
  <c r="BT21" i="2"/>
  <c r="BT15" i="2"/>
  <c r="BT20" i="2"/>
  <c r="O982" i="1"/>
  <c r="AD982" i="1" s="1"/>
  <c r="O960" i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AC890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19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126" i="1"/>
  <c r="AD1047" i="1"/>
  <c r="AD1030" i="1"/>
  <c r="AD995" i="1"/>
  <c r="AD966" i="1"/>
  <c r="AD854" i="1"/>
  <c r="AD822" i="1"/>
  <c r="AD758" i="1"/>
  <c r="AD742" i="1"/>
  <c r="AD710" i="1"/>
  <c r="AD694" i="1"/>
  <c r="AD678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172" i="1"/>
  <c r="AD1092" i="1"/>
  <c r="AD1076" i="1"/>
  <c r="AD1012" i="1"/>
  <c r="AD980" i="1"/>
  <c r="AD884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82" i="1"/>
  <c r="AD1266" i="1"/>
  <c r="AD1250" i="1"/>
  <c r="AD1234" i="1"/>
  <c r="AD1218" i="1"/>
  <c r="AD1202" i="1"/>
  <c r="AD1186" i="1"/>
  <c r="AD1170" i="1"/>
  <c r="AD1122" i="1"/>
  <c r="AD1058" i="1"/>
  <c r="AD978" i="1"/>
  <c r="AD946" i="1"/>
  <c r="AD834" i="1"/>
  <c r="AD690" i="1"/>
  <c r="AD1313" i="1"/>
  <c r="AD1297" i="1"/>
  <c r="AD1281" i="1"/>
  <c r="AD1265" i="1"/>
  <c r="AD1249" i="1"/>
  <c r="AD1233" i="1"/>
  <c r="AD1185" i="1"/>
  <c r="AD1137" i="1"/>
  <c r="AD1041" i="1"/>
  <c r="AD961" i="1"/>
  <c r="AD849" i="1"/>
  <c r="AD529" i="1"/>
  <c r="AD1312" i="1"/>
  <c r="AD1296" i="1"/>
  <c r="AD1264" i="1"/>
  <c r="AD1232" i="1"/>
  <c r="AD1216" i="1"/>
  <c r="AD1168" i="1"/>
  <c r="AD1088" i="1"/>
  <c r="AD960" i="1"/>
  <c r="AD800" i="1"/>
  <c r="AD1311" i="1"/>
  <c r="AD1295" i="1"/>
  <c r="AD1279" i="1"/>
  <c r="AD1263" i="1"/>
  <c r="AD1247" i="1"/>
  <c r="AD1231" i="1"/>
  <c r="AD1215" i="1"/>
  <c r="AD1167" i="1"/>
  <c r="AD943" i="1"/>
  <c r="AD767" i="1"/>
  <c r="AD655" i="1"/>
  <c r="AD1310" i="1"/>
  <c r="AD1294" i="1"/>
  <c r="AD1278" i="1"/>
  <c r="AD1262" i="1"/>
  <c r="AD1246" i="1"/>
  <c r="AD1230" i="1"/>
  <c r="AD1198" i="1"/>
  <c r="AD1182" i="1"/>
  <c r="AD1150" i="1"/>
  <c r="AD1134" i="1"/>
  <c r="AD1118" i="1"/>
  <c r="AD1102" i="1"/>
  <c r="AD1084" i="1"/>
  <c r="AD1070" i="1"/>
  <c r="AD896" i="1"/>
  <c r="AD814" i="1"/>
  <c r="AD1309" i="1"/>
  <c r="AD1293" i="1"/>
  <c r="AD1277" i="1"/>
  <c r="AD1261" i="1"/>
  <c r="AD1245" i="1"/>
  <c r="AD1229" i="1"/>
  <c r="AD1213" i="1"/>
  <c r="AD1197" i="1"/>
  <c r="AD1181" i="1"/>
  <c r="AD1069" i="1"/>
  <c r="AD1053" i="1"/>
  <c r="AD1037" i="1"/>
  <c r="AD942" i="1"/>
  <c r="AD861" i="1"/>
  <c r="AD1308" i="1"/>
  <c r="AD1292" i="1"/>
  <c r="AD1276" i="1"/>
  <c r="AD1260" i="1"/>
  <c r="AD1228" i="1"/>
  <c r="AD1180" i="1"/>
  <c r="AD1036" i="1"/>
  <c r="AD1020" i="1"/>
  <c r="AD1004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163" i="1"/>
  <c r="AD1147" i="1"/>
  <c r="AD1115" i="1"/>
  <c r="AD1083" i="1"/>
  <c r="AD1051" i="1"/>
  <c r="AD1035" i="1"/>
  <c r="AD987" i="1"/>
  <c r="AD971" i="1"/>
  <c r="AD940" i="1"/>
  <c r="AD890" i="1"/>
  <c r="AD827" i="1"/>
  <c r="AD795" i="1"/>
  <c r="AD763" i="1"/>
  <c r="AD1306" i="1"/>
  <c r="AD1290" i="1"/>
  <c r="AD1274" i="1"/>
  <c r="AD1258" i="1"/>
  <c r="AD1242" i="1"/>
  <c r="AD1226" i="1"/>
  <c r="AD1178" i="1"/>
  <c r="AD1130" i="1"/>
  <c r="AD1114" i="1"/>
  <c r="AD1082" i="1"/>
  <c r="AD1050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61" i="1"/>
  <c r="AD1145" i="1"/>
  <c r="AD1113" i="1"/>
  <c r="AD1017" i="1"/>
  <c r="AD969" i="1"/>
  <c r="AD937" i="1"/>
  <c r="AD857" i="1"/>
  <c r="AD761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112" i="1"/>
  <c r="AD1080" i="1"/>
  <c r="AD84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1145" i="1"/>
  <c r="AC996" i="1"/>
  <c r="AC971" i="1"/>
  <c r="AC947" i="1"/>
  <c r="AC899" i="1"/>
  <c r="AC875" i="1"/>
  <c r="AC857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6" i="1"/>
  <c r="AC1240" i="1"/>
  <c r="AC1234" i="1"/>
  <c r="AC1228" i="1"/>
  <c r="AC1222" i="1"/>
  <c r="AC1204" i="1"/>
  <c r="AC1198" i="1"/>
  <c r="AC1192" i="1"/>
  <c r="AC1186" i="1"/>
  <c r="AC1174" i="1"/>
  <c r="AC1168" i="1"/>
  <c r="AC1150" i="1"/>
  <c r="AC1138" i="1"/>
  <c r="AC1126" i="1"/>
  <c r="AC1114" i="1"/>
  <c r="AC1102" i="1"/>
  <c r="AC1024" i="1"/>
  <c r="AC964" i="1"/>
  <c r="AC958" i="1"/>
  <c r="AC946" i="1"/>
  <c r="AC928" i="1"/>
  <c r="AC922" i="1"/>
  <c r="AC874" i="1"/>
  <c r="AC694" i="1"/>
  <c r="AC340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113" i="1"/>
  <c r="AC1095" i="1"/>
  <c r="AC1083" i="1"/>
  <c r="AC1059" i="1"/>
  <c r="AC1044" i="1"/>
  <c r="AC1035" i="1"/>
  <c r="AC1017" i="1"/>
  <c r="AC1011" i="1"/>
  <c r="AC987" i="1"/>
  <c r="AC969" i="1"/>
  <c r="AC952" i="1"/>
  <c r="AC940" i="1"/>
  <c r="AC915" i="1"/>
  <c r="AC903" i="1"/>
  <c r="AC897" i="1"/>
  <c r="AC867" i="1"/>
  <c r="AC855" i="1"/>
  <c r="AC849" i="1"/>
  <c r="AC807" i="1"/>
  <c r="AC741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013" i="1"/>
  <c r="AC977" i="1"/>
  <c r="AC827" i="1"/>
  <c r="AC719" i="1"/>
  <c r="AC1304" i="1"/>
  <c r="AC1292" i="1"/>
  <c r="AC1268" i="1"/>
  <c r="AC1238" i="1"/>
  <c r="AC1226" i="1"/>
  <c r="AC1214" i="1"/>
  <c r="AC1202" i="1"/>
  <c r="AC1190" i="1"/>
  <c r="AC1178" i="1"/>
  <c r="AC1166" i="1"/>
  <c r="AC1142" i="1"/>
  <c r="AC995" i="1"/>
  <c r="AC891" i="1"/>
  <c r="AC842" i="1"/>
  <c r="AC806" i="1"/>
  <c r="AC800" i="1"/>
  <c r="AC770" i="1"/>
  <c r="AC710" i="1"/>
  <c r="AC674" i="1"/>
  <c r="AC1305" i="1"/>
  <c r="AC1287" i="1"/>
  <c r="AC1269" i="1"/>
  <c r="AC1233" i="1"/>
  <c r="AC1197" i="1"/>
  <c r="AC1129" i="1"/>
  <c r="AC1313" i="1"/>
  <c r="AC1283" i="1"/>
  <c r="AC1253" i="1"/>
  <c r="AC1223" i="1"/>
  <c r="AC1187" i="1"/>
  <c r="AC1157" i="1"/>
  <c r="AC965" i="1"/>
  <c r="AC942" i="1"/>
  <c r="AC868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72" i="1"/>
  <c r="AC1160" i="1"/>
  <c r="AC1130" i="1"/>
  <c r="AC1082" i="1"/>
  <c r="AC1058" i="1"/>
  <c r="AC1047" i="1"/>
  <c r="AC1034" i="1"/>
  <c r="AC986" i="1"/>
  <c r="AC980" i="1"/>
  <c r="AC951" i="1"/>
  <c r="AC788" i="1"/>
  <c r="AC308" i="1"/>
  <c r="AC1027" i="1"/>
  <c r="AC1015" i="1"/>
  <c r="AC998" i="1"/>
  <c r="AC949" i="1"/>
  <c r="AC937" i="1"/>
  <c r="AC877" i="1"/>
  <c r="AC787" i="1"/>
  <c r="AC739" i="1"/>
  <c r="AC655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217" i="1"/>
  <c r="AC1193" i="1"/>
  <c r="AC1127" i="1"/>
  <c r="AC1109" i="1"/>
  <c r="AC1043" i="1"/>
  <c r="AC983" i="1"/>
  <c r="AC959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82" i="1"/>
  <c r="AC1176" i="1"/>
  <c r="AC1170" i="1"/>
  <c r="AC1158" i="1"/>
  <c r="AC1122" i="1"/>
  <c r="AC1098" i="1"/>
  <c r="AC1092" i="1"/>
  <c r="AC1084" i="1"/>
  <c r="AC1080" i="1"/>
  <c r="AC1062" i="1"/>
  <c r="AC1050" i="1"/>
  <c r="AC1020" i="1"/>
  <c r="AC978" i="1"/>
  <c r="AC966" i="1"/>
  <c r="AC960" i="1"/>
  <c r="AC870" i="1"/>
  <c r="AC859" i="1"/>
  <c r="AC822" i="1"/>
  <c r="AC798" i="1"/>
  <c r="AC690" i="1"/>
  <c r="AC678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5" i="2"/>
  <c r="BG16" i="2"/>
  <c r="BE16" i="2"/>
  <c r="BF32" i="2"/>
  <c r="BE24" i="2"/>
  <c r="BA20" i="2"/>
  <c r="BG8" i="2"/>
  <c r="BA13" i="2"/>
  <c r="BF26" i="2"/>
  <c r="BG3" i="2"/>
  <c r="BE13" i="2"/>
  <c r="BF25" i="2"/>
  <c r="BG27" i="2"/>
  <c r="BA32" i="2"/>
  <c r="BA17" i="2"/>
  <c r="BG24" i="2"/>
  <c r="BE25" i="2"/>
  <c r="BF4" i="2"/>
  <c r="BA28" i="2"/>
  <c r="BA23" i="2"/>
  <c r="BF2" i="2"/>
  <c r="BA3" i="2"/>
  <c r="BF21" i="2"/>
  <c r="BG6" i="2"/>
  <c r="BA31" i="2"/>
  <c r="BF11" i="2"/>
  <c r="BG7" i="2"/>
  <c r="BE15" i="2"/>
  <c r="BA30" i="2"/>
  <c r="BG26" i="2"/>
  <c r="BG18" i="2"/>
  <c r="BG14" i="2"/>
  <c r="BE12" i="2"/>
  <c r="BA9" i="2"/>
  <c r="BF7" i="2"/>
  <c r="BF28" i="2"/>
  <c r="BG33" i="2"/>
  <c r="BA7" i="2"/>
  <c r="BE28" i="2"/>
  <c r="BA18" i="2"/>
  <c r="BA29" i="2"/>
  <c r="BF14" i="2"/>
  <c r="BE9" i="2"/>
  <c r="BG5" i="2"/>
  <c r="BE5" i="2"/>
  <c r="BA8" i="2"/>
  <c r="BF17" i="2"/>
  <c r="BG10" i="2"/>
  <c r="BE17" i="2"/>
  <c r="BA24" i="2"/>
  <c r="BF18" i="2"/>
  <c r="BA21" i="2"/>
  <c r="BA22" i="2"/>
  <c r="BE33" i="2"/>
  <c r="BE32" i="2"/>
  <c r="BA6" i="2"/>
  <c r="BF9" i="2"/>
  <c r="BA15" i="2"/>
  <c r="BE4" i="2"/>
  <c r="BE23" i="2"/>
  <c r="BA2" i="2"/>
  <c r="BE27" i="2"/>
  <c r="BF13" i="2"/>
  <c r="BA16" i="2"/>
  <c r="BF20" i="2"/>
  <c r="BE18" i="2"/>
  <c r="BE22" i="2"/>
  <c r="BG11" i="2"/>
  <c r="BF12" i="2"/>
  <c r="BE8" i="2"/>
  <c r="BF24" i="2"/>
  <c r="BE26" i="2"/>
  <c r="BA25" i="2"/>
  <c r="BF27" i="2"/>
  <c r="BE20" i="2"/>
  <c r="BE3" i="2"/>
  <c r="BG22" i="2"/>
  <c r="BE14" i="2"/>
  <c r="BE31" i="2"/>
  <c r="BG15" i="2"/>
  <c r="BA4" i="2"/>
  <c r="BA5" i="2"/>
  <c r="BE30" i="2"/>
  <c r="BG2" i="2"/>
  <c r="BF33" i="2"/>
  <c r="BG13" i="2"/>
  <c r="BE21" i="2"/>
  <c r="BG29" i="2"/>
  <c r="BG31" i="2"/>
  <c r="BG30" i="2"/>
  <c r="BG23" i="2"/>
  <c r="BE2" i="2"/>
  <c r="BA33" i="2"/>
  <c r="BA10" i="2"/>
  <c r="BE10" i="2"/>
  <c r="BA26" i="2"/>
  <c r="BE29" i="2"/>
  <c r="BE6" i="2"/>
  <c r="BE11" i="2"/>
  <c r="BG12" i="2"/>
  <c r="BA27" i="2"/>
  <c r="BG21" i="2"/>
  <c r="BA12" i="2"/>
  <c r="BE7" i="2"/>
  <c r="BF15" i="2"/>
  <c r="BG4" i="2"/>
  <c r="BF8" i="2"/>
  <c r="BF10" i="2"/>
  <c r="BG17" i="2"/>
  <c r="BF16" i="2"/>
  <c r="BG20" i="2"/>
  <c r="BF22" i="2"/>
  <c r="BG32" i="2"/>
  <c r="BF31" i="2"/>
  <c r="BG9" i="2"/>
  <c r="BF30" i="2"/>
  <c r="BG28" i="2"/>
  <c r="BF29" i="2"/>
  <c r="BF5" i="2"/>
  <c r="BA14" i="2"/>
  <c r="BF3" i="2"/>
  <c r="BF6" i="2"/>
  <c r="BA11" i="2"/>
  <c r="BF23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1133" i="1" l="1"/>
  <c r="AC1119" i="1"/>
  <c r="AD933" i="1"/>
  <c r="AC1135" i="1"/>
  <c r="AC1066" i="1"/>
  <c r="Z17" i="2"/>
  <c r="AA17" i="2"/>
  <c r="Y17" i="2"/>
  <c r="AC1094" i="1"/>
  <c r="AD902" i="1"/>
  <c r="AD747" i="1"/>
  <c r="R18" i="2"/>
  <c r="Q18" i="2"/>
  <c r="S18" i="2"/>
  <c r="AC1148" i="1"/>
  <c r="AC1162" i="1"/>
  <c r="Z31" i="2"/>
  <c r="AA31" i="2"/>
  <c r="Y31" i="2"/>
  <c r="S8" i="2"/>
  <c r="AA13" i="2"/>
  <c r="Y13" i="2"/>
  <c r="Z13" i="2"/>
  <c r="Q8" i="2"/>
  <c r="R8" i="2"/>
  <c r="Z23" i="2"/>
  <c r="AA23" i="2"/>
  <c r="Y23" i="2"/>
  <c r="R9" i="2"/>
  <c r="AA21" i="2"/>
  <c r="Z21" i="2"/>
  <c r="S9" i="2"/>
  <c r="Y21" i="2"/>
  <c r="Q9" i="2"/>
  <c r="AA25" i="2"/>
  <c r="Y25" i="2"/>
  <c r="Q15" i="2"/>
  <c r="Z25" i="2"/>
  <c r="S15" i="2"/>
  <c r="R15" i="2"/>
  <c r="R10" i="2"/>
  <c r="S10" i="2"/>
  <c r="Q10" i="2"/>
  <c r="R6" i="2"/>
  <c r="Y29" i="2"/>
  <c r="Q6" i="2"/>
  <c r="AA29" i="2"/>
  <c r="Z29" i="2"/>
  <c r="S6" i="2"/>
  <c r="Q27" i="2"/>
  <c r="R27" i="2"/>
  <c r="S27" i="2"/>
  <c r="Q5" i="2"/>
  <c r="R5" i="2"/>
  <c r="S5" i="2"/>
  <c r="Y22" i="2"/>
  <c r="Z22" i="2"/>
  <c r="AA22" i="2"/>
  <c r="Z7" i="2"/>
  <c r="R24" i="2"/>
  <c r="AA7" i="2"/>
  <c r="S24" i="2"/>
  <c r="Q24" i="2"/>
  <c r="Y7" i="2"/>
  <c r="AA12" i="2"/>
  <c r="Z12" i="2"/>
  <c r="Y12" i="2"/>
  <c r="S13" i="2"/>
  <c r="Y32" i="2"/>
  <c r="Z32" i="2"/>
  <c r="Q13" i="2"/>
  <c r="AA32" i="2"/>
  <c r="R13" i="2"/>
  <c r="Q33" i="2"/>
  <c r="S33" i="2"/>
  <c r="R33" i="2"/>
  <c r="Z30" i="2"/>
  <c r="Y30" i="2"/>
  <c r="AA30" i="2"/>
  <c r="R25" i="2"/>
  <c r="Q25" i="2"/>
  <c r="S25" i="2"/>
  <c r="R16" i="2"/>
  <c r="AA28" i="2"/>
  <c r="Q16" i="2"/>
  <c r="S16" i="2"/>
  <c r="Y28" i="2"/>
  <c r="Z28" i="2"/>
  <c r="Q31" i="2"/>
  <c r="R31" i="2"/>
  <c r="S31" i="2"/>
  <c r="J69" i="7"/>
  <c r="Y8" i="6"/>
  <c r="J33" i="7"/>
  <c r="AA20" i="2"/>
  <c r="S17" i="2"/>
  <c r="Q17" i="2"/>
  <c r="Z20" i="2"/>
  <c r="Y20" i="2"/>
  <c r="R17" i="2"/>
  <c r="J32" i="7"/>
  <c r="B8" i="6"/>
  <c r="J67" i="7"/>
  <c r="S19" i="2"/>
  <c r="Z3" i="2"/>
  <c r="R19" i="2"/>
  <c r="AA3" i="2"/>
  <c r="Q19" i="2"/>
  <c r="Y3" i="2"/>
  <c r="AD8" i="6"/>
  <c r="J31" i="7"/>
  <c r="J66" i="7"/>
  <c r="Q28" i="2"/>
  <c r="Y24" i="2"/>
  <c r="Z24" i="2"/>
  <c r="S28" i="2"/>
  <c r="AA24" i="2"/>
  <c r="R28" i="2"/>
  <c r="Z5" i="2"/>
  <c r="AA5" i="2"/>
  <c r="Q26" i="2"/>
  <c r="Y5" i="2"/>
  <c r="S26" i="2"/>
  <c r="R26" i="2"/>
  <c r="J25" i="7"/>
  <c r="AC8" i="6"/>
  <c r="J59" i="7"/>
  <c r="J54" i="7"/>
  <c r="J20" i="7"/>
  <c r="AF8" i="6"/>
  <c r="J8" i="6"/>
  <c r="J55" i="7"/>
  <c r="J21" i="7"/>
  <c r="Y10" i="2"/>
  <c r="Z10" i="2"/>
  <c r="AA10" i="2"/>
  <c r="S4" i="2"/>
  <c r="Q4" i="2"/>
  <c r="R4" i="2"/>
  <c r="R23" i="2"/>
  <c r="Q23" i="2"/>
  <c r="Z6" i="2"/>
  <c r="Y6" i="2"/>
  <c r="AA6" i="2"/>
  <c r="S23" i="2"/>
  <c r="Z2" i="2"/>
  <c r="R14" i="2"/>
  <c r="AA2" i="2"/>
  <c r="Y2" i="2"/>
  <c r="S14" i="2"/>
  <c r="Q14" i="2"/>
  <c r="S21" i="2"/>
  <c r="Q21" i="2"/>
  <c r="AA9" i="2"/>
  <c r="R21" i="2"/>
  <c r="Y9" i="2"/>
  <c r="Z9" i="2"/>
  <c r="Z27" i="2"/>
  <c r="Q29" i="2"/>
  <c r="AA27" i="2"/>
  <c r="Y27" i="2"/>
  <c r="R29" i="2"/>
  <c r="S29" i="2"/>
  <c r="Y15" i="2"/>
  <c r="R11" i="2"/>
  <c r="Q11" i="2"/>
  <c r="AA15" i="2"/>
  <c r="Z15" i="2"/>
  <c r="S11" i="2"/>
  <c r="AA33" i="2"/>
  <c r="Q22" i="2"/>
  <c r="Y33" i="2"/>
  <c r="S22" i="2"/>
  <c r="R22" i="2"/>
  <c r="Z33" i="2"/>
  <c r="AD10" i="1"/>
  <c r="BD22" i="1"/>
  <c r="Q30" i="2"/>
  <c r="R30" i="2"/>
  <c r="AA8" i="2"/>
  <c r="Z8" i="2"/>
  <c r="S30" i="2"/>
  <c r="Y8" i="2"/>
  <c r="AA18" i="2"/>
  <c r="Q32" i="2"/>
  <c r="Z18" i="2"/>
  <c r="Y18" i="2"/>
  <c r="S32" i="2"/>
  <c r="R32" i="2"/>
  <c r="AD17" i="1"/>
  <c r="BM6" i="1"/>
  <c r="BM7" i="1"/>
  <c r="Y16" i="2"/>
  <c r="Z16" i="2"/>
  <c r="S12" i="2"/>
  <c r="R12" i="2"/>
  <c r="AA16" i="2"/>
  <c r="Q12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6" i="7"/>
  <c r="DZ66" i="7"/>
  <c r="BM66" i="7"/>
  <c r="GI66" i="7"/>
  <c r="DF66" i="7"/>
  <c r="AB66" i="7"/>
  <c r="EW66" i="7"/>
  <c r="CJ66" i="7"/>
  <c r="U66" i="7"/>
  <c r="FJ66" i="7"/>
  <c r="GQ66" i="7"/>
  <c r="AM66" i="7"/>
  <c r="FX66" i="7"/>
  <c r="DJ66" i="7"/>
  <c r="AW66" i="7"/>
  <c r="FS66" i="7"/>
  <c r="CP66" i="7"/>
  <c r="GT66" i="7"/>
  <c r="EG66" i="7"/>
  <c r="BT66" i="7"/>
  <c r="FW66" i="7"/>
  <c r="DK66" i="7"/>
  <c r="ET66" i="7"/>
  <c r="AL66" i="7"/>
  <c r="FH66" i="7"/>
  <c r="CT66" i="7"/>
  <c r="AG66" i="7"/>
  <c r="FC66" i="7"/>
  <c r="BZ66" i="7"/>
  <c r="GD66" i="7"/>
  <c r="DQ66" i="7"/>
  <c r="BD66" i="7"/>
  <c r="DU66" i="7"/>
  <c r="BI66" i="7"/>
  <c r="CU66" i="7"/>
  <c r="AC66" i="7"/>
  <c r="ER66" i="7"/>
  <c r="CD66" i="7"/>
  <c r="Q66" i="7"/>
  <c r="EM66" i="7"/>
  <c r="BJ66" i="7"/>
  <c r="FN66" i="7"/>
  <c r="DA66" i="7"/>
  <c r="AN66" i="7"/>
  <c r="BW66" i="7"/>
  <c r="FG66" i="7"/>
  <c r="AS66" i="7"/>
  <c r="AA66" i="7"/>
  <c r="EB66" i="7"/>
  <c r="BN66" i="7"/>
  <c r="GJ66" i="7"/>
  <c r="DW66" i="7"/>
  <c r="AT66" i="7"/>
  <c r="EX66" i="7"/>
  <c r="CK66" i="7"/>
  <c r="X66" i="7"/>
  <c r="W66" i="7"/>
  <c r="DE66" i="7"/>
  <c r="GP66" i="7"/>
  <c r="GM66" i="7"/>
  <c r="DL66" i="7"/>
  <c r="AX66" i="7"/>
  <c r="FT66" i="7"/>
  <c r="DG66" i="7"/>
  <c r="AD66" i="7"/>
  <c r="EH66" i="7"/>
  <c r="BU66" i="7"/>
  <c r="GO66" i="7"/>
  <c r="FQ66" i="7"/>
  <c r="BG66" i="7"/>
  <c r="EQ66" i="7"/>
  <c r="GG66" i="7"/>
  <c r="CV66" i="7"/>
  <c r="AH66" i="7"/>
  <c r="FD66" i="7"/>
  <c r="CQ66" i="7"/>
  <c r="GF66" i="7"/>
  <c r="DR66" i="7"/>
  <c r="BE66" i="7"/>
  <c r="FY66" i="7"/>
  <c r="DS66" i="7"/>
  <c r="FA66" i="7"/>
  <c r="CO66" i="7"/>
  <c r="GA66" i="7"/>
  <c r="CF66" i="7"/>
  <c r="R66" i="7"/>
  <c r="EN66" i="7"/>
  <c r="CA66" i="7"/>
  <c r="FP66" i="7"/>
  <c r="DB66" i="7"/>
  <c r="AO66" i="7"/>
  <c r="FI66" i="7"/>
  <c r="BS66" i="7"/>
  <c r="DC66" i="7"/>
  <c r="AQ66" i="7"/>
  <c r="FZ66" i="7"/>
  <c r="BP66" i="7"/>
  <c r="GK66" i="7"/>
  <c r="DX66" i="7"/>
  <c r="BK66" i="7"/>
  <c r="EZ66" i="7"/>
  <c r="CL66" i="7"/>
  <c r="Y66" i="7"/>
  <c r="ES66" i="7"/>
  <c r="V66" i="7"/>
  <c r="BC66" i="7"/>
  <c r="GE66" i="7"/>
  <c r="EI66" i="7"/>
  <c r="AZ66" i="7"/>
  <c r="FU66" i="7"/>
  <c r="DH66" i="7"/>
  <c r="AU66" i="7"/>
  <c r="EJ66" i="7"/>
  <c r="BV66" i="7"/>
  <c r="GR66" i="7"/>
  <c r="EC66" i="7"/>
  <c r="FO66" i="7"/>
  <c r="EY66" i="7"/>
  <c r="EE66" i="7"/>
  <c r="ED66" i="7"/>
  <c r="AJ66" i="7"/>
  <c r="FE66" i="7"/>
  <c r="CR66" i="7"/>
  <c r="AE66" i="7"/>
  <c r="DT66" i="7"/>
  <c r="BF66" i="7"/>
  <c r="GB66" i="7"/>
  <c r="DM66" i="7"/>
  <c r="DO66" i="7"/>
  <c r="CY66" i="7"/>
  <c r="CH66" i="7"/>
  <c r="EK66" i="7"/>
  <c r="T66" i="7"/>
  <c r="EO66" i="7"/>
  <c r="CB66" i="7"/>
  <c r="GH66" i="7"/>
  <c r="DD66" i="7"/>
  <c r="AP66" i="7"/>
  <c r="FL66" i="7"/>
  <c r="CW66" i="7"/>
  <c r="BR66" i="7"/>
  <c r="BB66" i="7"/>
  <c r="AI66" i="7"/>
  <c r="EA66" i="7"/>
  <c r="GL66" i="7"/>
  <c r="DY66" i="7"/>
  <c r="BL66" i="7"/>
  <c r="FR66" i="7"/>
  <c r="CN66" i="7"/>
  <c r="Z66" i="7"/>
  <c r="EV66" i="7"/>
  <c r="CG66" i="7"/>
  <c r="S66" i="7"/>
  <c r="GU66" i="7"/>
  <c r="CM66" i="7"/>
  <c r="FV66" i="7"/>
  <c r="DI66" i="7"/>
  <c r="AV66" i="7"/>
  <c r="FB66" i="7"/>
  <c r="BX66" i="7"/>
  <c r="GS66" i="7"/>
  <c r="EF66" i="7"/>
  <c r="BQ66" i="7"/>
  <c r="FK66" i="7"/>
  <c r="EU66" i="7"/>
  <c r="CI66" i="7"/>
  <c r="FF66" i="7"/>
  <c r="CS66" i="7"/>
  <c r="AF66" i="7"/>
  <c r="EL66" i="7"/>
  <c r="BH66" i="7"/>
  <c r="GC66" i="7"/>
  <c r="DP66" i="7"/>
  <c r="BA66" i="7"/>
  <c r="DN66" i="7"/>
  <c r="CX66" i="7"/>
  <c r="CE66" i="7"/>
  <c r="CC66" i="7"/>
  <c r="P66" i="7"/>
  <c r="DV66" i="7"/>
  <c r="AR66" i="7"/>
  <c r="FM66" i="7"/>
  <c r="CZ66" i="7"/>
  <c r="AK66" i="7"/>
  <c r="BO66" i="7"/>
  <c r="AY66" i="7"/>
  <c r="BY66" i="7"/>
  <c r="O66" i="7"/>
  <c r="N66" i="7"/>
  <c r="EP66" i="7"/>
  <c r="M66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39" i="7"/>
  <c r="H2" i="7"/>
  <c r="I2" i="7"/>
  <c r="J39" i="7"/>
  <c r="I39" i="7"/>
  <c r="L39" i="7"/>
  <c r="M39" i="7"/>
  <c r="K39" i="7"/>
  <c r="J2" i="7"/>
  <c r="L2" i="7"/>
  <c r="K2" i="7"/>
  <c r="M2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2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2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2" i="7"/>
  <c r="ER32" i="7"/>
  <c r="BA32" i="7"/>
  <c r="ES32" i="7"/>
  <c r="BB32" i="7"/>
  <c r="ET32" i="7"/>
  <c r="BC32" i="7"/>
  <c r="EU32" i="7"/>
  <c r="BD32" i="7"/>
  <c r="EV32" i="7"/>
  <c r="BE32" i="7"/>
  <c r="EW32" i="7"/>
  <c r="BF32" i="7"/>
  <c r="EX32" i="7"/>
  <c r="BG32" i="7"/>
  <c r="EY32" i="7"/>
  <c r="BH32" i="7"/>
  <c r="EZ32" i="7"/>
  <c r="BI32" i="7"/>
  <c r="FA32" i="7"/>
  <c r="BJ32" i="7"/>
  <c r="FB32" i="7"/>
  <c r="BK32" i="7"/>
  <c r="FC32" i="7"/>
  <c r="BL32" i="7"/>
  <c r="FD32" i="7"/>
  <c r="BM32" i="7"/>
  <c r="FE32" i="7"/>
  <c r="BN32" i="7"/>
  <c r="FF32" i="7"/>
  <c r="BO32" i="7"/>
  <c r="FG32" i="7"/>
  <c r="BP32" i="7"/>
  <c r="FH32" i="7"/>
  <c r="BQ32" i="7"/>
  <c r="FI32" i="7"/>
  <c r="BR32" i="7"/>
  <c r="FJ32" i="7"/>
  <c r="BS32" i="7"/>
  <c r="FK32" i="7"/>
  <c r="BT32" i="7"/>
  <c r="FL32" i="7"/>
  <c r="BU32" i="7"/>
  <c r="FM32" i="7"/>
  <c r="BV32" i="7"/>
  <c r="FN32" i="7"/>
  <c r="BW32" i="7"/>
  <c r="FO32" i="7"/>
  <c r="BX32" i="7"/>
  <c r="FP32" i="7"/>
  <c r="BY32" i="7"/>
  <c r="FQ32" i="7"/>
  <c r="BZ32" i="7"/>
  <c r="FR32" i="7"/>
  <c r="CA32" i="7"/>
  <c r="FS32" i="7"/>
  <c r="CB32" i="7"/>
  <c r="FT32" i="7"/>
  <c r="CC32" i="7"/>
  <c r="FU32" i="7"/>
  <c r="CD32" i="7"/>
  <c r="FV32" i="7"/>
  <c r="CE32" i="7"/>
  <c r="FW32" i="7"/>
  <c r="CF32" i="7"/>
  <c r="FX32" i="7"/>
  <c r="CG32" i="7"/>
  <c r="FY32" i="7"/>
  <c r="CH32" i="7"/>
  <c r="FZ32" i="7"/>
  <c r="CI32" i="7"/>
  <c r="GA32" i="7"/>
  <c r="CJ32" i="7"/>
  <c r="GB32" i="7"/>
  <c r="CK32" i="7"/>
  <c r="GC32" i="7"/>
  <c r="CL32" i="7"/>
  <c r="GD32" i="7"/>
  <c r="CM32" i="7"/>
  <c r="GE32" i="7"/>
  <c r="CN32" i="7"/>
  <c r="GF32" i="7"/>
  <c r="CO32" i="7"/>
  <c r="GG32" i="7"/>
  <c r="CP32" i="7"/>
  <c r="GH32" i="7"/>
  <c r="CQ32" i="7"/>
  <c r="GI32" i="7"/>
  <c r="CR32" i="7"/>
  <c r="GJ32" i="7"/>
  <c r="CS32" i="7"/>
  <c r="GK32" i="7"/>
  <c r="CT32" i="7"/>
  <c r="GL32" i="7"/>
  <c r="CU32" i="7"/>
  <c r="GM32" i="7"/>
  <c r="CV32" i="7"/>
  <c r="GN32" i="7"/>
  <c r="CW32" i="7"/>
  <c r="GO32" i="7"/>
  <c r="CX32" i="7"/>
  <c r="GP32" i="7"/>
  <c r="CY32" i="7"/>
  <c r="GQ32" i="7"/>
  <c r="CZ32" i="7"/>
  <c r="GR32" i="7"/>
  <c r="DA32" i="7"/>
  <c r="GS32" i="7"/>
  <c r="DB32" i="7"/>
  <c r="GT32" i="7"/>
  <c r="DC32" i="7"/>
  <c r="GU32" i="7"/>
  <c r="DD32" i="7"/>
  <c r="M32" i="7"/>
  <c r="DE32" i="7"/>
  <c r="N32" i="7"/>
  <c r="DF32" i="7"/>
  <c r="O32" i="7"/>
  <c r="DG32" i="7"/>
  <c r="P32" i="7"/>
  <c r="DH32" i="7"/>
  <c r="Q32" i="7"/>
  <c r="DI32" i="7"/>
  <c r="R32" i="7"/>
  <c r="DJ32" i="7"/>
  <c r="S32" i="7"/>
  <c r="DK32" i="7"/>
  <c r="T32" i="7"/>
  <c r="DL32" i="7"/>
  <c r="U32" i="7"/>
  <c r="DM32" i="7"/>
  <c r="V32" i="7"/>
  <c r="DN32" i="7"/>
  <c r="W32" i="7"/>
  <c r="DO32" i="7"/>
  <c r="X32" i="7"/>
  <c r="DP32" i="7"/>
  <c r="Y32" i="7"/>
  <c r="DQ32" i="7"/>
  <c r="Z32" i="7"/>
  <c r="DR32" i="7"/>
  <c r="AA32" i="7"/>
  <c r="DS32" i="7"/>
  <c r="AB32" i="7"/>
  <c r="DT32" i="7"/>
  <c r="AC32" i="7"/>
  <c r="DU32" i="7"/>
  <c r="AD32" i="7"/>
  <c r="DV32" i="7"/>
  <c r="AE32" i="7"/>
  <c r="DW32" i="7"/>
  <c r="AF32" i="7"/>
  <c r="DX32" i="7"/>
  <c r="AG32" i="7"/>
  <c r="DY32" i="7"/>
  <c r="AH32" i="7"/>
  <c r="DZ32" i="7"/>
  <c r="AI32" i="7"/>
  <c r="EA32" i="7"/>
  <c r="AJ32" i="7"/>
  <c r="EB32" i="7"/>
  <c r="AK32" i="7"/>
  <c r="EC32" i="7"/>
  <c r="AL32" i="7"/>
  <c r="ED32" i="7"/>
  <c r="AM32" i="7"/>
  <c r="EE32" i="7"/>
  <c r="AN32" i="7"/>
  <c r="EF32" i="7"/>
  <c r="AO32" i="7"/>
  <c r="EG32" i="7"/>
  <c r="AP32" i="7"/>
  <c r="EH32" i="7"/>
  <c r="AQ32" i="7"/>
  <c r="EI32" i="7"/>
  <c r="AR32" i="7"/>
  <c r="EJ32" i="7"/>
  <c r="AS32" i="7"/>
  <c r="EK32" i="7"/>
  <c r="AT32" i="7"/>
  <c r="EL32" i="7"/>
  <c r="AU32" i="7"/>
  <c r="EM32" i="7"/>
  <c r="AV32" i="7"/>
  <c r="EN32" i="7"/>
  <c r="AW32" i="7"/>
  <c r="EO32" i="7"/>
  <c r="AX32" i="7"/>
  <c r="EP32" i="7"/>
  <c r="AY32" i="7"/>
  <c r="EQ32" i="7"/>
  <c r="M68" i="7"/>
  <c r="K27" i="7"/>
  <c r="J68" i="7"/>
  <c r="N68" i="7"/>
  <c r="L68" i="7"/>
  <c r="K68" i="7"/>
  <c r="J27" i="7"/>
  <c r="L27" i="7"/>
  <c r="N27" i="7"/>
  <c r="M27" i="7"/>
  <c r="I49" i="7"/>
  <c r="H49" i="7"/>
  <c r="I13" i="7"/>
  <c r="H13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4" i="7"/>
  <c r="CJ44" i="7"/>
  <c r="W44" i="7"/>
  <c r="ES44" i="7"/>
  <c r="CF44" i="7"/>
  <c r="S44" i="7"/>
  <c r="EO44" i="7"/>
  <c r="CB44" i="7"/>
  <c r="O44" i="7"/>
  <c r="EK44" i="7"/>
  <c r="BX44" i="7"/>
  <c r="BW44" i="7"/>
  <c r="DQ44" i="7"/>
  <c r="BT44" i="7"/>
  <c r="GP44" i="7"/>
  <c r="EC44" i="7"/>
  <c r="BP44" i="7"/>
  <c r="GL44" i="7"/>
  <c r="DY44" i="7"/>
  <c r="BL44" i="7"/>
  <c r="GH44" i="7"/>
  <c r="DU44" i="7"/>
  <c r="BH44" i="7"/>
  <c r="BG44" i="7"/>
  <c r="DA44" i="7"/>
  <c r="BD44" i="7"/>
  <c r="FZ44" i="7"/>
  <c r="DM44" i="7"/>
  <c r="AZ44" i="7"/>
  <c r="FV44" i="7"/>
  <c r="DI44" i="7"/>
  <c r="AV44" i="7"/>
  <c r="FR44" i="7"/>
  <c r="DE44" i="7"/>
  <c r="AR44" i="7"/>
  <c r="AQ44" i="7"/>
  <c r="CK44" i="7"/>
  <c r="AN44" i="7"/>
  <c r="FJ44" i="7"/>
  <c r="CW44" i="7"/>
  <c r="AJ44" i="7"/>
  <c r="FF44" i="7"/>
  <c r="CS44" i="7"/>
  <c r="AF44" i="7"/>
  <c r="FB44" i="7"/>
  <c r="CO44" i="7"/>
  <c r="AB44" i="7"/>
  <c r="AA44" i="7"/>
  <c r="BU44" i="7"/>
  <c r="X44" i="7"/>
  <c r="ET44" i="7"/>
  <c r="CG44" i="7"/>
  <c r="T44" i="7"/>
  <c r="EP44" i="7"/>
  <c r="CC44" i="7"/>
  <c r="P44" i="7"/>
  <c r="EL44" i="7"/>
  <c r="BY44" i="7"/>
  <c r="L44" i="7"/>
  <c r="K44" i="7"/>
  <c r="BE44" i="7"/>
  <c r="GQ44" i="7"/>
  <c r="ED44" i="7"/>
  <c r="BQ44" i="7"/>
  <c r="GM44" i="7"/>
  <c r="DZ44" i="7"/>
  <c r="BM44" i="7"/>
  <c r="GI44" i="7"/>
  <c r="DV44" i="7"/>
  <c r="BI44" i="7"/>
  <c r="GD44" i="7"/>
  <c r="GT44" i="7"/>
  <c r="AO44" i="7"/>
  <c r="GA44" i="7"/>
  <c r="DN44" i="7"/>
  <c r="BA44" i="7"/>
  <c r="FW44" i="7"/>
  <c r="DJ44" i="7"/>
  <c r="AW44" i="7"/>
  <c r="FS44" i="7"/>
  <c r="DF44" i="7"/>
  <c r="AS44" i="7"/>
  <c r="EX44" i="7"/>
  <c r="FN44" i="7"/>
  <c r="Y44" i="7"/>
  <c r="FK44" i="7"/>
  <c r="CX44" i="7"/>
  <c r="AK44" i="7"/>
  <c r="FG44" i="7"/>
  <c r="CT44" i="7"/>
  <c r="AG44" i="7"/>
  <c r="FC44" i="7"/>
  <c r="CP44" i="7"/>
  <c r="AC44" i="7"/>
  <c r="DR44" i="7"/>
  <c r="EH44" i="7"/>
  <c r="I44" i="7"/>
  <c r="EU44" i="7"/>
  <c r="CH44" i="7"/>
  <c r="U44" i="7"/>
  <c r="EQ44" i="7"/>
  <c r="CD44" i="7"/>
  <c r="Q44" i="7"/>
  <c r="EM44" i="7"/>
  <c r="BZ44" i="7"/>
  <c r="M44" i="7"/>
  <c r="GU44" i="7"/>
  <c r="DB44" i="7"/>
  <c r="GR44" i="7"/>
  <c r="EE44" i="7"/>
  <c r="BR44" i="7"/>
  <c r="GN44" i="7"/>
  <c r="EA44" i="7"/>
  <c r="BN44" i="7"/>
  <c r="GJ44" i="7"/>
  <c r="DW44" i="7"/>
  <c r="BJ44" i="7"/>
  <c r="GF44" i="7"/>
  <c r="GE44" i="7"/>
  <c r="CL44" i="7"/>
  <c r="GB44" i="7"/>
  <c r="DO44" i="7"/>
  <c r="BB44" i="7"/>
  <c r="FX44" i="7"/>
  <c r="DK44" i="7"/>
  <c r="AX44" i="7"/>
  <c r="FT44" i="7"/>
  <c r="DG44" i="7"/>
  <c r="AT44" i="7"/>
  <c r="FP44" i="7"/>
  <c r="FO44" i="7"/>
  <c r="BV44" i="7"/>
  <c r="FL44" i="7"/>
  <c r="CY44" i="7"/>
  <c r="AL44" i="7"/>
  <c r="FH44" i="7"/>
  <c r="CU44" i="7"/>
  <c r="AH44" i="7"/>
  <c r="FD44" i="7"/>
  <c r="CQ44" i="7"/>
  <c r="AD44" i="7"/>
  <c r="EZ44" i="7"/>
  <c r="EY44" i="7"/>
  <c r="BF44" i="7"/>
  <c r="GS44" i="7"/>
  <c r="EV44" i="7"/>
  <c r="CI44" i="7"/>
  <c r="V44" i="7"/>
  <c r="ER44" i="7"/>
  <c r="CE44" i="7"/>
  <c r="R44" i="7"/>
  <c r="EN44" i="7"/>
  <c r="CA44" i="7"/>
  <c r="N44" i="7"/>
  <c r="EJ44" i="7"/>
  <c r="EI44" i="7"/>
  <c r="AP44" i="7"/>
  <c r="GC44" i="7"/>
  <c r="EF44" i="7"/>
  <c r="BS44" i="7"/>
  <c r="GO44" i="7"/>
  <c r="EB44" i="7"/>
  <c r="BO44" i="7"/>
  <c r="GK44" i="7"/>
  <c r="DX44" i="7"/>
  <c r="BK44" i="7"/>
  <c r="GG44" i="7"/>
  <c r="DT44" i="7"/>
  <c r="DS44" i="7"/>
  <c r="Z44" i="7"/>
  <c r="FM44" i="7"/>
  <c r="DP44" i="7"/>
  <c r="BC44" i="7"/>
  <c r="FY44" i="7"/>
  <c r="DL44" i="7"/>
  <c r="AY44" i="7"/>
  <c r="FU44" i="7"/>
  <c r="DH44" i="7"/>
  <c r="AU44" i="7"/>
  <c r="FQ44" i="7"/>
  <c r="DD44" i="7"/>
  <c r="DC44" i="7"/>
  <c r="J44" i="7"/>
  <c r="CZ44" i="7"/>
  <c r="AM44" i="7"/>
  <c r="FI44" i="7"/>
  <c r="CV44" i="7"/>
  <c r="AI44" i="7"/>
  <c r="FE44" i="7"/>
  <c r="CR44" i="7"/>
  <c r="AE44" i="7"/>
  <c r="FA44" i="7"/>
  <c r="CN44" i="7"/>
  <c r="CM44" i="7"/>
  <c r="EW44" i="7"/>
  <c r="BK3" i="7"/>
  <c r="FC3" i="7"/>
  <c r="O3" i="7"/>
  <c r="DG3" i="7"/>
  <c r="AS3" i="7"/>
  <c r="EW3" i="7"/>
  <c r="BF3" i="7"/>
  <c r="EX3" i="7"/>
  <c r="BA3" i="7"/>
  <c r="ES3" i="7"/>
  <c r="AX3" i="7"/>
  <c r="EP3" i="7"/>
  <c r="DP3" i="7"/>
  <c r="R3" i="7"/>
  <c r="DE3" i="7"/>
  <c r="ET3" i="7"/>
  <c r="AY3" i="7"/>
  <c r="FI3" i="7"/>
  <c r="BL3" i="7"/>
  <c r="FD3" i="7"/>
  <c r="BG3" i="7"/>
  <c r="EY3" i="7"/>
  <c r="BD3" i="7"/>
  <c r="EV3" i="7"/>
  <c r="EH3" i="7"/>
  <c r="AJ3" i="7"/>
  <c r="DW3" i="7"/>
  <c r="AQ3" i="7"/>
  <c r="BE3" i="7"/>
  <c r="FO3" i="7"/>
  <c r="BR3" i="7"/>
  <c r="FJ3" i="7"/>
  <c r="BM3" i="7"/>
  <c r="FE3" i="7"/>
  <c r="BJ3" i="7"/>
  <c r="FB3" i="7"/>
  <c r="EZ3" i="7"/>
  <c r="BB3" i="7"/>
  <c r="EO3" i="7"/>
  <c r="CS3" i="7"/>
  <c r="BQ3" i="7"/>
  <c r="FU3" i="7"/>
  <c r="BX3" i="7"/>
  <c r="FP3" i="7"/>
  <c r="BS3" i="7"/>
  <c r="FK3" i="7"/>
  <c r="BP3" i="7"/>
  <c r="FH3" i="7"/>
  <c r="FR3" i="7"/>
  <c r="BT3" i="7"/>
  <c r="FG3" i="7"/>
  <c r="EU3" i="7"/>
  <c r="BW3" i="7"/>
  <c r="GA3" i="7"/>
  <c r="CD3" i="7"/>
  <c r="FV3" i="7"/>
  <c r="BY3" i="7"/>
  <c r="FQ3" i="7"/>
  <c r="BV3" i="7"/>
  <c r="FN3" i="7"/>
  <c r="GJ3" i="7"/>
  <c r="CL3" i="7"/>
  <c r="FY3" i="7"/>
  <c r="BH3" i="7"/>
  <c r="CC3" i="7"/>
  <c r="GG3" i="7"/>
  <c r="CJ3" i="7"/>
  <c r="GB3" i="7"/>
  <c r="CE3" i="7"/>
  <c r="FW3" i="7"/>
  <c r="CB3" i="7"/>
  <c r="FT3" i="7"/>
  <c r="M3" i="7"/>
  <c r="DD3" i="7"/>
  <c r="GQ3" i="7"/>
  <c r="DJ3" i="7"/>
  <c r="CI3" i="7"/>
  <c r="GM3" i="7"/>
  <c r="CP3" i="7"/>
  <c r="GH3" i="7"/>
  <c r="CK3" i="7"/>
  <c r="GC3" i="7"/>
  <c r="CH3" i="7"/>
  <c r="FZ3" i="7"/>
  <c r="AE3" i="7"/>
  <c r="DV3" i="7"/>
  <c r="X3" i="7"/>
  <c r="FL3" i="7"/>
  <c r="CO3" i="7"/>
  <c r="GS3" i="7"/>
  <c r="CV3" i="7"/>
  <c r="GN3" i="7"/>
  <c r="CQ3" i="7"/>
  <c r="GI3" i="7"/>
  <c r="CN3" i="7"/>
  <c r="GF3" i="7"/>
  <c r="AW3" i="7"/>
  <c r="EN3" i="7"/>
  <c r="BZ3" i="7"/>
  <c r="BI3" i="7"/>
  <c r="CU3" i="7"/>
  <c r="J3" i="7"/>
  <c r="DB3" i="7"/>
  <c r="GT3" i="7"/>
  <c r="CW3" i="7"/>
  <c r="GO3" i="7"/>
  <c r="CT3" i="7"/>
  <c r="GL3" i="7"/>
  <c r="BO3" i="7"/>
  <c r="FF3" i="7"/>
  <c r="EB3" i="7"/>
  <c r="DK3" i="7"/>
  <c r="DA3" i="7"/>
  <c r="P3" i="7"/>
  <c r="DH3" i="7"/>
  <c r="K3" i="7"/>
  <c r="DC3" i="7"/>
  <c r="GU3" i="7"/>
  <c r="CZ3" i="7"/>
  <c r="GR3" i="7"/>
  <c r="CG3" i="7"/>
  <c r="FX3" i="7"/>
  <c r="GD3" i="7"/>
  <c r="FM3" i="7"/>
  <c r="DM3" i="7"/>
  <c r="V3" i="7"/>
  <c r="DN3" i="7"/>
  <c r="Q3" i="7"/>
  <c r="DI3" i="7"/>
  <c r="N3" i="7"/>
  <c r="DF3" i="7"/>
  <c r="L3" i="7"/>
  <c r="CY3" i="7"/>
  <c r="GP3" i="7"/>
  <c r="Y3" i="7"/>
  <c r="I3" i="7"/>
  <c r="DS3" i="7"/>
  <c r="AB3" i="7"/>
  <c r="DT3" i="7"/>
  <c r="W3" i="7"/>
  <c r="DO3" i="7"/>
  <c r="T3" i="7"/>
  <c r="DL3" i="7"/>
  <c r="AD3" i="7"/>
  <c r="DQ3" i="7"/>
  <c r="S3" i="7"/>
  <c r="CA3" i="7"/>
  <c r="U3" i="7"/>
  <c r="DY3" i="7"/>
  <c r="AH3" i="7"/>
  <c r="DZ3" i="7"/>
  <c r="AC3" i="7"/>
  <c r="DU3" i="7"/>
  <c r="Z3" i="7"/>
  <c r="DR3" i="7"/>
  <c r="AV3" i="7"/>
  <c r="EI3" i="7"/>
  <c r="AK3" i="7"/>
  <c r="EC3" i="7"/>
  <c r="AA3" i="7"/>
  <c r="EE3" i="7"/>
  <c r="AN3" i="7"/>
  <c r="EF3" i="7"/>
  <c r="AI3" i="7"/>
  <c r="EA3" i="7"/>
  <c r="AF3" i="7"/>
  <c r="DX3" i="7"/>
  <c r="BN3" i="7"/>
  <c r="FA3" i="7"/>
  <c r="BC3" i="7"/>
  <c r="GE3" i="7"/>
  <c r="AG3" i="7"/>
  <c r="EK3" i="7"/>
  <c r="AT3" i="7"/>
  <c r="EL3" i="7"/>
  <c r="AO3" i="7"/>
  <c r="EG3" i="7"/>
  <c r="AL3" i="7"/>
  <c r="ED3" i="7"/>
  <c r="CF3" i="7"/>
  <c r="FS3" i="7"/>
  <c r="BU3" i="7"/>
  <c r="AP3" i="7"/>
  <c r="AM3" i="7"/>
  <c r="EQ3" i="7"/>
  <c r="AZ3" i="7"/>
  <c r="ER3" i="7"/>
  <c r="AU3" i="7"/>
  <c r="EM3" i="7"/>
  <c r="AR3" i="7"/>
  <c r="EJ3" i="7"/>
  <c r="CX3" i="7"/>
  <c r="GK3" i="7"/>
  <c r="CM3" i="7"/>
  <c r="CR3" i="7"/>
  <c r="FN60" i="7"/>
  <c r="DA60" i="7"/>
  <c r="AN60" i="7"/>
  <c r="FJ60" i="7"/>
  <c r="CW60" i="7"/>
  <c r="AJ60" i="7"/>
  <c r="FF60" i="7"/>
  <c r="CS60" i="7"/>
  <c r="AF60" i="7"/>
  <c r="BH60" i="7"/>
  <c r="FC60" i="7"/>
  <c r="BZ60" i="7"/>
  <c r="EX60" i="7"/>
  <c r="CK60" i="7"/>
  <c r="X60" i="7"/>
  <c r="ET60" i="7"/>
  <c r="CG60" i="7"/>
  <c r="T60" i="7"/>
  <c r="EP60" i="7"/>
  <c r="CC60" i="7"/>
  <c r="P60" i="7"/>
  <c r="GE60" i="7"/>
  <c r="CQ60" i="7"/>
  <c r="N60" i="7"/>
  <c r="EH60" i="7"/>
  <c r="BU60" i="7"/>
  <c r="GQ60" i="7"/>
  <c r="ED60" i="7"/>
  <c r="BQ60" i="7"/>
  <c r="GM60" i="7"/>
  <c r="DZ60" i="7"/>
  <c r="BM60" i="7"/>
  <c r="GG60" i="7"/>
  <c r="DS60" i="7"/>
  <c r="AE60" i="7"/>
  <c r="BX60" i="7"/>
  <c r="DR60" i="7"/>
  <c r="BE60" i="7"/>
  <c r="GA60" i="7"/>
  <c r="DN60" i="7"/>
  <c r="BA60" i="7"/>
  <c r="FW60" i="7"/>
  <c r="DJ60" i="7"/>
  <c r="AW60" i="7"/>
  <c r="FQ60" i="7"/>
  <c r="BG60" i="7"/>
  <c r="FB60" i="7"/>
  <c r="BW60" i="7"/>
  <c r="DB60" i="7"/>
  <c r="AO60" i="7"/>
  <c r="FK60" i="7"/>
  <c r="CX60" i="7"/>
  <c r="AK60" i="7"/>
  <c r="FG60" i="7"/>
  <c r="CT60" i="7"/>
  <c r="AG60" i="7"/>
  <c r="FA60" i="7"/>
  <c r="FS60" i="7"/>
  <c r="CP60" i="7"/>
  <c r="BK60" i="7"/>
  <c r="CL60" i="7"/>
  <c r="Y60" i="7"/>
  <c r="EU60" i="7"/>
  <c r="CH60" i="7"/>
  <c r="U60" i="7"/>
  <c r="EQ60" i="7"/>
  <c r="CD60" i="7"/>
  <c r="Q60" i="7"/>
  <c r="EK60" i="7"/>
  <c r="DG60" i="7"/>
  <c r="AD60" i="7"/>
  <c r="BJ60" i="7"/>
  <c r="BV60" i="7"/>
  <c r="GR60" i="7"/>
  <c r="EE60" i="7"/>
  <c r="BR60" i="7"/>
  <c r="GN60" i="7"/>
  <c r="EA60" i="7"/>
  <c r="BN60" i="7"/>
  <c r="GJ60" i="7"/>
  <c r="DU60" i="7"/>
  <c r="AU60" i="7"/>
  <c r="EZ60" i="7"/>
  <c r="GU60" i="7"/>
  <c r="BF60" i="7"/>
  <c r="GB60" i="7"/>
  <c r="DO60" i="7"/>
  <c r="BB60" i="7"/>
  <c r="FX60" i="7"/>
  <c r="DK60" i="7"/>
  <c r="AX60" i="7"/>
  <c r="FT60" i="7"/>
  <c r="DE60" i="7"/>
  <c r="FR60" i="7"/>
  <c r="CN60" i="7"/>
  <c r="GI60" i="7"/>
  <c r="AP60" i="7"/>
  <c r="FL60" i="7"/>
  <c r="CY60" i="7"/>
  <c r="AL60" i="7"/>
  <c r="FH60" i="7"/>
  <c r="CU60" i="7"/>
  <c r="AH60" i="7"/>
  <c r="FD60" i="7"/>
  <c r="CO60" i="7"/>
  <c r="DF60" i="7"/>
  <c r="AB60" i="7"/>
  <c r="GH60" i="7"/>
  <c r="Z60" i="7"/>
  <c r="EV60" i="7"/>
  <c r="CI60" i="7"/>
  <c r="V60" i="7"/>
  <c r="ER60" i="7"/>
  <c r="CE60" i="7"/>
  <c r="R60" i="7"/>
  <c r="EN60" i="7"/>
  <c r="BY60" i="7"/>
  <c r="AT60" i="7"/>
  <c r="EY60" i="7"/>
  <c r="EI60" i="7"/>
  <c r="GS60" i="7"/>
  <c r="EF60" i="7"/>
  <c r="BS60" i="7"/>
  <c r="GO60" i="7"/>
  <c r="EB60" i="7"/>
  <c r="BO60" i="7"/>
  <c r="GK60" i="7"/>
  <c r="DX60" i="7"/>
  <c r="BI60" i="7"/>
  <c r="FP60" i="7"/>
  <c r="CM60" i="7"/>
  <c r="DW60" i="7"/>
  <c r="GC60" i="7"/>
  <c r="DP60" i="7"/>
  <c r="BC60" i="7"/>
  <c r="FY60" i="7"/>
  <c r="DL60" i="7"/>
  <c r="AY60" i="7"/>
  <c r="FU60" i="7"/>
  <c r="DH60" i="7"/>
  <c r="AS60" i="7"/>
  <c r="DD60" i="7"/>
  <c r="AA60" i="7"/>
  <c r="EJ60" i="7"/>
  <c r="FM60" i="7"/>
  <c r="CZ60" i="7"/>
  <c r="AM60" i="7"/>
  <c r="FI60" i="7"/>
  <c r="CV60" i="7"/>
  <c r="AI60" i="7"/>
  <c r="FE60" i="7"/>
  <c r="CR60" i="7"/>
  <c r="AC60" i="7"/>
  <c r="AR60" i="7"/>
  <c r="EM60" i="7"/>
  <c r="DV60" i="7"/>
  <c r="EW60" i="7"/>
  <c r="CJ60" i="7"/>
  <c r="W60" i="7"/>
  <c r="ES60" i="7"/>
  <c r="CF60" i="7"/>
  <c r="S60" i="7"/>
  <c r="EO60" i="7"/>
  <c r="CB60" i="7"/>
  <c r="FO60" i="7"/>
  <c r="CA60" i="7"/>
  <c r="GT60" i="7"/>
  <c r="EG60" i="7"/>
  <c r="BT60" i="7"/>
  <c r="GP60" i="7"/>
  <c r="EC60" i="7"/>
  <c r="BP60" i="7"/>
  <c r="GL60" i="7"/>
  <c r="DY60" i="7"/>
  <c r="BL60" i="7"/>
  <c r="GF60" i="7"/>
  <c r="DC60" i="7"/>
  <c r="O60" i="7"/>
  <c r="GD60" i="7"/>
  <c r="DQ60" i="7"/>
  <c r="BD60" i="7"/>
  <c r="FZ60" i="7"/>
  <c r="DM60" i="7"/>
  <c r="AZ60" i="7"/>
  <c r="FV60" i="7"/>
  <c r="DI60" i="7"/>
  <c r="AV60" i="7"/>
  <c r="DT60" i="7"/>
  <c r="AQ60" i="7"/>
  <c r="EL60" i="7"/>
  <c r="S19" i="7"/>
  <c r="Y19" i="7"/>
  <c r="T19" i="7"/>
  <c r="U19" i="7"/>
  <c r="P19" i="7"/>
  <c r="V19" i="7"/>
  <c r="Q19" i="7"/>
  <c r="W19" i="7"/>
  <c r="R19" i="7"/>
  <c r="X19" i="7"/>
  <c r="BU19" i="7"/>
  <c r="FM19" i="7"/>
  <c r="CH19" i="7"/>
  <c r="FZ19" i="7"/>
  <c r="CU19" i="7"/>
  <c r="GM19" i="7"/>
  <c r="DH19" i="7"/>
  <c r="AC19" i="7"/>
  <c r="DU19" i="7"/>
  <c r="AP19" i="7"/>
  <c r="EH19" i="7"/>
  <c r="CA19" i="7"/>
  <c r="FS19" i="7"/>
  <c r="CN19" i="7"/>
  <c r="GF19" i="7"/>
  <c r="DA19" i="7"/>
  <c r="GS19" i="7"/>
  <c r="DN19" i="7"/>
  <c r="AI19" i="7"/>
  <c r="EA19" i="7"/>
  <c r="AV19" i="7"/>
  <c r="EN19" i="7"/>
  <c r="CG19" i="7"/>
  <c r="FY19" i="7"/>
  <c r="CT19" i="7"/>
  <c r="GL19" i="7"/>
  <c r="DG19" i="7"/>
  <c r="AB19" i="7"/>
  <c r="DT19" i="7"/>
  <c r="AO19" i="7"/>
  <c r="EG19" i="7"/>
  <c r="BB19" i="7"/>
  <c r="ET19" i="7"/>
  <c r="CM19" i="7"/>
  <c r="GE19" i="7"/>
  <c r="CZ19" i="7"/>
  <c r="GR19" i="7"/>
  <c r="DM19" i="7"/>
  <c r="AH19" i="7"/>
  <c r="DZ19" i="7"/>
  <c r="AU19" i="7"/>
  <c r="EM19" i="7"/>
  <c r="BH19" i="7"/>
  <c r="EZ19" i="7"/>
  <c r="CS19" i="7"/>
  <c r="GK19" i="7"/>
  <c r="DF19" i="7"/>
  <c r="AA19" i="7"/>
  <c r="DS19" i="7"/>
  <c r="AN19" i="7"/>
  <c r="EF19" i="7"/>
  <c r="BA19" i="7"/>
  <c r="ES19" i="7"/>
  <c r="BN19" i="7"/>
  <c r="FF19" i="7"/>
  <c r="CY19" i="7"/>
  <c r="GQ19" i="7"/>
  <c r="DL19" i="7"/>
  <c r="AG19" i="7"/>
  <c r="DY19" i="7"/>
  <c r="AT19" i="7"/>
  <c r="EL19" i="7"/>
  <c r="BG19" i="7"/>
  <c r="EY19" i="7"/>
  <c r="BT19" i="7"/>
  <c r="FL19" i="7"/>
  <c r="DE19" i="7"/>
  <c r="Z19" i="7"/>
  <c r="DR19" i="7"/>
  <c r="AM19" i="7"/>
  <c r="EE19" i="7"/>
  <c r="AZ19" i="7"/>
  <c r="ER19" i="7"/>
  <c r="BM19" i="7"/>
  <c r="FE19" i="7"/>
  <c r="BZ19" i="7"/>
  <c r="FR19" i="7"/>
  <c r="DK19" i="7"/>
  <c r="AF19" i="7"/>
  <c r="DX19" i="7"/>
  <c r="AS19" i="7"/>
  <c r="EK19" i="7"/>
  <c r="BF19" i="7"/>
  <c r="EX19" i="7"/>
  <c r="BS19" i="7"/>
  <c r="FK19" i="7"/>
  <c r="CF19" i="7"/>
  <c r="FX19" i="7"/>
  <c r="DQ19" i="7"/>
  <c r="AL19" i="7"/>
  <c r="ED19" i="7"/>
  <c r="AY19" i="7"/>
  <c r="EQ19" i="7"/>
  <c r="BL19" i="7"/>
  <c r="FD19" i="7"/>
  <c r="BY19" i="7"/>
  <c r="FQ19" i="7"/>
  <c r="CL19" i="7"/>
  <c r="GD19" i="7"/>
  <c r="AE19" i="7"/>
  <c r="DW19" i="7"/>
  <c r="AR19" i="7"/>
  <c r="EJ19" i="7"/>
  <c r="BE19" i="7"/>
  <c r="EW19" i="7"/>
  <c r="BR19" i="7"/>
  <c r="FJ19" i="7"/>
  <c r="CE19" i="7"/>
  <c r="FW19" i="7"/>
  <c r="CR19" i="7"/>
  <c r="GJ19" i="7"/>
  <c r="O19" i="7"/>
  <c r="AK19" i="7"/>
  <c r="EC19" i="7"/>
  <c r="AX19" i="7"/>
  <c r="EP19" i="7"/>
  <c r="BK19" i="7"/>
  <c r="FC19" i="7"/>
  <c r="BX19" i="7"/>
  <c r="FP19" i="7"/>
  <c r="CK19" i="7"/>
  <c r="GC19" i="7"/>
  <c r="CX19" i="7"/>
  <c r="GP19" i="7"/>
  <c r="N19" i="7"/>
  <c r="AQ19" i="7"/>
  <c r="EI19" i="7"/>
  <c r="BD19" i="7"/>
  <c r="EV19" i="7"/>
  <c r="BQ19" i="7"/>
  <c r="FI19" i="7"/>
  <c r="CD19" i="7"/>
  <c r="FV19" i="7"/>
  <c r="CQ19" i="7"/>
  <c r="GI19" i="7"/>
  <c r="DD19" i="7"/>
  <c r="AW19" i="7"/>
  <c r="EO19" i="7"/>
  <c r="BJ19" i="7"/>
  <c r="FB19" i="7"/>
  <c r="BW19" i="7"/>
  <c r="FO19" i="7"/>
  <c r="CJ19" i="7"/>
  <c r="GB19" i="7"/>
  <c r="CW19" i="7"/>
  <c r="GO19" i="7"/>
  <c r="DJ19" i="7"/>
  <c r="BC19" i="7"/>
  <c r="EU19" i="7"/>
  <c r="BP19" i="7"/>
  <c r="FH19" i="7"/>
  <c r="CC19" i="7"/>
  <c r="FU19" i="7"/>
  <c r="CP19" i="7"/>
  <c r="GH19" i="7"/>
  <c r="DC19" i="7"/>
  <c r="GU19" i="7"/>
  <c r="DP19" i="7"/>
  <c r="BI19" i="7"/>
  <c r="FA19" i="7"/>
  <c r="BV19" i="7"/>
  <c r="FN19" i="7"/>
  <c r="CI19" i="7"/>
  <c r="GA19" i="7"/>
  <c r="CV19" i="7"/>
  <c r="GN19" i="7"/>
  <c r="DI19" i="7"/>
  <c r="AD19" i="7"/>
  <c r="DV19" i="7"/>
  <c r="BO19" i="7"/>
  <c r="FG19" i="7"/>
  <c r="CB19" i="7"/>
  <c r="FT19" i="7"/>
  <c r="CO19" i="7"/>
  <c r="GG19" i="7"/>
  <c r="DB19" i="7"/>
  <c r="GT19" i="7"/>
  <c r="DO19" i="7"/>
  <c r="AJ19" i="7"/>
  <c r="EB19" i="7"/>
  <c r="AD863" i="1"/>
  <c r="I64" i="7"/>
  <c r="I29" i="7"/>
  <c r="K29" i="7"/>
  <c r="N64" i="7"/>
  <c r="M64" i="7"/>
  <c r="L64" i="7"/>
  <c r="J64" i="7"/>
  <c r="K64" i="7"/>
  <c r="J29" i="7"/>
  <c r="L29" i="7"/>
  <c r="N29" i="7"/>
  <c r="M29" i="7"/>
  <c r="I38" i="7"/>
  <c r="I6" i="7"/>
  <c r="J38" i="7"/>
  <c r="K38" i="7"/>
  <c r="J6" i="7"/>
  <c r="K6" i="7"/>
  <c r="GI40" i="7"/>
  <c r="CC40" i="7"/>
  <c r="GU40" i="7"/>
  <c r="DV40" i="7"/>
  <c r="BI40" i="7"/>
  <c r="GQ40" i="7"/>
  <c r="DB40" i="7"/>
  <c r="Y40" i="7"/>
  <c r="DO40" i="7"/>
  <c r="AL40" i="7"/>
  <c r="EB40" i="7"/>
  <c r="ER40" i="7"/>
  <c r="FS40" i="7"/>
  <c r="BM40" i="7"/>
  <c r="GA40" i="7"/>
  <c r="DF40" i="7"/>
  <c r="AS40" i="7"/>
  <c r="FW40" i="7"/>
  <c r="CL40" i="7"/>
  <c r="GN40" i="7"/>
  <c r="CY40" i="7"/>
  <c r="V40" i="7"/>
  <c r="DL40" i="7"/>
  <c r="EA40" i="7"/>
  <c r="FC40" i="7"/>
  <c r="AW40" i="7"/>
  <c r="FG40" i="7"/>
  <c r="CP40" i="7"/>
  <c r="AC40" i="7"/>
  <c r="FA40" i="7"/>
  <c r="BV40" i="7"/>
  <c r="FQ40" i="7"/>
  <c r="CI40" i="7"/>
  <c r="GJ40" i="7"/>
  <c r="CV40" i="7"/>
  <c r="DK40" i="7"/>
  <c r="GH40" i="7"/>
  <c r="AG40" i="7"/>
  <c r="EN40" i="7"/>
  <c r="BZ40" i="7"/>
  <c r="EI40" i="7"/>
  <c r="BF40" i="7"/>
  <c r="EW40" i="7"/>
  <c r="BS40" i="7"/>
  <c r="FM40" i="7"/>
  <c r="CF40" i="7"/>
  <c r="CU40" i="7"/>
  <c r="FR40" i="7"/>
  <c r="Q40" i="7"/>
  <c r="DW40" i="7"/>
  <c r="BJ40" i="7"/>
  <c r="GR40" i="7"/>
  <c r="DS40" i="7"/>
  <c r="AP40" i="7"/>
  <c r="EF40" i="7"/>
  <c r="BC40" i="7"/>
  <c r="ET40" i="7"/>
  <c r="BP40" i="7"/>
  <c r="CE40" i="7"/>
  <c r="FB40" i="7"/>
  <c r="GB40" i="7"/>
  <c r="DG40" i="7"/>
  <c r="AT40" i="7"/>
  <c r="FX40" i="7"/>
  <c r="DC40" i="7"/>
  <c r="Z40" i="7"/>
  <c r="DP40" i="7"/>
  <c r="AM40" i="7"/>
  <c r="EC40" i="7"/>
  <c r="AZ40" i="7"/>
  <c r="BO40" i="7"/>
  <c r="EL40" i="7"/>
  <c r="FH40" i="7"/>
  <c r="CQ40" i="7"/>
  <c r="AD40" i="7"/>
  <c r="FD40" i="7"/>
  <c r="CM40" i="7"/>
  <c r="GO40" i="7"/>
  <c r="CZ40" i="7"/>
  <c r="W40" i="7"/>
  <c r="DM40" i="7"/>
  <c r="AJ40" i="7"/>
  <c r="AY40" i="7"/>
  <c r="GF40" i="7"/>
  <c r="EO40" i="7"/>
  <c r="CA40" i="7"/>
  <c r="N40" i="7"/>
  <c r="EJ40" i="7"/>
  <c r="BW40" i="7"/>
  <c r="FT40" i="7"/>
  <c r="CJ40" i="7"/>
  <c r="GL40" i="7"/>
  <c r="CW40" i="7"/>
  <c r="T40" i="7"/>
  <c r="AI40" i="7"/>
  <c r="FP40" i="7"/>
  <c r="DX40" i="7"/>
  <c r="BK40" i="7"/>
  <c r="GS40" i="7"/>
  <c r="DT40" i="7"/>
  <c r="BG40" i="7"/>
  <c r="EX40" i="7"/>
  <c r="BT40" i="7"/>
  <c r="FN40" i="7"/>
  <c r="CG40" i="7"/>
  <c r="GD40" i="7"/>
  <c r="S40" i="7"/>
  <c r="EZ40" i="7"/>
  <c r="DH40" i="7"/>
  <c r="AU40" i="7"/>
  <c r="FY40" i="7"/>
  <c r="DD40" i="7"/>
  <c r="AQ40" i="7"/>
  <c r="EG40" i="7"/>
  <c r="BD40" i="7"/>
  <c r="EU40" i="7"/>
  <c r="BQ40" i="7"/>
  <c r="EQ40" i="7"/>
  <c r="FJ40" i="7"/>
  <c r="GC40" i="7"/>
  <c r="CR40" i="7"/>
  <c r="AE40" i="7"/>
  <c r="FE40" i="7"/>
  <c r="CN40" i="7"/>
  <c r="AA40" i="7"/>
  <c r="DQ40" i="7"/>
  <c r="AN40" i="7"/>
  <c r="ED40" i="7"/>
  <c r="BA40" i="7"/>
  <c r="DJ40" i="7"/>
  <c r="DZ40" i="7"/>
  <c r="FI40" i="7"/>
  <c r="CB40" i="7"/>
  <c r="O40" i="7"/>
  <c r="EK40" i="7"/>
  <c r="BX40" i="7"/>
  <c r="GP40" i="7"/>
  <c r="DA40" i="7"/>
  <c r="X40" i="7"/>
  <c r="DN40" i="7"/>
  <c r="AK40" i="7"/>
  <c r="CD40" i="7"/>
  <c r="CT40" i="7"/>
  <c r="EP40" i="7"/>
  <c r="BL40" i="7"/>
  <c r="GT40" i="7"/>
  <c r="DU40" i="7"/>
  <c r="BH40" i="7"/>
  <c r="FV40" i="7"/>
  <c r="CK40" i="7"/>
  <c r="GM40" i="7"/>
  <c r="CX40" i="7"/>
  <c r="U40" i="7"/>
  <c r="AX40" i="7"/>
  <c r="BN40" i="7"/>
  <c r="DY40" i="7"/>
  <c r="AV40" i="7"/>
  <c r="FZ40" i="7"/>
  <c r="DE40" i="7"/>
  <c r="AR40" i="7"/>
  <c r="EY40" i="7"/>
  <c r="BU40" i="7"/>
  <c r="FO40" i="7"/>
  <c r="CH40" i="7"/>
  <c r="GG40" i="7"/>
  <c r="R40" i="7"/>
  <c r="AH40" i="7"/>
  <c r="GK40" i="7"/>
  <c r="DI40" i="7"/>
  <c r="AF40" i="7"/>
  <c r="FF40" i="7"/>
  <c r="CO40" i="7"/>
  <c r="AB40" i="7"/>
  <c r="EH40" i="7"/>
  <c r="BE40" i="7"/>
  <c r="EV40" i="7"/>
  <c r="BR40" i="7"/>
  <c r="FL40" i="7"/>
  <c r="GE40" i="7"/>
  <c r="FU40" i="7"/>
  <c r="CS40" i="7"/>
  <c r="P40" i="7"/>
  <c r="EM40" i="7"/>
  <c r="BY40" i="7"/>
  <c r="DR40" i="7"/>
  <c r="AO40" i="7"/>
  <c r="EE40" i="7"/>
  <c r="BB40" i="7"/>
  <c r="ES40" i="7"/>
  <c r="FK40" i="7"/>
  <c r="AV7" i="7"/>
  <c r="EN7" i="7"/>
  <c r="DC7" i="7"/>
  <c r="V7" i="7"/>
  <c r="EG7" i="7"/>
  <c r="AZ7" i="7"/>
  <c r="FJ7" i="7"/>
  <c r="CD7" i="7"/>
  <c r="GI7" i="7"/>
  <c r="DH7" i="7"/>
  <c r="AA7" i="7"/>
  <c r="EL7" i="7"/>
  <c r="BB7" i="7"/>
  <c r="ET7" i="7"/>
  <c r="DK7" i="7"/>
  <c r="AC7" i="7"/>
  <c r="EO7" i="7"/>
  <c r="BG7" i="7"/>
  <c r="FP7" i="7"/>
  <c r="CK7" i="7"/>
  <c r="GO7" i="7"/>
  <c r="DO7" i="7"/>
  <c r="AH7" i="7"/>
  <c r="ES7" i="7"/>
  <c r="BH7" i="7"/>
  <c r="EZ7" i="7"/>
  <c r="DR7" i="7"/>
  <c r="AK7" i="7"/>
  <c r="EV7" i="7"/>
  <c r="BO7" i="7"/>
  <c r="FV7" i="7"/>
  <c r="CS7" i="7"/>
  <c r="GU7" i="7"/>
  <c r="DW7" i="7"/>
  <c r="AO7" i="7"/>
  <c r="FA7" i="7"/>
  <c r="BN7" i="7"/>
  <c r="N7" i="7"/>
  <c r="DY7" i="7"/>
  <c r="AR7" i="7"/>
  <c r="FC7" i="7"/>
  <c r="BV7" i="7"/>
  <c r="GB7" i="7"/>
  <c r="CZ7" i="7"/>
  <c r="S7" i="7"/>
  <c r="ED7" i="7"/>
  <c r="AW7" i="7"/>
  <c r="FG7" i="7"/>
  <c r="BT7" i="7"/>
  <c r="U7" i="7"/>
  <c r="EF7" i="7"/>
  <c r="AY7" i="7"/>
  <c r="FI7" i="7"/>
  <c r="CC7" i="7"/>
  <c r="GH7" i="7"/>
  <c r="DG7" i="7"/>
  <c r="Z7" i="7"/>
  <c r="EK7" i="7"/>
  <c r="BD7" i="7"/>
  <c r="FM7" i="7"/>
  <c r="BZ7" i="7"/>
  <c r="AB7" i="7"/>
  <c r="EM7" i="7"/>
  <c r="BF7" i="7"/>
  <c r="FO7" i="7"/>
  <c r="CJ7" i="7"/>
  <c r="GN7" i="7"/>
  <c r="DN7" i="7"/>
  <c r="AG7" i="7"/>
  <c r="ER7" i="7"/>
  <c r="BK7" i="7"/>
  <c r="FS7" i="7"/>
  <c r="CF7" i="7"/>
  <c r="AI7" i="7"/>
  <c r="EU7" i="7"/>
  <c r="BM7" i="7"/>
  <c r="FU7" i="7"/>
  <c r="CQ7" i="7"/>
  <c r="GT7" i="7"/>
  <c r="DU7" i="7"/>
  <c r="AN7" i="7"/>
  <c r="EY7" i="7"/>
  <c r="BR7" i="7"/>
  <c r="FY7" i="7"/>
  <c r="CL7" i="7"/>
  <c r="AQ7" i="7"/>
  <c r="FB7" i="7"/>
  <c r="BU7" i="7"/>
  <c r="GA7" i="7"/>
  <c r="CY7" i="7"/>
  <c r="Q7" i="7"/>
  <c r="EC7" i="7"/>
  <c r="AU7" i="7"/>
  <c r="FF7" i="7"/>
  <c r="BY7" i="7"/>
  <c r="GE7" i="7"/>
  <c r="CR7" i="7"/>
  <c r="AX7" i="7"/>
  <c r="FH7" i="7"/>
  <c r="CB7" i="7"/>
  <c r="GG7" i="7"/>
  <c r="DF7" i="7"/>
  <c r="Y7" i="7"/>
  <c r="EJ7" i="7"/>
  <c r="BC7" i="7"/>
  <c r="FL7" i="7"/>
  <c r="CG7" i="7"/>
  <c r="GK7" i="7"/>
  <c r="CX7" i="7"/>
  <c r="BE7" i="7"/>
  <c r="FN7" i="7"/>
  <c r="CI7" i="7"/>
  <c r="GM7" i="7"/>
  <c r="DM7" i="7"/>
  <c r="AF7" i="7"/>
  <c r="EQ7" i="7"/>
  <c r="BJ7" i="7"/>
  <c r="FR7" i="7"/>
  <c r="CN7" i="7"/>
  <c r="GQ7" i="7"/>
  <c r="DD7" i="7"/>
  <c r="BL7" i="7"/>
  <c r="FT7" i="7"/>
  <c r="CP7" i="7"/>
  <c r="GS7" i="7"/>
  <c r="DT7" i="7"/>
  <c r="AM7" i="7"/>
  <c r="EX7" i="7"/>
  <c r="BQ7" i="7"/>
  <c r="FX7" i="7"/>
  <c r="CU7" i="7"/>
  <c r="R7" i="7"/>
  <c r="DJ7" i="7"/>
  <c r="BS7" i="7"/>
  <c r="FZ7" i="7"/>
  <c r="CW7" i="7"/>
  <c r="P7" i="7"/>
  <c r="EA7" i="7"/>
  <c r="AT7" i="7"/>
  <c r="FE7" i="7"/>
  <c r="BX7" i="7"/>
  <c r="GD7" i="7"/>
  <c r="DB7" i="7"/>
  <c r="X7" i="7"/>
  <c r="DP7" i="7"/>
  <c r="CA7" i="7"/>
  <c r="GF7" i="7"/>
  <c r="DE7" i="7"/>
  <c r="W7" i="7"/>
  <c r="EI7" i="7"/>
  <c r="BA7" i="7"/>
  <c r="FK7" i="7"/>
  <c r="CE7" i="7"/>
  <c r="GJ7" i="7"/>
  <c r="DI7" i="7"/>
  <c r="AD7" i="7"/>
  <c r="DV7" i="7"/>
  <c r="CH7" i="7"/>
  <c r="GL7" i="7"/>
  <c r="DL7" i="7"/>
  <c r="AE7" i="7"/>
  <c r="EP7" i="7"/>
  <c r="BI7" i="7"/>
  <c r="FQ7" i="7"/>
  <c r="CM7" i="7"/>
  <c r="GP7" i="7"/>
  <c r="DQ7" i="7"/>
  <c r="AJ7" i="7"/>
  <c r="EB7" i="7"/>
  <c r="CO7" i="7"/>
  <c r="GR7" i="7"/>
  <c r="DS7" i="7"/>
  <c r="AL7" i="7"/>
  <c r="EW7" i="7"/>
  <c r="BP7" i="7"/>
  <c r="FW7" i="7"/>
  <c r="CT7" i="7"/>
  <c r="DX7" i="7"/>
  <c r="AP7" i="7"/>
  <c r="EH7" i="7"/>
  <c r="CV7" i="7"/>
  <c r="O7" i="7"/>
  <c r="DZ7" i="7"/>
  <c r="AS7" i="7"/>
  <c r="FD7" i="7"/>
  <c r="BW7" i="7"/>
  <c r="GC7" i="7"/>
  <c r="DA7" i="7"/>
  <c r="T7" i="7"/>
  <c r="EE7" i="7"/>
  <c r="I65" i="7"/>
  <c r="I30" i="7"/>
  <c r="AB65" i="7"/>
  <c r="GC65" i="7"/>
  <c r="DP65" i="7"/>
  <c r="BC65" i="7"/>
  <c r="FX65" i="7"/>
  <c r="FU65" i="7"/>
  <c r="DH65" i="7"/>
  <c r="AS65" i="7"/>
  <c r="DW65" i="7"/>
  <c r="DK65" i="7"/>
  <c r="EM65" i="7"/>
  <c r="BK65" i="7"/>
  <c r="L65" i="7"/>
  <c r="FM65" i="7"/>
  <c r="CZ65" i="7"/>
  <c r="AM65" i="7"/>
  <c r="FH65" i="7"/>
  <c r="FE65" i="7"/>
  <c r="CR65" i="7"/>
  <c r="AC65" i="7"/>
  <c r="CE65" i="7"/>
  <c r="BW65" i="7"/>
  <c r="CU65" i="7"/>
  <c r="BJ65" i="7"/>
  <c r="GT65" i="7"/>
  <c r="EW65" i="7"/>
  <c r="CJ65" i="7"/>
  <c r="W65" i="7"/>
  <c r="ER65" i="7"/>
  <c r="EO65" i="7"/>
  <c r="CB65" i="7"/>
  <c r="M65" i="7"/>
  <c r="AQ65" i="7"/>
  <c r="AE65" i="7"/>
  <c r="BG65" i="7"/>
  <c r="GU65" i="7"/>
  <c r="GD65" i="7"/>
  <c r="EG65" i="7"/>
  <c r="BT65" i="7"/>
  <c r="GP65" i="7"/>
  <c r="EB65" i="7"/>
  <c r="DY65" i="7"/>
  <c r="BL65" i="7"/>
  <c r="GE65" i="7"/>
  <c r="FR65" i="7"/>
  <c r="FC65" i="7"/>
  <c r="O65" i="7"/>
  <c r="GO65" i="7"/>
  <c r="FN65" i="7"/>
  <c r="DQ65" i="7"/>
  <c r="BD65" i="7"/>
  <c r="FZ65" i="7"/>
  <c r="DL65" i="7"/>
  <c r="DI65" i="7"/>
  <c r="AV65" i="7"/>
  <c r="EC65" i="7"/>
  <c r="DV65" i="7"/>
  <c r="DJ65" i="7"/>
  <c r="GI65" i="7"/>
  <c r="BA65" i="7"/>
  <c r="EX65" i="7"/>
  <c r="DA65" i="7"/>
  <c r="AN65" i="7"/>
  <c r="FJ65" i="7"/>
  <c r="CV65" i="7"/>
  <c r="CS65" i="7"/>
  <c r="AF65" i="7"/>
  <c r="CP65" i="7"/>
  <c r="CD65" i="7"/>
  <c r="BQ65" i="7"/>
  <c r="N65" i="7"/>
  <c r="AY65" i="7"/>
  <c r="GF65" i="7"/>
  <c r="EH65" i="7"/>
  <c r="CK65" i="7"/>
  <c r="X65" i="7"/>
  <c r="ET65" i="7"/>
  <c r="CF65" i="7"/>
  <c r="CC65" i="7"/>
  <c r="P65" i="7"/>
  <c r="AX65" i="7"/>
  <c r="AK65" i="7"/>
  <c r="AD65" i="7"/>
  <c r="GH65" i="7"/>
  <c r="S65" i="7"/>
  <c r="FP65" i="7"/>
  <c r="DR65" i="7"/>
  <c r="BU65" i="7"/>
  <c r="GQ65" i="7"/>
  <c r="ED65" i="7"/>
  <c r="BP65" i="7"/>
  <c r="BM65" i="7"/>
  <c r="GG65" i="7"/>
  <c r="FY65" i="7"/>
  <c r="FO65" i="7"/>
  <c r="FB65" i="7"/>
  <c r="K65" i="7"/>
  <c r="R65" i="7"/>
  <c r="EZ65" i="7"/>
  <c r="DB65" i="7"/>
  <c r="BE65" i="7"/>
  <c r="GA65" i="7"/>
  <c r="DN65" i="7"/>
  <c r="AZ65" i="7"/>
  <c r="AW65" i="7"/>
  <c r="FQ65" i="7"/>
  <c r="EA65" i="7"/>
  <c r="DS65" i="7"/>
  <c r="DG65" i="7"/>
  <c r="ES65" i="7"/>
  <c r="EJ65" i="7"/>
  <c r="CL65" i="7"/>
  <c r="AO65" i="7"/>
  <c r="FK65" i="7"/>
  <c r="CX65" i="7"/>
  <c r="AJ65" i="7"/>
  <c r="AG65" i="7"/>
  <c r="FA65" i="7"/>
  <c r="CM65" i="7"/>
  <c r="CA65" i="7"/>
  <c r="BO65" i="7"/>
  <c r="EQ65" i="7"/>
  <c r="DT65" i="7"/>
  <c r="BV65" i="7"/>
  <c r="Y65" i="7"/>
  <c r="EU65" i="7"/>
  <c r="CH65" i="7"/>
  <c r="T65" i="7"/>
  <c r="Q65" i="7"/>
  <c r="EK65" i="7"/>
  <c r="AU65" i="7"/>
  <c r="AI65" i="7"/>
  <c r="AA65" i="7"/>
  <c r="EL65" i="7"/>
  <c r="DD65" i="7"/>
  <c r="BF65" i="7"/>
  <c r="GR65" i="7"/>
  <c r="EE65" i="7"/>
  <c r="BR65" i="7"/>
  <c r="GL65" i="7"/>
  <c r="GJ65" i="7"/>
  <c r="DU65" i="7"/>
  <c r="FW65" i="7"/>
  <c r="FI65" i="7"/>
  <c r="EY65" i="7"/>
  <c r="EI65" i="7"/>
  <c r="CN65" i="7"/>
  <c r="AP65" i="7"/>
  <c r="GB65" i="7"/>
  <c r="DO65" i="7"/>
  <c r="BB65" i="7"/>
  <c r="FV65" i="7"/>
  <c r="FT65" i="7"/>
  <c r="DE65" i="7"/>
  <c r="DZ65" i="7"/>
  <c r="DM65" i="7"/>
  <c r="DF65" i="7"/>
  <c r="DC65" i="7"/>
  <c r="BX65" i="7"/>
  <c r="Z65" i="7"/>
  <c r="FL65" i="7"/>
  <c r="CY65" i="7"/>
  <c r="AL65" i="7"/>
  <c r="FF65" i="7"/>
  <c r="FD65" i="7"/>
  <c r="CO65" i="7"/>
  <c r="CG65" i="7"/>
  <c r="BZ65" i="7"/>
  <c r="BN65" i="7"/>
  <c r="CW65" i="7"/>
  <c r="BH65" i="7"/>
  <c r="J65" i="7"/>
  <c r="EV65" i="7"/>
  <c r="CI65" i="7"/>
  <c r="V65" i="7"/>
  <c r="EP65" i="7"/>
  <c r="EN65" i="7"/>
  <c r="BY65" i="7"/>
  <c r="AT65" i="7"/>
  <c r="AH65" i="7"/>
  <c r="U65" i="7"/>
  <c r="CT65" i="7"/>
  <c r="AR65" i="7"/>
  <c r="GS65" i="7"/>
  <c r="EF65" i="7"/>
  <c r="BS65" i="7"/>
  <c r="GN65" i="7"/>
  <c r="GK65" i="7"/>
  <c r="DX65" i="7"/>
  <c r="BI65" i="7"/>
  <c r="FS65" i="7"/>
  <c r="FG65" i="7"/>
  <c r="GM65" i="7"/>
  <c r="CQ65" i="7"/>
  <c r="J30" i="7"/>
  <c r="DF30" i="7"/>
  <c r="K30" i="7"/>
  <c r="DG30" i="7"/>
  <c r="L30" i="7"/>
  <c r="DH30" i="7"/>
  <c r="M30" i="7"/>
  <c r="DI30" i="7"/>
  <c r="N30" i="7"/>
  <c r="DJ30" i="7"/>
  <c r="BO30" i="7"/>
  <c r="DQ30" i="7"/>
  <c r="Q30" i="7"/>
  <c r="DL30" i="7"/>
  <c r="R30" i="7"/>
  <c r="DM30" i="7"/>
  <c r="S30" i="7"/>
  <c r="DN30" i="7"/>
  <c r="T30" i="7"/>
  <c r="DO30" i="7"/>
  <c r="V30" i="7"/>
  <c r="DP30" i="7"/>
  <c r="CY30" i="7"/>
  <c r="FA30" i="7"/>
  <c r="X30" i="7"/>
  <c r="DR30" i="7"/>
  <c r="Y30" i="7"/>
  <c r="DS30" i="7"/>
  <c r="Z30" i="7"/>
  <c r="DT30" i="7"/>
  <c r="AB30" i="7"/>
  <c r="DU30" i="7"/>
  <c r="AC30" i="7"/>
  <c r="DV30" i="7"/>
  <c r="EI30" i="7"/>
  <c r="GK30" i="7"/>
  <c r="AE30" i="7"/>
  <c r="DX30" i="7"/>
  <c r="AF30" i="7"/>
  <c r="DY30" i="7"/>
  <c r="AH30" i="7"/>
  <c r="DZ30" i="7"/>
  <c r="AI30" i="7"/>
  <c r="EA30" i="7"/>
  <c r="AJ30" i="7"/>
  <c r="EB30" i="7"/>
  <c r="FS30" i="7"/>
  <c r="P30" i="7"/>
  <c r="AL30" i="7"/>
  <c r="ED30" i="7"/>
  <c r="AM30" i="7"/>
  <c r="EE30" i="7"/>
  <c r="AN30" i="7"/>
  <c r="EF30" i="7"/>
  <c r="AO30" i="7"/>
  <c r="EG30" i="7"/>
  <c r="AP30" i="7"/>
  <c r="EH30" i="7"/>
  <c r="AK30" i="7"/>
  <c r="BC30" i="7"/>
  <c r="AR30" i="7"/>
  <c r="EJ30" i="7"/>
  <c r="AS30" i="7"/>
  <c r="EK30" i="7"/>
  <c r="AT30" i="7"/>
  <c r="EL30" i="7"/>
  <c r="AU30" i="7"/>
  <c r="EM30" i="7"/>
  <c r="AV30" i="7"/>
  <c r="EN30" i="7"/>
  <c r="BU30" i="7"/>
  <c r="CM30" i="7"/>
  <c r="AX30" i="7"/>
  <c r="EP30" i="7"/>
  <c r="AY30" i="7"/>
  <c r="EQ30" i="7"/>
  <c r="AZ30" i="7"/>
  <c r="ER30" i="7"/>
  <c r="BA30" i="7"/>
  <c r="ES30" i="7"/>
  <c r="BB30" i="7"/>
  <c r="ET30" i="7"/>
  <c r="DE30" i="7"/>
  <c r="DW30" i="7"/>
  <c r="BD30" i="7"/>
  <c r="EV30" i="7"/>
  <c r="BE30" i="7"/>
  <c r="EW30" i="7"/>
  <c r="BF30" i="7"/>
  <c r="EX30" i="7"/>
  <c r="BG30" i="7"/>
  <c r="EY30" i="7"/>
  <c r="BH30" i="7"/>
  <c r="EZ30" i="7"/>
  <c r="EO30" i="7"/>
  <c r="FG30" i="7"/>
  <c r="BJ30" i="7"/>
  <c r="FB30" i="7"/>
  <c r="BK30" i="7"/>
  <c r="FC30" i="7"/>
  <c r="BL30" i="7"/>
  <c r="FD30" i="7"/>
  <c r="BM30" i="7"/>
  <c r="FE30" i="7"/>
  <c r="BN30" i="7"/>
  <c r="FF30" i="7"/>
  <c r="FY30" i="7"/>
  <c r="GQ30" i="7"/>
  <c r="BP30" i="7"/>
  <c r="FH30" i="7"/>
  <c r="BQ30" i="7"/>
  <c r="FI30" i="7"/>
  <c r="BR30" i="7"/>
  <c r="FJ30" i="7"/>
  <c r="BS30" i="7"/>
  <c r="FK30" i="7"/>
  <c r="BT30" i="7"/>
  <c r="FL30" i="7"/>
  <c r="AQ30" i="7"/>
  <c r="EC30" i="7"/>
  <c r="BV30" i="7"/>
  <c r="FN30" i="7"/>
  <c r="BW30" i="7"/>
  <c r="FO30" i="7"/>
  <c r="BX30" i="7"/>
  <c r="FP30" i="7"/>
  <c r="BY30" i="7"/>
  <c r="FQ30" i="7"/>
  <c r="BZ30" i="7"/>
  <c r="FR30" i="7"/>
  <c r="CA30" i="7"/>
  <c r="FM30" i="7"/>
  <c r="CB30" i="7"/>
  <c r="FT30" i="7"/>
  <c r="CC30" i="7"/>
  <c r="FU30" i="7"/>
  <c r="CD30" i="7"/>
  <c r="FV30" i="7"/>
  <c r="CE30" i="7"/>
  <c r="FW30" i="7"/>
  <c r="CF30" i="7"/>
  <c r="FX30" i="7"/>
  <c r="DK30" i="7"/>
  <c r="W30" i="7"/>
  <c r="O30" i="7"/>
  <c r="CH30" i="7"/>
  <c r="FZ30" i="7"/>
  <c r="CI30" i="7"/>
  <c r="GA30" i="7"/>
  <c r="CJ30" i="7"/>
  <c r="GB30" i="7"/>
  <c r="CK30" i="7"/>
  <c r="GC30" i="7"/>
  <c r="CL30" i="7"/>
  <c r="GD30" i="7"/>
  <c r="EU30" i="7"/>
  <c r="CS30" i="7"/>
  <c r="U30" i="7"/>
  <c r="CN30" i="7"/>
  <c r="GF30" i="7"/>
  <c r="CO30" i="7"/>
  <c r="GG30" i="7"/>
  <c r="CP30" i="7"/>
  <c r="GH30" i="7"/>
  <c r="CQ30" i="7"/>
  <c r="GI30" i="7"/>
  <c r="CR30" i="7"/>
  <c r="GJ30" i="7"/>
  <c r="GE30" i="7"/>
  <c r="BI30" i="7"/>
  <c r="AA30" i="7"/>
  <c r="CT30" i="7"/>
  <c r="GL30" i="7"/>
  <c r="CU30" i="7"/>
  <c r="GM30" i="7"/>
  <c r="CV30" i="7"/>
  <c r="GN30" i="7"/>
  <c r="CW30" i="7"/>
  <c r="GO30" i="7"/>
  <c r="CX30" i="7"/>
  <c r="GP30" i="7"/>
  <c r="AW30" i="7"/>
  <c r="AG30" i="7"/>
  <c r="CZ30" i="7"/>
  <c r="GR30" i="7"/>
  <c r="DA30" i="7"/>
  <c r="GS30" i="7"/>
  <c r="DB30" i="7"/>
  <c r="GT30" i="7"/>
  <c r="DC30" i="7"/>
  <c r="GU30" i="7"/>
  <c r="DD30" i="7"/>
  <c r="AD30" i="7"/>
  <c r="CG30" i="7"/>
  <c r="J63" i="7"/>
  <c r="I63" i="7"/>
  <c r="I28" i="7"/>
  <c r="J28" i="7"/>
  <c r="FV63" i="7"/>
  <c r="DI63" i="7"/>
  <c r="AV63" i="7"/>
  <c r="FR63" i="7"/>
  <c r="DD63" i="7"/>
  <c r="GB63" i="7"/>
  <c r="DM63" i="7"/>
  <c r="L63" i="7"/>
  <c r="BY63" i="7"/>
  <c r="AI63" i="7"/>
  <c r="DB63" i="7"/>
  <c r="ET63" i="7"/>
  <c r="FF63" i="7"/>
  <c r="CS63" i="7"/>
  <c r="AF63" i="7"/>
  <c r="FB63" i="7"/>
  <c r="CN63" i="7"/>
  <c r="FL63" i="7"/>
  <c r="CW63" i="7"/>
  <c r="FO63" i="7"/>
  <c r="AP63" i="7"/>
  <c r="GP63" i="7"/>
  <c r="CY63" i="7"/>
  <c r="EQ63" i="7"/>
  <c r="EP63" i="7"/>
  <c r="CC63" i="7"/>
  <c r="P63" i="7"/>
  <c r="EL63" i="7"/>
  <c r="BX63" i="7"/>
  <c r="EV63" i="7"/>
  <c r="CG63" i="7"/>
  <c r="EA63" i="7"/>
  <c r="GU63" i="7"/>
  <c r="EX63" i="7"/>
  <c r="CU63" i="7"/>
  <c r="EI63" i="7"/>
  <c r="GN63" i="7"/>
  <c r="DZ63" i="7"/>
  <c r="BM63" i="7"/>
  <c r="GI63" i="7"/>
  <c r="DV63" i="7"/>
  <c r="GS63" i="7"/>
  <c r="EF63" i="7"/>
  <c r="BQ63" i="7"/>
  <c r="CI63" i="7"/>
  <c r="FG63" i="7"/>
  <c r="DE63" i="7"/>
  <c r="CO63" i="7"/>
  <c r="EH63" i="7"/>
  <c r="FX63" i="7"/>
  <c r="DJ63" i="7"/>
  <c r="AW63" i="7"/>
  <c r="FS63" i="7"/>
  <c r="DF63" i="7"/>
  <c r="GC63" i="7"/>
  <c r="DP63" i="7"/>
  <c r="BA63" i="7"/>
  <c r="AS63" i="7"/>
  <c r="DO63" i="7"/>
  <c r="BR63" i="7"/>
  <c r="BI63" i="7"/>
  <c r="FH63" i="7"/>
  <c r="CT63" i="7"/>
  <c r="AG63" i="7"/>
  <c r="FC63" i="7"/>
  <c r="CP63" i="7"/>
  <c r="FM63" i="7"/>
  <c r="CZ63" i="7"/>
  <c r="AK63" i="7"/>
  <c r="K63" i="7"/>
  <c r="BW63" i="7"/>
  <c r="AC63" i="7"/>
  <c r="BH63" i="7"/>
  <c r="ER63" i="7"/>
  <c r="CD63" i="7"/>
  <c r="Q63" i="7"/>
  <c r="EM63" i="7"/>
  <c r="BZ63" i="7"/>
  <c r="EW63" i="7"/>
  <c r="CJ63" i="7"/>
  <c r="U63" i="7"/>
  <c r="FN63" i="7"/>
  <c r="AM63" i="7"/>
  <c r="GM63" i="7"/>
  <c r="BF63" i="7"/>
  <c r="EB63" i="7"/>
  <c r="BN63" i="7"/>
  <c r="GJ63" i="7"/>
  <c r="DW63" i="7"/>
  <c r="BJ63" i="7"/>
  <c r="EG63" i="7"/>
  <c r="BT63" i="7"/>
  <c r="FW63" i="7"/>
  <c r="DU63" i="7"/>
  <c r="GT63" i="7"/>
  <c r="EU63" i="7"/>
  <c r="BC63" i="7"/>
  <c r="DL63" i="7"/>
  <c r="AX63" i="7"/>
  <c r="FT63" i="7"/>
  <c r="DG63" i="7"/>
  <c r="AT63" i="7"/>
  <c r="DQ63" i="7"/>
  <c r="BD63" i="7"/>
  <c r="EE63" i="7"/>
  <c r="CH63" i="7"/>
  <c r="FA63" i="7"/>
  <c r="DC63" i="7"/>
  <c r="GG63" i="7"/>
  <c r="CV63" i="7"/>
  <c r="AH63" i="7"/>
  <c r="FD63" i="7"/>
  <c r="CQ63" i="7"/>
  <c r="AD63" i="7"/>
  <c r="DA63" i="7"/>
  <c r="AN63" i="7"/>
  <c r="CM63" i="7"/>
  <c r="AR63" i="7"/>
  <c r="DN63" i="7"/>
  <c r="BO63" i="7"/>
  <c r="AA63" i="7"/>
  <c r="CF63" i="7"/>
  <c r="R63" i="7"/>
  <c r="EN63" i="7"/>
  <c r="CA63" i="7"/>
  <c r="N63" i="7"/>
  <c r="CK63" i="7"/>
  <c r="X63" i="7"/>
  <c r="BB63" i="7"/>
  <c r="FK63" i="7"/>
  <c r="BV63" i="7"/>
  <c r="AB63" i="7"/>
  <c r="GE63" i="7"/>
  <c r="BP63" i="7"/>
  <c r="GK63" i="7"/>
  <c r="DX63" i="7"/>
  <c r="BK63" i="7"/>
  <c r="GF63" i="7"/>
  <c r="BU63" i="7"/>
  <c r="GO63" i="7"/>
  <c r="M63" i="7"/>
  <c r="DS63" i="7"/>
  <c r="AL63" i="7"/>
  <c r="GD63" i="7"/>
  <c r="Z63" i="7"/>
  <c r="AZ63" i="7"/>
  <c r="FU63" i="7"/>
  <c r="DH63" i="7"/>
  <c r="AU63" i="7"/>
  <c r="FP63" i="7"/>
  <c r="BE63" i="7"/>
  <c r="FY63" i="7"/>
  <c r="FQ63" i="7"/>
  <c r="CE63" i="7"/>
  <c r="GQ63" i="7"/>
  <c r="EK63" i="7"/>
  <c r="GA63" i="7"/>
  <c r="AJ63" i="7"/>
  <c r="FE63" i="7"/>
  <c r="CR63" i="7"/>
  <c r="AE63" i="7"/>
  <c r="EZ63" i="7"/>
  <c r="AO63" i="7"/>
  <c r="FI63" i="7"/>
  <c r="ED63" i="7"/>
  <c r="AQ63" i="7"/>
  <c r="EY63" i="7"/>
  <c r="CX63" i="7"/>
  <c r="V63" i="7"/>
  <c r="GL63" i="7"/>
  <c r="DY63" i="7"/>
  <c r="BL63" i="7"/>
  <c r="GH63" i="7"/>
  <c r="DT63" i="7"/>
  <c r="GR63" i="7"/>
  <c r="EC63" i="7"/>
  <c r="AY63" i="7"/>
  <c r="DR63" i="7"/>
  <c r="BS63" i="7"/>
  <c r="W63" i="7"/>
  <c r="S63" i="7"/>
  <c r="FZ63" i="7"/>
  <c r="T63" i="7"/>
  <c r="EO63" i="7"/>
  <c r="CB63" i="7"/>
  <c r="O63" i="7"/>
  <c r="EJ63" i="7"/>
  <c r="Y63" i="7"/>
  <c r="ES63" i="7"/>
  <c r="CL63" i="7"/>
  <c r="FJ63" i="7"/>
  <c r="DK63" i="7"/>
  <c r="BG63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43" i="7"/>
  <c r="DO43" i="7"/>
  <c r="BB43" i="7"/>
  <c r="FX43" i="7"/>
  <c r="DK43" i="7"/>
  <c r="AX43" i="7"/>
  <c r="FT43" i="7"/>
  <c r="DG43" i="7"/>
  <c r="AT43" i="7"/>
  <c r="GU43" i="7"/>
  <c r="FA43" i="7"/>
  <c r="FL43" i="7"/>
  <c r="CY43" i="7"/>
  <c r="AL43" i="7"/>
  <c r="FH43" i="7"/>
  <c r="CU43" i="7"/>
  <c r="AH43" i="7"/>
  <c r="FD43" i="7"/>
  <c r="CQ43" i="7"/>
  <c r="AD43" i="7"/>
  <c r="DE43" i="7"/>
  <c r="BX43" i="7"/>
  <c r="EV43" i="7"/>
  <c r="CI43" i="7"/>
  <c r="V43" i="7"/>
  <c r="ER43" i="7"/>
  <c r="CE43" i="7"/>
  <c r="R43" i="7"/>
  <c r="EN43" i="7"/>
  <c r="CA43" i="7"/>
  <c r="GT43" i="7"/>
  <c r="AB43" i="7"/>
  <c r="EZ43" i="7"/>
  <c r="GS43" i="7"/>
  <c r="EF43" i="7"/>
  <c r="BS43" i="7"/>
  <c r="GO43" i="7"/>
  <c r="EB43" i="7"/>
  <c r="BO43" i="7"/>
  <c r="GK43" i="7"/>
  <c r="DX43" i="7"/>
  <c r="BK43" i="7"/>
  <c r="GD43" i="7"/>
  <c r="GG43" i="7"/>
  <c r="BW43" i="7"/>
  <c r="GC43" i="7"/>
  <c r="DP43" i="7"/>
  <c r="BC43" i="7"/>
  <c r="FY43" i="7"/>
  <c r="DL43" i="7"/>
  <c r="AY43" i="7"/>
  <c r="FU43" i="7"/>
  <c r="DH43" i="7"/>
  <c r="AU43" i="7"/>
  <c r="FN43" i="7"/>
  <c r="DD43" i="7"/>
  <c r="EY43" i="7"/>
  <c r="FM43" i="7"/>
  <c r="CZ43" i="7"/>
  <c r="AM43" i="7"/>
  <c r="FI43" i="7"/>
  <c r="CV43" i="7"/>
  <c r="AI43" i="7"/>
  <c r="FE43" i="7"/>
  <c r="CR43" i="7"/>
  <c r="AE43" i="7"/>
  <c r="EX43" i="7"/>
  <c r="AA43" i="7"/>
  <c r="BI43" i="7"/>
  <c r="EW43" i="7"/>
  <c r="CJ43" i="7"/>
  <c r="W43" i="7"/>
  <c r="ES43" i="7"/>
  <c r="CF43" i="7"/>
  <c r="S43" i="7"/>
  <c r="EO43" i="7"/>
  <c r="CB43" i="7"/>
  <c r="O43" i="7"/>
  <c r="EH43" i="7"/>
  <c r="GF43" i="7"/>
  <c r="EK43" i="7"/>
  <c r="EG43" i="7"/>
  <c r="BT43" i="7"/>
  <c r="GP43" i="7"/>
  <c r="EC43" i="7"/>
  <c r="BP43" i="7"/>
  <c r="GL43" i="7"/>
  <c r="DY43" i="7"/>
  <c r="BL43" i="7"/>
  <c r="GH43" i="7"/>
  <c r="DR43" i="7"/>
  <c r="DC43" i="7"/>
  <c r="BH43" i="7"/>
  <c r="DQ43" i="7"/>
  <c r="BD43" i="7"/>
  <c r="FZ43" i="7"/>
  <c r="DM43" i="7"/>
  <c r="AZ43" i="7"/>
  <c r="FV43" i="7"/>
  <c r="DI43" i="7"/>
  <c r="AV43" i="7"/>
  <c r="FR43" i="7"/>
  <c r="DB43" i="7"/>
  <c r="GE43" i="7"/>
  <c r="EJ43" i="7"/>
  <c r="DA43" i="7"/>
  <c r="AN43" i="7"/>
  <c r="FJ43" i="7"/>
  <c r="CW43" i="7"/>
  <c r="AJ43" i="7"/>
  <c r="FF43" i="7"/>
  <c r="CS43" i="7"/>
  <c r="AF43" i="7"/>
  <c r="FB43" i="7"/>
  <c r="CL43" i="7"/>
  <c r="CO43" i="7"/>
  <c r="BG43" i="7"/>
  <c r="CK43" i="7"/>
  <c r="X43" i="7"/>
  <c r="ET43" i="7"/>
  <c r="CG43" i="7"/>
  <c r="T43" i="7"/>
  <c r="EP43" i="7"/>
  <c r="CC43" i="7"/>
  <c r="P43" i="7"/>
  <c r="EL43" i="7"/>
  <c r="BV43" i="7"/>
  <c r="FQ43" i="7"/>
  <c r="EI43" i="7"/>
  <c r="BU43" i="7"/>
  <c r="GQ43" i="7"/>
  <c r="ED43" i="7"/>
  <c r="BQ43" i="7"/>
  <c r="GM43" i="7"/>
  <c r="DZ43" i="7"/>
  <c r="BM43" i="7"/>
  <c r="GI43" i="7"/>
  <c r="DV43" i="7"/>
  <c r="BF43" i="7"/>
  <c r="CN43" i="7"/>
  <c r="AS43" i="7"/>
  <c r="BE43" i="7"/>
  <c r="GA43" i="7"/>
  <c r="DN43" i="7"/>
  <c r="BA43" i="7"/>
  <c r="FW43" i="7"/>
  <c r="DJ43" i="7"/>
  <c r="AW43" i="7"/>
  <c r="FS43" i="7"/>
  <c r="DF43" i="7"/>
  <c r="AP43" i="7"/>
  <c r="FP43" i="7"/>
  <c r="DT43" i="7"/>
  <c r="AO43" i="7"/>
  <c r="FK43" i="7"/>
  <c r="CX43" i="7"/>
  <c r="AK43" i="7"/>
  <c r="FG43" i="7"/>
  <c r="CT43" i="7"/>
  <c r="AG43" i="7"/>
  <c r="FC43" i="7"/>
  <c r="CP43" i="7"/>
  <c r="Z43" i="7"/>
  <c r="CM43" i="7"/>
  <c r="DU43" i="7"/>
  <c r="Y43" i="7"/>
  <c r="EU43" i="7"/>
  <c r="CH43" i="7"/>
  <c r="U43" i="7"/>
  <c r="EQ43" i="7"/>
  <c r="CD43" i="7"/>
  <c r="Q43" i="7"/>
  <c r="EM43" i="7"/>
  <c r="BZ43" i="7"/>
  <c r="DS43" i="7"/>
  <c r="FO43" i="7"/>
  <c r="AR43" i="7"/>
  <c r="GR43" i="7"/>
  <c r="EE43" i="7"/>
  <c r="BR43" i="7"/>
  <c r="GN43" i="7"/>
  <c r="EA43" i="7"/>
  <c r="BN43" i="7"/>
  <c r="GJ43" i="7"/>
  <c r="DW43" i="7"/>
  <c r="BJ43" i="7"/>
  <c r="AC43" i="7"/>
  <c r="BY43" i="7"/>
  <c r="N43" i="7"/>
  <c r="AQ43" i="7"/>
  <c r="N5" i="7"/>
  <c r="CD5" i="7"/>
  <c r="DC5" i="7"/>
  <c r="CX5" i="7"/>
  <c r="CM5" i="7"/>
  <c r="CT5" i="7"/>
  <c r="Q5" i="7"/>
  <c r="DI5" i="7"/>
  <c r="DD5" i="7"/>
  <c r="CS5" i="7"/>
  <c r="DF5" i="7"/>
  <c r="AY5" i="7"/>
  <c r="GL5" i="7"/>
  <c r="W5" i="7"/>
  <c r="R5" i="7"/>
  <c r="DJ5" i="7"/>
  <c r="CY5" i="7"/>
  <c r="DO5" i="7"/>
  <c r="BQ5" i="7"/>
  <c r="GR5" i="7"/>
  <c r="FU5" i="7"/>
  <c r="AI5" i="7"/>
  <c r="AD5" i="7"/>
  <c r="S5" i="7"/>
  <c r="DK5" i="7"/>
  <c r="EE5" i="7"/>
  <c r="CU5" i="7"/>
  <c r="AL5" i="7"/>
  <c r="GG5" i="7"/>
  <c r="FJ5" i="7"/>
  <c r="EK5" i="7"/>
  <c r="P5" i="7"/>
  <c r="AO5" i="7"/>
  <c r="AJ5" i="7"/>
  <c r="Y5" i="7"/>
  <c r="DQ5" i="7"/>
  <c r="EL5" i="7"/>
  <c r="DG5" i="7"/>
  <c r="BD5" i="7"/>
  <c r="GM5" i="7"/>
  <c r="FP5" i="7"/>
  <c r="ER5" i="7"/>
  <c r="AB5" i="7"/>
  <c r="BA5" i="7"/>
  <c r="AV5" i="7"/>
  <c r="AK5" i="7"/>
  <c r="EC5" i="7"/>
  <c r="EZ5" i="7"/>
  <c r="DY5" i="7"/>
  <c r="CJ5" i="7"/>
  <c r="U5" i="7"/>
  <c r="GB5" i="7"/>
  <c r="FF5" i="7"/>
  <c r="AN5" i="7"/>
  <c r="BM5" i="7"/>
  <c r="BH5" i="7"/>
  <c r="AW5" i="7"/>
  <c r="EO5" i="7"/>
  <c r="AT5" i="7"/>
  <c r="BS5" i="7"/>
  <c r="BN5" i="7"/>
  <c r="BC5" i="7"/>
  <c r="EU5" i="7"/>
  <c r="FS5" i="7"/>
  <c r="ET5" i="7"/>
  <c r="DS5" i="7"/>
  <c r="BW5" i="7"/>
  <c r="GT5" i="7"/>
  <c r="AZ5" i="7"/>
  <c r="BY5" i="7"/>
  <c r="BT5" i="7"/>
  <c r="BI5" i="7"/>
  <c r="FA5" i="7"/>
  <c r="FY5" i="7"/>
  <c r="FB5" i="7"/>
  <c r="BF5" i="7"/>
  <c r="CE5" i="7"/>
  <c r="BZ5" i="7"/>
  <c r="BO5" i="7"/>
  <c r="AF5" i="7"/>
  <c r="GE5" i="7"/>
  <c r="BL5" i="7"/>
  <c r="CK5" i="7"/>
  <c r="CF5" i="7"/>
  <c r="BU5" i="7"/>
  <c r="AX5" i="7"/>
  <c r="GK5" i="7"/>
  <c r="FN5" i="7"/>
  <c r="EN5" i="7"/>
  <c r="BX5" i="7"/>
  <c r="CW5" i="7"/>
  <c r="CR5" i="7"/>
  <c r="CG5" i="7"/>
  <c r="CH5" i="7"/>
  <c r="O5" i="7"/>
  <c r="AU5" i="7"/>
  <c r="ES5" i="7"/>
  <c r="DH5" i="7"/>
  <c r="EH5" i="7"/>
  <c r="EY5" i="7"/>
  <c r="FW5" i="7"/>
  <c r="BG5" i="7"/>
  <c r="FG5" i="7"/>
  <c r="DZ5" i="7"/>
  <c r="EP5" i="7"/>
  <c r="FL5" i="7"/>
  <c r="CO5" i="7"/>
  <c r="CQ5" i="7"/>
  <c r="FM5" i="7"/>
  <c r="EG5" i="7"/>
  <c r="EW5" i="7"/>
  <c r="FR5" i="7"/>
  <c r="EQ5" i="7"/>
  <c r="X5" i="7"/>
  <c r="GQ5" i="7"/>
  <c r="EV5" i="7"/>
  <c r="FD5" i="7"/>
  <c r="FX5" i="7"/>
  <c r="GC5" i="7"/>
  <c r="AP5" i="7"/>
  <c r="AG5" i="7"/>
  <c r="FC5" i="7"/>
  <c r="FV5" i="7"/>
  <c r="GD5" i="7"/>
  <c r="DA5" i="7"/>
  <c r="BB5" i="7"/>
  <c r="CI5" i="7"/>
  <c r="FI5" i="7"/>
  <c r="GH5" i="7"/>
  <c r="GJ5" i="7"/>
  <c r="EX5" i="7"/>
  <c r="CL5" i="7"/>
  <c r="DR5" i="7"/>
  <c r="FO5" i="7"/>
  <c r="GN5" i="7"/>
  <c r="GP5" i="7"/>
  <c r="GI5" i="7"/>
  <c r="DP5" i="7"/>
  <c r="EF5" i="7"/>
  <c r="GA5" i="7"/>
  <c r="AA5" i="7"/>
  <c r="AR5" i="7"/>
  <c r="Z5" i="7"/>
  <c r="AE5" i="7"/>
  <c r="EM5" i="7"/>
  <c r="GS5" i="7"/>
  <c r="AS5" i="7"/>
  <c r="DU5" i="7"/>
  <c r="DM5" i="7"/>
  <c r="AQ5" i="7"/>
  <c r="FH5" i="7"/>
  <c r="AM5" i="7"/>
  <c r="BK5" i="7"/>
  <c r="FK5" i="7"/>
  <c r="FE5" i="7"/>
  <c r="CA5" i="7"/>
  <c r="FT5" i="7"/>
  <c r="BE5" i="7"/>
  <c r="CC5" i="7"/>
  <c r="GU5" i="7"/>
  <c r="GO5" i="7"/>
  <c r="DE5" i="7"/>
  <c r="FZ5" i="7"/>
  <c r="CN5" i="7"/>
  <c r="CP5" i="7"/>
  <c r="BJ5" i="7"/>
  <c r="V5" i="7"/>
  <c r="DW5" i="7"/>
  <c r="GF5" i="7"/>
  <c r="CZ5" i="7"/>
  <c r="DB5" i="7"/>
  <c r="EB5" i="7"/>
  <c r="AH5" i="7"/>
  <c r="EI5" i="7"/>
  <c r="T5" i="7"/>
  <c r="DL5" i="7"/>
  <c r="DN5" i="7"/>
  <c r="FQ5" i="7"/>
  <c r="BR5" i="7"/>
  <c r="BP5" i="7"/>
  <c r="BV5" i="7"/>
  <c r="DT5" i="7"/>
  <c r="DV5" i="7"/>
  <c r="CB5" i="7"/>
  <c r="AC5" i="7"/>
  <c r="DX5" i="7"/>
  <c r="CV5" i="7"/>
  <c r="EA5" i="7"/>
  <c r="ED5" i="7"/>
  <c r="EJ5" i="7"/>
  <c r="I4" i="7"/>
  <c r="I42" i="7"/>
  <c r="FU42" i="7"/>
  <c r="DH42" i="7"/>
  <c r="AU42" i="7"/>
  <c r="FQ42" i="7"/>
  <c r="DD42" i="7"/>
  <c r="BG42" i="7"/>
  <c r="GS42" i="7"/>
  <c r="EF42" i="7"/>
  <c r="BS42" i="7"/>
  <c r="GL42" i="7"/>
  <c r="CU42" i="7"/>
  <c r="AZ42" i="7"/>
  <c r="FE42" i="7"/>
  <c r="CR42" i="7"/>
  <c r="AE42" i="7"/>
  <c r="FA42" i="7"/>
  <c r="CN42" i="7"/>
  <c r="EO42" i="7"/>
  <c r="CB42" i="7"/>
  <c r="O42" i="7"/>
  <c r="EK42" i="7"/>
  <c r="BX42" i="7"/>
  <c r="AA42" i="7"/>
  <c r="FM42" i="7"/>
  <c r="CZ42" i="7"/>
  <c r="AM42" i="7"/>
  <c r="FF42" i="7"/>
  <c r="CG42" i="7"/>
  <c r="AY42" i="7"/>
  <c r="DY42" i="7"/>
  <c r="BL42" i="7"/>
  <c r="DI42" i="7"/>
  <c r="AV42" i="7"/>
  <c r="FR42" i="7"/>
  <c r="DE42" i="7"/>
  <c r="AR42" i="7"/>
  <c r="GT42" i="7"/>
  <c r="EG42" i="7"/>
  <c r="BT42" i="7"/>
  <c r="GP42" i="7"/>
  <c r="DZ42" i="7"/>
  <c r="CF42" i="7"/>
  <c r="AK42" i="7"/>
  <c r="CS42" i="7"/>
  <c r="AF42" i="7"/>
  <c r="FB42" i="7"/>
  <c r="CO42" i="7"/>
  <c r="AB42" i="7"/>
  <c r="GD42" i="7"/>
  <c r="DQ42" i="7"/>
  <c r="BD42" i="7"/>
  <c r="FZ42" i="7"/>
  <c r="DJ42" i="7"/>
  <c r="FH42" i="7"/>
  <c r="DM42" i="7"/>
  <c r="CC42" i="7"/>
  <c r="P42" i="7"/>
  <c r="EL42" i="7"/>
  <c r="BY42" i="7"/>
  <c r="BM42" i="7"/>
  <c r="GI42" i="7"/>
  <c r="DV42" i="7"/>
  <c r="BI42" i="7"/>
  <c r="GU42" i="7"/>
  <c r="EX42" i="7"/>
  <c r="CK42" i="7"/>
  <c r="X42" i="7"/>
  <c r="ET42" i="7"/>
  <c r="CD42" i="7"/>
  <c r="FG42" i="7"/>
  <c r="GO42" i="7"/>
  <c r="AW42" i="7"/>
  <c r="FS42" i="7"/>
  <c r="DF42" i="7"/>
  <c r="AS42" i="7"/>
  <c r="GE42" i="7"/>
  <c r="EH42" i="7"/>
  <c r="BU42" i="7"/>
  <c r="GQ42" i="7"/>
  <c r="ED42" i="7"/>
  <c r="BN42" i="7"/>
  <c r="BQ42" i="7"/>
  <c r="DL42" i="7"/>
  <c r="AG42" i="7"/>
  <c r="FC42" i="7"/>
  <c r="CP42" i="7"/>
  <c r="Q42" i="7"/>
  <c r="EM42" i="7"/>
  <c r="BZ42" i="7"/>
  <c r="M42" i="7"/>
  <c r="EY42" i="7"/>
  <c r="DB42" i="7"/>
  <c r="AO42" i="7"/>
  <c r="FK42" i="7"/>
  <c r="CX42" i="7"/>
  <c r="AH42" i="7"/>
  <c r="BP42" i="7"/>
  <c r="GM42" i="7"/>
  <c r="GJ42" i="7"/>
  <c r="DW42" i="7"/>
  <c r="BJ42" i="7"/>
  <c r="GF42" i="7"/>
  <c r="EI42" i="7"/>
  <c r="CL42" i="7"/>
  <c r="Y42" i="7"/>
  <c r="EU42" i="7"/>
  <c r="CH42" i="7"/>
  <c r="R42" i="7"/>
  <c r="ER42" i="7"/>
  <c r="CW42" i="7"/>
  <c r="FT42" i="7"/>
  <c r="DG42" i="7"/>
  <c r="AT42" i="7"/>
  <c r="FP42" i="7"/>
  <c r="DS42" i="7"/>
  <c r="BV42" i="7"/>
  <c r="GR42" i="7"/>
  <c r="EE42" i="7"/>
  <c r="BR42" i="7"/>
  <c r="FY42" i="7"/>
  <c r="BO42" i="7"/>
  <c r="GN42" i="7"/>
  <c r="J4" i="7"/>
  <c r="FD42" i="7"/>
  <c r="CQ42" i="7"/>
  <c r="AD42" i="7"/>
  <c r="EZ42" i="7"/>
  <c r="DC42" i="7"/>
  <c r="BF42" i="7"/>
  <c r="GB42" i="7"/>
  <c r="DO42" i="7"/>
  <c r="BB42" i="7"/>
  <c r="CV42" i="7"/>
  <c r="EQ42" i="7"/>
  <c r="DK42" i="7"/>
  <c r="J42" i="7"/>
  <c r="EN42" i="7"/>
  <c r="CA42" i="7"/>
  <c r="N42" i="7"/>
  <c r="EJ42" i="7"/>
  <c r="CM42" i="7"/>
  <c r="AP42" i="7"/>
  <c r="FL42" i="7"/>
  <c r="CY42" i="7"/>
  <c r="AL42" i="7"/>
  <c r="S42" i="7"/>
  <c r="BA42" i="7"/>
  <c r="U42" i="7"/>
  <c r="GK42" i="7"/>
  <c r="DX42" i="7"/>
  <c r="BK42" i="7"/>
  <c r="GG42" i="7"/>
  <c r="DT42" i="7"/>
  <c r="BW42" i="7"/>
  <c r="Z42" i="7"/>
  <c r="EV42" i="7"/>
  <c r="CI42" i="7"/>
  <c r="V42" i="7"/>
  <c r="FX42" i="7"/>
  <c r="EC42" i="7"/>
  <c r="T42" i="7"/>
  <c r="FN42" i="7"/>
  <c r="CT42" i="7"/>
  <c r="DR42" i="7"/>
  <c r="AX42" i="7"/>
  <c r="GC42" i="7"/>
  <c r="FW42" i="7"/>
  <c r="EW42" i="7"/>
  <c r="FI42" i="7"/>
  <c r="DA42" i="7"/>
  <c r="CE42" i="7"/>
  <c r="BE42" i="7"/>
  <c r="ES42" i="7"/>
  <c r="DP42" i="7"/>
  <c r="EB42" i="7"/>
  <c r="CJ42" i="7"/>
  <c r="EA42" i="7"/>
  <c r="GH42" i="7"/>
  <c r="AN42" i="7"/>
  <c r="AJ42" i="7"/>
  <c r="DU42" i="7"/>
  <c r="GA42" i="7"/>
  <c r="AI42" i="7"/>
  <c r="AC42" i="7"/>
  <c r="BC42" i="7"/>
  <c r="BH42" i="7"/>
  <c r="W42" i="7"/>
  <c r="L42" i="7"/>
  <c r="FJ42" i="7"/>
  <c r="FO42" i="7"/>
  <c r="DN42" i="7"/>
  <c r="K42" i="7"/>
  <c r="EP42" i="7"/>
  <c r="AQ42" i="7"/>
  <c r="FV42" i="7"/>
  <c r="BQ4" i="7"/>
  <c r="FI4" i="7"/>
  <c r="BR4" i="7"/>
  <c r="FJ4" i="7"/>
  <c r="BM4" i="7"/>
  <c r="FE4" i="7"/>
  <c r="BH4" i="7"/>
  <c r="EZ4" i="7"/>
  <c r="BI4" i="7"/>
  <c r="FA4" i="7"/>
  <c r="BJ4" i="7"/>
  <c r="FB4" i="7"/>
  <c r="BW4" i="7"/>
  <c r="FO4" i="7"/>
  <c r="BX4" i="7"/>
  <c r="FP4" i="7"/>
  <c r="BS4" i="7"/>
  <c r="FK4" i="7"/>
  <c r="BN4" i="7"/>
  <c r="FF4" i="7"/>
  <c r="BO4" i="7"/>
  <c r="FG4" i="7"/>
  <c r="BP4" i="7"/>
  <c r="FH4" i="7"/>
  <c r="CC4" i="7"/>
  <c r="FU4" i="7"/>
  <c r="CD4" i="7"/>
  <c r="FV4" i="7"/>
  <c r="BY4" i="7"/>
  <c r="FQ4" i="7"/>
  <c r="BT4" i="7"/>
  <c r="FL4" i="7"/>
  <c r="BU4" i="7"/>
  <c r="FM4" i="7"/>
  <c r="BV4" i="7"/>
  <c r="FN4" i="7"/>
  <c r="CI4" i="7"/>
  <c r="GA4" i="7"/>
  <c r="CJ4" i="7"/>
  <c r="GB4" i="7"/>
  <c r="CE4" i="7"/>
  <c r="FW4" i="7"/>
  <c r="BZ4" i="7"/>
  <c r="FR4" i="7"/>
  <c r="CA4" i="7"/>
  <c r="CO4" i="7"/>
  <c r="GG4" i="7"/>
  <c r="CP4" i="7"/>
  <c r="GH4" i="7"/>
  <c r="CK4" i="7"/>
  <c r="GC4" i="7"/>
  <c r="CF4" i="7"/>
  <c r="FX4" i="7"/>
  <c r="CG4" i="7"/>
  <c r="FY4" i="7"/>
  <c r="CH4" i="7"/>
  <c r="FZ4" i="7"/>
  <c r="CU4" i="7"/>
  <c r="GM4" i="7"/>
  <c r="CV4" i="7"/>
  <c r="GN4" i="7"/>
  <c r="CQ4" i="7"/>
  <c r="GI4" i="7"/>
  <c r="CL4" i="7"/>
  <c r="GD4" i="7"/>
  <c r="CM4" i="7"/>
  <c r="GE4" i="7"/>
  <c r="CN4" i="7"/>
  <c r="GF4" i="7"/>
  <c r="DA4" i="7"/>
  <c r="GS4" i="7"/>
  <c r="DB4" i="7"/>
  <c r="GT4" i="7"/>
  <c r="CW4" i="7"/>
  <c r="GO4" i="7"/>
  <c r="CR4" i="7"/>
  <c r="GJ4" i="7"/>
  <c r="CS4" i="7"/>
  <c r="GK4" i="7"/>
  <c r="CT4" i="7"/>
  <c r="GL4" i="7"/>
  <c r="O4" i="7"/>
  <c r="DG4" i="7"/>
  <c r="P4" i="7"/>
  <c r="DH4" i="7"/>
  <c r="K4" i="7"/>
  <c r="DC4" i="7"/>
  <c r="GU4" i="7"/>
  <c r="CX4" i="7"/>
  <c r="GP4" i="7"/>
  <c r="CY4" i="7"/>
  <c r="GQ4" i="7"/>
  <c r="CZ4" i="7"/>
  <c r="GR4" i="7"/>
  <c r="U4" i="7"/>
  <c r="DM4" i="7"/>
  <c r="V4" i="7"/>
  <c r="DN4" i="7"/>
  <c r="Q4" i="7"/>
  <c r="DI4" i="7"/>
  <c r="L4" i="7"/>
  <c r="AA4" i="7"/>
  <c r="DS4" i="7"/>
  <c r="AB4" i="7"/>
  <c r="DT4" i="7"/>
  <c r="W4" i="7"/>
  <c r="DO4" i="7"/>
  <c r="R4" i="7"/>
  <c r="DJ4" i="7"/>
  <c r="S4" i="7"/>
  <c r="DK4" i="7"/>
  <c r="T4" i="7"/>
  <c r="DL4" i="7"/>
  <c r="AG4" i="7"/>
  <c r="DY4" i="7"/>
  <c r="AH4" i="7"/>
  <c r="DZ4" i="7"/>
  <c r="AC4" i="7"/>
  <c r="DU4" i="7"/>
  <c r="X4" i="7"/>
  <c r="DP4" i="7"/>
  <c r="Y4" i="7"/>
  <c r="DQ4" i="7"/>
  <c r="Z4" i="7"/>
  <c r="DR4" i="7"/>
  <c r="AM4" i="7"/>
  <c r="EE4" i="7"/>
  <c r="AN4" i="7"/>
  <c r="EF4" i="7"/>
  <c r="AI4" i="7"/>
  <c r="EA4" i="7"/>
  <c r="AD4" i="7"/>
  <c r="DV4" i="7"/>
  <c r="AE4" i="7"/>
  <c r="DW4" i="7"/>
  <c r="AF4" i="7"/>
  <c r="DX4" i="7"/>
  <c r="AS4" i="7"/>
  <c r="EK4" i="7"/>
  <c r="AT4" i="7"/>
  <c r="EL4" i="7"/>
  <c r="AO4" i="7"/>
  <c r="EG4" i="7"/>
  <c r="AJ4" i="7"/>
  <c r="EB4" i="7"/>
  <c r="AK4" i="7"/>
  <c r="EC4" i="7"/>
  <c r="AL4" i="7"/>
  <c r="ED4" i="7"/>
  <c r="AY4" i="7"/>
  <c r="EQ4" i="7"/>
  <c r="AZ4" i="7"/>
  <c r="ER4" i="7"/>
  <c r="AU4" i="7"/>
  <c r="EM4" i="7"/>
  <c r="AP4" i="7"/>
  <c r="EH4" i="7"/>
  <c r="AQ4" i="7"/>
  <c r="EI4" i="7"/>
  <c r="AR4" i="7"/>
  <c r="EJ4" i="7"/>
  <c r="BE4" i="7"/>
  <c r="EW4" i="7"/>
  <c r="BF4" i="7"/>
  <c r="EX4" i="7"/>
  <c r="BA4" i="7"/>
  <c r="ES4" i="7"/>
  <c r="AV4" i="7"/>
  <c r="EN4" i="7"/>
  <c r="AW4" i="7"/>
  <c r="EO4" i="7"/>
  <c r="AX4" i="7"/>
  <c r="EP4" i="7"/>
  <c r="BK4" i="7"/>
  <c r="FC4" i="7"/>
  <c r="BL4" i="7"/>
  <c r="FD4" i="7"/>
  <c r="BG4" i="7"/>
  <c r="EY4" i="7"/>
  <c r="BB4" i="7"/>
  <c r="ET4" i="7"/>
  <c r="BC4" i="7"/>
  <c r="EU4" i="7"/>
  <c r="BD4" i="7"/>
  <c r="EV4" i="7"/>
  <c r="DD4" i="7"/>
  <c r="M4" i="7"/>
  <c r="DE4" i="7"/>
  <c r="FS4" i="7"/>
  <c r="N4" i="7"/>
  <c r="CB4" i="7"/>
  <c r="DF4" i="7"/>
  <c r="FT4" i="7"/>
  <c r="H61" i="7"/>
  <c r="H23" i="7"/>
  <c r="DI61" i="7"/>
  <c r="CA61" i="7"/>
  <c r="AS61" i="7"/>
  <c r="K61" i="7"/>
  <c r="CJ61" i="7"/>
  <c r="CV61" i="7"/>
  <c r="BC61" i="7"/>
  <c r="CS61" i="7"/>
  <c r="BK61" i="7"/>
  <c r="AC61" i="7"/>
  <c r="DB61" i="7"/>
  <c r="BT61" i="7"/>
  <c r="AJ61" i="7"/>
  <c r="BB61" i="7"/>
  <c r="CC61" i="7"/>
  <c r="AU61" i="7"/>
  <c r="M61" i="7"/>
  <c r="CL61" i="7"/>
  <c r="BD61" i="7"/>
  <c r="CU61" i="7"/>
  <c r="AZ61" i="7"/>
  <c r="BM61" i="7"/>
  <c r="AE61" i="7"/>
  <c r="DD61" i="7"/>
  <c r="BV61" i="7"/>
  <c r="AN61" i="7"/>
  <c r="AI61" i="7"/>
  <c r="AY61" i="7"/>
  <c r="AW61" i="7"/>
  <c r="O61" i="7"/>
  <c r="CN61" i="7"/>
  <c r="BF61" i="7"/>
  <c r="X61" i="7"/>
  <c r="CI61" i="7"/>
  <c r="DN61" i="7"/>
  <c r="AG61" i="7"/>
  <c r="DF61" i="7"/>
  <c r="BX61" i="7"/>
  <c r="AP61" i="7"/>
  <c r="DM61" i="7"/>
  <c r="W61" i="7"/>
  <c r="DL61" i="7"/>
  <c r="Q61" i="7"/>
  <c r="CP61" i="7"/>
  <c r="BH61" i="7"/>
  <c r="Z61" i="7"/>
  <c r="CW61" i="7"/>
  <c r="CH61" i="7"/>
  <c r="DK61" i="7"/>
  <c r="DH61" i="7"/>
  <c r="BZ61" i="7"/>
  <c r="AR61" i="7"/>
  <c r="J61" i="7"/>
  <c r="CG61" i="7"/>
  <c r="V61" i="7"/>
  <c r="CR61" i="7"/>
  <c r="BJ61" i="7"/>
  <c r="AB61" i="7"/>
  <c r="DA61" i="7"/>
  <c r="BQ61" i="7"/>
  <c r="CF61" i="7"/>
  <c r="DJ61" i="7"/>
  <c r="CB61" i="7"/>
  <c r="AT61" i="7"/>
  <c r="L61" i="7"/>
  <c r="CK61" i="7"/>
  <c r="BA61" i="7"/>
  <c r="T61" i="7"/>
  <c r="CT61" i="7"/>
  <c r="BL61" i="7"/>
  <c r="AD61" i="7"/>
  <c r="DC61" i="7"/>
  <c r="BU61" i="7"/>
  <c r="AK61" i="7"/>
  <c r="CE61" i="7"/>
  <c r="CD61" i="7"/>
  <c r="AV61" i="7"/>
  <c r="N61" i="7"/>
  <c r="CM61" i="7"/>
  <c r="BE61" i="7"/>
  <c r="U61" i="7"/>
  <c r="S61" i="7"/>
  <c r="BN61" i="7"/>
  <c r="AF61" i="7"/>
  <c r="DE61" i="7"/>
  <c r="BW61" i="7"/>
  <c r="AO61" i="7"/>
  <c r="CY61" i="7"/>
  <c r="BS61" i="7"/>
  <c r="AX61" i="7"/>
  <c r="P61" i="7"/>
  <c r="CO61" i="7"/>
  <c r="BG61" i="7"/>
  <c r="Y61" i="7"/>
  <c r="AM61" i="7"/>
  <c r="BR61" i="7"/>
  <c r="AH61" i="7"/>
  <c r="DG61" i="7"/>
  <c r="BY61" i="7"/>
  <c r="AQ61" i="7"/>
  <c r="I61" i="7"/>
  <c r="CX61" i="7"/>
  <c r="BP61" i="7"/>
  <c r="R61" i="7"/>
  <c r="CQ61" i="7"/>
  <c r="BI61" i="7"/>
  <c r="AA61" i="7"/>
  <c r="CZ61" i="7"/>
  <c r="AL61" i="7"/>
  <c r="BO61" i="7"/>
  <c r="GE61" i="7"/>
  <c r="DQ61" i="7"/>
  <c r="ET61" i="7"/>
  <c r="EA61" i="7"/>
  <c r="GI61" i="7"/>
  <c r="FO61" i="7"/>
  <c r="GR61" i="7"/>
  <c r="ED61" i="7"/>
  <c r="GL61" i="7"/>
  <c r="FS61" i="7"/>
  <c r="EY61" i="7"/>
  <c r="GB61" i="7"/>
  <c r="GO61" i="7"/>
  <c r="FV61" i="7"/>
  <c r="FC61" i="7"/>
  <c r="EI61" i="7"/>
  <c r="FL61" i="7"/>
  <c r="FY61" i="7"/>
  <c r="FF61" i="7"/>
  <c r="EM61" i="7"/>
  <c r="DS61" i="7"/>
  <c r="EV61" i="7"/>
  <c r="FI61" i="7"/>
  <c r="EP61" i="7"/>
  <c r="DW61" i="7"/>
  <c r="GG61" i="7"/>
  <c r="GT61" i="7"/>
  <c r="EF61" i="7"/>
  <c r="ES61" i="7"/>
  <c r="DZ61" i="7"/>
  <c r="GH61" i="7"/>
  <c r="FQ61" i="7"/>
  <c r="GD61" i="7"/>
  <c r="DP61" i="7"/>
  <c r="EC61" i="7"/>
  <c r="GK61" i="7"/>
  <c r="FR61" i="7"/>
  <c r="FA61" i="7"/>
  <c r="FN61" i="7"/>
  <c r="GQ61" i="7"/>
  <c r="GN61" i="7"/>
  <c r="FU61" i="7"/>
  <c r="FB61" i="7"/>
  <c r="EK61" i="7"/>
  <c r="EX61" i="7"/>
  <c r="GA61" i="7"/>
  <c r="FX61" i="7"/>
  <c r="FE61" i="7"/>
  <c r="EL61" i="7"/>
  <c r="DU61" i="7"/>
  <c r="EH61" i="7"/>
  <c r="FK61" i="7"/>
  <c r="FH61" i="7"/>
  <c r="EO61" i="7"/>
  <c r="DV61" i="7"/>
  <c r="GF61" i="7"/>
  <c r="DR61" i="7"/>
  <c r="EU61" i="7"/>
  <c r="ER61" i="7"/>
  <c r="DY61" i="7"/>
  <c r="FP61" i="7"/>
  <c r="GS61" i="7"/>
  <c r="EE61" i="7"/>
  <c r="EB61" i="7"/>
  <c r="GJ61" i="7"/>
  <c r="EZ61" i="7"/>
  <c r="GC61" i="7"/>
  <c r="DO61" i="7"/>
  <c r="GM61" i="7"/>
  <c r="FT61" i="7"/>
  <c r="EJ61" i="7"/>
  <c r="FM61" i="7"/>
  <c r="GP61" i="7"/>
  <c r="FW61" i="7"/>
  <c r="FD61" i="7"/>
  <c r="GU61" i="7"/>
  <c r="EG61" i="7"/>
  <c r="FJ61" i="7"/>
  <c r="EQ61" i="7"/>
  <c r="DX61" i="7"/>
  <c r="FG61" i="7"/>
  <c r="EN61" i="7"/>
  <c r="DT61" i="7"/>
  <c r="EW61" i="7"/>
  <c r="FZ61" i="7"/>
  <c r="U23" i="7"/>
  <c r="J23" i="7"/>
  <c r="P23" i="7"/>
  <c r="V23" i="7"/>
  <c r="W23" i="7"/>
  <c r="K23" i="7"/>
  <c r="L23" i="7"/>
  <c r="Q23" i="7"/>
  <c r="R23" i="7"/>
  <c r="X23" i="7"/>
  <c r="M23" i="7"/>
  <c r="S23" i="7"/>
  <c r="Y23" i="7"/>
  <c r="N23" i="7"/>
  <c r="T23" i="7"/>
  <c r="I23" i="7"/>
  <c r="O23" i="7"/>
  <c r="CE23" i="7"/>
  <c r="FW23" i="7"/>
  <c r="CR23" i="7"/>
  <c r="GJ23" i="7"/>
  <c r="DK23" i="7"/>
  <c r="AF23" i="7"/>
  <c r="DX23" i="7"/>
  <c r="AS23" i="7"/>
  <c r="EK23" i="7"/>
  <c r="BF23" i="7"/>
  <c r="EX23" i="7"/>
  <c r="CK23" i="7"/>
  <c r="GC23" i="7"/>
  <c r="CX23" i="7"/>
  <c r="GP23" i="7"/>
  <c r="DQ23" i="7"/>
  <c r="AL23" i="7"/>
  <c r="ED23" i="7"/>
  <c r="AY23" i="7"/>
  <c r="EQ23" i="7"/>
  <c r="BL23" i="7"/>
  <c r="FD23" i="7"/>
  <c r="CQ23" i="7"/>
  <c r="GI23" i="7"/>
  <c r="DD23" i="7"/>
  <c r="AE23" i="7"/>
  <c r="DW23" i="7"/>
  <c r="AR23" i="7"/>
  <c r="EJ23" i="7"/>
  <c r="BE23" i="7"/>
  <c r="EW23" i="7"/>
  <c r="BR23" i="7"/>
  <c r="FJ23" i="7"/>
  <c r="CW23" i="7"/>
  <c r="GO23" i="7"/>
  <c r="DJ23" i="7"/>
  <c r="AK23" i="7"/>
  <c r="EC23" i="7"/>
  <c r="AX23" i="7"/>
  <c r="EP23" i="7"/>
  <c r="BK23" i="7"/>
  <c r="FC23" i="7"/>
  <c r="BX23" i="7"/>
  <c r="FP23" i="7"/>
  <c r="DC23" i="7"/>
  <c r="GU23" i="7"/>
  <c r="DP23" i="7"/>
  <c r="AQ23" i="7"/>
  <c r="EI23" i="7"/>
  <c r="BD23" i="7"/>
  <c r="EV23" i="7"/>
  <c r="BQ23" i="7"/>
  <c r="FI23" i="7"/>
  <c r="CD23" i="7"/>
  <c r="FV23" i="7"/>
  <c r="DI23" i="7"/>
  <c r="AD23" i="7"/>
  <c r="DV23" i="7"/>
  <c r="AW23" i="7"/>
  <c r="EO23" i="7"/>
  <c r="BJ23" i="7"/>
  <c r="FB23" i="7"/>
  <c r="BW23" i="7"/>
  <c r="FO23" i="7"/>
  <c r="CJ23" i="7"/>
  <c r="GB23" i="7"/>
  <c r="DO23" i="7"/>
  <c r="AJ23" i="7"/>
  <c r="EB23" i="7"/>
  <c r="BC23" i="7"/>
  <c r="EU23" i="7"/>
  <c r="BP23" i="7"/>
  <c r="FH23" i="7"/>
  <c r="CC23" i="7"/>
  <c r="FU23" i="7"/>
  <c r="CP23" i="7"/>
  <c r="GH23" i="7"/>
  <c r="AC23" i="7"/>
  <c r="DU23" i="7"/>
  <c r="AP23" i="7"/>
  <c r="EH23" i="7"/>
  <c r="BI23" i="7"/>
  <c r="FA23" i="7"/>
  <c r="BV23" i="7"/>
  <c r="FN23" i="7"/>
  <c r="CI23" i="7"/>
  <c r="GA23" i="7"/>
  <c r="CV23" i="7"/>
  <c r="GN23" i="7"/>
  <c r="AI23" i="7"/>
  <c r="EA23" i="7"/>
  <c r="AV23" i="7"/>
  <c r="EN23" i="7"/>
  <c r="BO23" i="7"/>
  <c r="FG23" i="7"/>
  <c r="CB23" i="7"/>
  <c r="FT23" i="7"/>
  <c r="CO23" i="7"/>
  <c r="GG23" i="7"/>
  <c r="DB23" i="7"/>
  <c r="GT23" i="7"/>
  <c r="AO23" i="7"/>
  <c r="EG23" i="7"/>
  <c r="BB23" i="7"/>
  <c r="ET23" i="7"/>
  <c r="BU23" i="7"/>
  <c r="FM23" i="7"/>
  <c r="CH23" i="7"/>
  <c r="FZ23" i="7"/>
  <c r="CU23" i="7"/>
  <c r="GM23" i="7"/>
  <c r="DH23" i="7"/>
  <c r="AU23" i="7"/>
  <c r="EM23" i="7"/>
  <c r="BH23" i="7"/>
  <c r="EZ23" i="7"/>
  <c r="CA23" i="7"/>
  <c r="FS23" i="7"/>
  <c r="CN23" i="7"/>
  <c r="GF23" i="7"/>
  <c r="DA23" i="7"/>
  <c r="GS23" i="7"/>
  <c r="DN23" i="7"/>
  <c r="BA23" i="7"/>
  <c r="ES23" i="7"/>
  <c r="BN23" i="7"/>
  <c r="FF23" i="7"/>
  <c r="CG23" i="7"/>
  <c r="FY23" i="7"/>
  <c r="CT23" i="7"/>
  <c r="GL23" i="7"/>
  <c r="DG23" i="7"/>
  <c r="AB23" i="7"/>
  <c r="DT23" i="7"/>
  <c r="BG23" i="7"/>
  <c r="EY23" i="7"/>
  <c r="BT23" i="7"/>
  <c r="FL23" i="7"/>
  <c r="CM23" i="7"/>
  <c r="GE23" i="7"/>
  <c r="CZ23" i="7"/>
  <c r="GR23" i="7"/>
  <c r="DM23" i="7"/>
  <c r="AH23" i="7"/>
  <c r="DZ23" i="7"/>
  <c r="BM23" i="7"/>
  <c r="FE23" i="7"/>
  <c r="BZ23" i="7"/>
  <c r="FR23" i="7"/>
  <c r="CS23" i="7"/>
  <c r="GK23" i="7"/>
  <c r="DF23" i="7"/>
  <c r="AA23" i="7"/>
  <c r="DS23" i="7"/>
  <c r="AN23" i="7"/>
  <c r="EF23" i="7"/>
  <c r="BS23" i="7"/>
  <c r="FK23" i="7"/>
  <c r="CF23" i="7"/>
  <c r="FX23" i="7"/>
  <c r="CY23" i="7"/>
  <c r="GQ23" i="7"/>
  <c r="DL23" i="7"/>
  <c r="AG23" i="7"/>
  <c r="DY23" i="7"/>
  <c r="AT23" i="7"/>
  <c r="EL23" i="7"/>
  <c r="BY23" i="7"/>
  <c r="FQ23" i="7"/>
  <c r="CL23" i="7"/>
  <c r="GD23" i="7"/>
  <c r="DE23" i="7"/>
  <c r="Z23" i="7"/>
  <c r="DR23" i="7"/>
  <c r="AM23" i="7"/>
  <c r="EE23" i="7"/>
  <c r="AZ23" i="7"/>
  <c r="ER23" i="7"/>
  <c r="J8" i="7"/>
  <c r="J41" i="7"/>
  <c r="L41" i="7"/>
  <c r="K41" i="7"/>
  <c r="AO41" i="7"/>
  <c r="FK41" i="7"/>
  <c r="CX41" i="7"/>
  <c r="AK41" i="7"/>
  <c r="FG41" i="7"/>
  <c r="AG41" i="7"/>
  <c r="DG41" i="7"/>
  <c r="EX41" i="7"/>
  <c r="CM41" i="7"/>
  <c r="DT41" i="7"/>
  <c r="AI41" i="7"/>
  <c r="DB41" i="7"/>
  <c r="Y41" i="7"/>
  <c r="EU41" i="7"/>
  <c r="CH41" i="7"/>
  <c r="U41" i="7"/>
  <c r="EQ41" i="7"/>
  <c r="Q41" i="7"/>
  <c r="CQ41" i="7"/>
  <c r="EH41" i="7"/>
  <c r="AV41" i="7"/>
  <c r="BY41" i="7"/>
  <c r="FQ41" i="7"/>
  <c r="BH41" i="7"/>
  <c r="GR41" i="7"/>
  <c r="EE41" i="7"/>
  <c r="BR41" i="7"/>
  <c r="GN41" i="7"/>
  <c r="GL41" i="7"/>
  <c r="GJ41" i="7"/>
  <c r="CA41" i="7"/>
  <c r="DR41" i="7"/>
  <c r="S41" i="7"/>
  <c r="AR41" i="7"/>
  <c r="DE41" i="7"/>
  <c r="AD41" i="7"/>
  <c r="GB41" i="7"/>
  <c r="DO41" i="7"/>
  <c r="BB41" i="7"/>
  <c r="FX41" i="7"/>
  <c r="FV41" i="7"/>
  <c r="FT41" i="7"/>
  <c r="BK41" i="7"/>
  <c r="EY41" i="7"/>
  <c r="EA41" i="7"/>
  <c r="N41" i="7"/>
  <c r="BO41" i="7"/>
  <c r="CU41" i="7"/>
  <c r="FL41" i="7"/>
  <c r="CY41" i="7"/>
  <c r="AL41" i="7"/>
  <c r="FH41" i="7"/>
  <c r="FF41" i="7"/>
  <c r="FD41" i="7"/>
  <c r="GH41" i="7"/>
  <c r="CT41" i="7"/>
  <c r="CL41" i="7"/>
  <c r="GG41" i="7"/>
  <c r="AH41" i="7"/>
  <c r="AC41" i="7"/>
  <c r="EV41" i="7"/>
  <c r="CI41" i="7"/>
  <c r="V41" i="7"/>
  <c r="ER41" i="7"/>
  <c r="EP41" i="7"/>
  <c r="EN41" i="7"/>
  <c r="FR41" i="7"/>
  <c r="BF41" i="7"/>
  <c r="AU41" i="7"/>
  <c r="DS41" i="7"/>
  <c r="FP41" i="7"/>
  <c r="GS41" i="7"/>
  <c r="EF41" i="7"/>
  <c r="BS41" i="7"/>
  <c r="GO41" i="7"/>
  <c r="EB41" i="7"/>
  <c r="GK41" i="7"/>
  <c r="DX41" i="7"/>
  <c r="FB41" i="7"/>
  <c r="AB41" i="7"/>
  <c r="R41" i="7"/>
  <c r="BX41" i="7"/>
  <c r="DD41" i="7"/>
  <c r="GC41" i="7"/>
  <c r="DP41" i="7"/>
  <c r="BC41" i="7"/>
  <c r="FY41" i="7"/>
  <c r="DL41" i="7"/>
  <c r="FU41" i="7"/>
  <c r="DH41" i="7"/>
  <c r="EL41" i="7"/>
  <c r="EK41" i="7"/>
  <c r="DZ41" i="7"/>
  <c r="AQ41" i="7"/>
  <c r="BN41" i="7"/>
  <c r="FM41" i="7"/>
  <c r="CZ41" i="7"/>
  <c r="AM41" i="7"/>
  <c r="FI41" i="7"/>
  <c r="CV41" i="7"/>
  <c r="FE41" i="7"/>
  <c r="CR41" i="7"/>
  <c r="DV41" i="7"/>
  <c r="CO41" i="7"/>
  <c r="CE41" i="7"/>
  <c r="M41" i="7"/>
  <c r="AF41" i="7"/>
  <c r="EW41" i="7"/>
  <c r="CJ41" i="7"/>
  <c r="W41" i="7"/>
  <c r="ES41" i="7"/>
  <c r="CF41" i="7"/>
  <c r="EO41" i="7"/>
  <c r="CB41" i="7"/>
  <c r="DF41" i="7"/>
  <c r="AY41" i="7"/>
  <c r="AT41" i="7"/>
  <c r="GF41" i="7"/>
  <c r="FO41" i="7"/>
  <c r="EG41" i="7"/>
  <c r="BT41" i="7"/>
  <c r="GP41" i="7"/>
  <c r="EC41" i="7"/>
  <c r="BP41" i="7"/>
  <c r="DY41" i="7"/>
  <c r="BL41" i="7"/>
  <c r="CP41" i="7"/>
  <c r="AA41" i="7"/>
  <c r="P41" i="7"/>
  <c r="DK41" i="7"/>
  <c r="DC41" i="7"/>
  <c r="K8" i="7"/>
  <c r="DQ41" i="7"/>
  <c r="BD41" i="7"/>
  <c r="FZ41" i="7"/>
  <c r="DM41" i="7"/>
  <c r="AZ41" i="7"/>
  <c r="DI41" i="7"/>
  <c r="GI41" i="7"/>
  <c r="BZ41" i="7"/>
  <c r="EJ41" i="7"/>
  <c r="DU41" i="7"/>
  <c r="BW41" i="7"/>
  <c r="BI41" i="7"/>
  <c r="AS8" i="7"/>
  <c r="DA41" i="7"/>
  <c r="AN41" i="7"/>
  <c r="FJ41" i="7"/>
  <c r="CW41" i="7"/>
  <c r="AJ41" i="7"/>
  <c r="CS41" i="7"/>
  <c r="FS41" i="7"/>
  <c r="BJ41" i="7"/>
  <c r="CN41" i="7"/>
  <c r="CD41" i="7"/>
  <c r="AP41" i="7"/>
  <c r="AE41" i="7"/>
  <c r="L8" i="7"/>
  <c r="CK41" i="7"/>
  <c r="X41" i="7"/>
  <c r="ET41" i="7"/>
  <c r="CG41" i="7"/>
  <c r="T41" i="7"/>
  <c r="CC41" i="7"/>
  <c r="FC41" i="7"/>
  <c r="GT41" i="7"/>
  <c r="AX41" i="7"/>
  <c r="AS41" i="7"/>
  <c r="GE41" i="7"/>
  <c r="EZ41" i="7"/>
  <c r="BE41" i="7"/>
  <c r="GA41" i="7"/>
  <c r="DN41" i="7"/>
  <c r="BA41" i="7"/>
  <c r="FW41" i="7"/>
  <c r="AW41" i="7"/>
  <c r="DW41" i="7"/>
  <c r="FN41" i="7"/>
  <c r="EI41" i="7"/>
  <c r="GU41" i="7"/>
  <c r="BV41" i="7"/>
  <c r="FA41" i="7"/>
  <c r="BU41" i="7"/>
  <c r="GQ41" i="7"/>
  <c r="ED41" i="7"/>
  <c r="BQ41" i="7"/>
  <c r="GM41" i="7"/>
  <c r="BM41" i="7"/>
  <c r="EM41" i="7"/>
  <c r="GD41" i="7"/>
  <c r="Z41" i="7"/>
  <c r="O41" i="7"/>
  <c r="DJ41" i="7"/>
  <c r="BG41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52" i="7"/>
  <c r="H52" i="7"/>
  <c r="H14" i="7"/>
  <c r="I14" i="7"/>
  <c r="FR52" i="7"/>
  <c r="EJ52" i="7"/>
  <c r="GT52" i="7"/>
  <c r="DQ52" i="7"/>
  <c r="EU52" i="7"/>
  <c r="BR52" i="7"/>
  <c r="GN52" i="7"/>
  <c r="DJ52" i="7"/>
  <c r="BJ52" i="7"/>
  <c r="AE52" i="7"/>
  <c r="EN52" i="7"/>
  <c r="EA52" i="7"/>
  <c r="FB52" i="7"/>
  <c r="DT52" i="7"/>
  <c r="GD52" i="7"/>
  <c r="DA52" i="7"/>
  <c r="EE52" i="7"/>
  <c r="BB52" i="7"/>
  <c r="FX52" i="7"/>
  <c r="BM52" i="7"/>
  <c r="AH52" i="7"/>
  <c r="M52" i="7"/>
  <c r="CB52" i="7"/>
  <c r="DX52" i="7"/>
  <c r="EL52" i="7"/>
  <c r="DD52" i="7"/>
  <c r="FN52" i="7"/>
  <c r="CK52" i="7"/>
  <c r="DO52" i="7"/>
  <c r="AL52" i="7"/>
  <c r="FH52" i="7"/>
  <c r="AN52" i="7"/>
  <c r="P52" i="7"/>
  <c r="EQ52" i="7"/>
  <c r="AU52" i="7"/>
  <c r="BZ52" i="7"/>
  <c r="DV52" i="7"/>
  <c r="CN52" i="7"/>
  <c r="EX52" i="7"/>
  <c r="GR52" i="7"/>
  <c r="CY52" i="7"/>
  <c r="V52" i="7"/>
  <c r="ER52" i="7"/>
  <c r="S52" i="7"/>
  <c r="FF52" i="7"/>
  <c r="CE52" i="7"/>
  <c r="AA52" i="7"/>
  <c r="BO52" i="7"/>
  <c r="DF52" i="7"/>
  <c r="BX52" i="7"/>
  <c r="EH52" i="7"/>
  <c r="GB52" i="7"/>
  <c r="CI52" i="7"/>
  <c r="GO52" i="7"/>
  <c r="EB52" i="7"/>
  <c r="FU52" i="7"/>
  <c r="CT52" i="7"/>
  <c r="AX52" i="7"/>
  <c r="GL52" i="7"/>
  <c r="W52" i="7"/>
  <c r="CP52" i="7"/>
  <c r="BH52" i="7"/>
  <c r="DR52" i="7"/>
  <c r="FL52" i="7"/>
  <c r="BS52" i="7"/>
  <c r="FY52" i="7"/>
  <c r="DL52" i="7"/>
  <c r="DI52" i="7"/>
  <c r="BI52" i="7"/>
  <c r="AD52" i="7"/>
  <c r="DZ52" i="7"/>
  <c r="AT52" i="7"/>
  <c r="GG52" i="7"/>
  <c r="GU52" i="7"/>
  <c r="DB52" i="7"/>
  <c r="EV52" i="7"/>
  <c r="BC52" i="7"/>
  <c r="FI52" i="7"/>
  <c r="CV52" i="7"/>
  <c r="BL52" i="7"/>
  <c r="AG52" i="7"/>
  <c r="L52" i="7"/>
  <c r="BY52" i="7"/>
  <c r="AQ52" i="7"/>
  <c r="GI52" i="7"/>
  <c r="FQ52" i="7"/>
  <c r="GE52" i="7"/>
  <c r="CL52" i="7"/>
  <c r="EF52" i="7"/>
  <c r="AM52" i="7"/>
  <c r="ES52" i="7"/>
  <c r="CF52" i="7"/>
  <c r="AJ52" i="7"/>
  <c r="O52" i="7"/>
  <c r="EP52" i="7"/>
  <c r="AS52" i="7"/>
  <c r="Z52" i="7"/>
  <c r="FS52" i="7"/>
  <c r="FA52" i="7"/>
  <c r="FO52" i="7"/>
  <c r="BV52" i="7"/>
  <c r="DP52" i="7"/>
  <c r="GP52" i="7"/>
  <c r="EC52" i="7"/>
  <c r="BP52" i="7"/>
  <c r="R52" i="7"/>
  <c r="FE52" i="7"/>
  <c r="CD52" i="7"/>
  <c r="Y52" i="7"/>
  <c r="FC52" i="7"/>
  <c r="EK52" i="7"/>
  <c r="EY52" i="7"/>
  <c r="BF52" i="7"/>
  <c r="CZ52" i="7"/>
  <c r="FZ52" i="7"/>
  <c r="DM52" i="7"/>
  <c r="AZ52" i="7"/>
  <c r="FT52" i="7"/>
  <c r="CS52" i="7"/>
  <c r="AW52" i="7"/>
  <c r="GK52" i="7"/>
  <c r="EM52" i="7"/>
  <c r="DU52" i="7"/>
  <c r="EI52" i="7"/>
  <c r="AP52" i="7"/>
  <c r="CJ52" i="7"/>
  <c r="FJ52" i="7"/>
  <c r="CW52" i="7"/>
  <c r="FW52" i="7"/>
  <c r="DH52" i="7"/>
  <c r="BE52" i="7"/>
  <c r="AC52" i="7"/>
  <c r="DY52" i="7"/>
  <c r="DW52" i="7"/>
  <c r="DE52" i="7"/>
  <c r="DS52" i="7"/>
  <c r="GS52" i="7"/>
  <c r="BT52" i="7"/>
  <c r="ET52" i="7"/>
  <c r="CG52" i="7"/>
  <c r="DK52" i="7"/>
  <c r="BK52" i="7"/>
  <c r="AF52" i="7"/>
  <c r="K52" i="7"/>
  <c r="BU52" i="7"/>
  <c r="DG52" i="7"/>
  <c r="CO52" i="7"/>
  <c r="DC52" i="7"/>
  <c r="GC52" i="7"/>
  <c r="BD52" i="7"/>
  <c r="ED52" i="7"/>
  <c r="BQ52" i="7"/>
  <c r="BN52" i="7"/>
  <c r="AI52" i="7"/>
  <c r="N52" i="7"/>
  <c r="EO52" i="7"/>
  <c r="AR52" i="7"/>
  <c r="CQ52" i="7"/>
  <c r="GF52" i="7"/>
  <c r="CM52" i="7"/>
  <c r="FM52" i="7"/>
  <c r="GQ52" i="7"/>
  <c r="DN52" i="7"/>
  <c r="BA52" i="7"/>
  <c r="AO52" i="7"/>
  <c r="Q52" i="7"/>
  <c r="FD52" i="7"/>
  <c r="CC52" i="7"/>
  <c r="X52" i="7"/>
  <c r="CA52" i="7"/>
  <c r="FP52" i="7"/>
  <c r="BW52" i="7"/>
  <c r="EW52" i="7"/>
  <c r="GA52" i="7"/>
  <c r="CX52" i="7"/>
  <c r="AK52" i="7"/>
  <c r="T52" i="7"/>
  <c r="FG52" i="7"/>
  <c r="CR52" i="7"/>
  <c r="AV52" i="7"/>
  <c r="GM52" i="7"/>
  <c r="GH52" i="7"/>
  <c r="EZ52" i="7"/>
  <c r="BG52" i="7"/>
  <c r="EG52" i="7"/>
  <c r="FK52" i="7"/>
  <c r="CH52" i="7"/>
  <c r="U52" i="7"/>
  <c r="FV52" i="7"/>
  <c r="CU52" i="7"/>
  <c r="AY52" i="7"/>
  <c r="AB52" i="7"/>
  <c r="GJ52" i="7"/>
  <c r="J14" i="7"/>
  <c r="J52" i="7"/>
  <c r="AE14" i="7"/>
  <c r="DW14" i="7"/>
  <c r="AH14" i="7"/>
  <c r="DZ14" i="7"/>
  <c r="CI14" i="7"/>
  <c r="AI14" i="7"/>
  <c r="FV14" i="7"/>
  <c r="DV14" i="7"/>
  <c r="BM14" i="7"/>
  <c r="GT14" i="7"/>
  <c r="ES14" i="7"/>
  <c r="DY14" i="7"/>
  <c r="AK14" i="7"/>
  <c r="EC14" i="7"/>
  <c r="AN14" i="7"/>
  <c r="EF14" i="7"/>
  <c r="CR14" i="7"/>
  <c r="AR14" i="7"/>
  <c r="GC14" i="7"/>
  <c r="EE14" i="7"/>
  <c r="BV14" i="7"/>
  <c r="N14" i="7"/>
  <c r="FB14" i="7"/>
  <c r="FZ14" i="7"/>
  <c r="AQ14" i="7"/>
  <c r="EI14" i="7"/>
  <c r="AT14" i="7"/>
  <c r="EL14" i="7"/>
  <c r="DA14" i="7"/>
  <c r="BA14" i="7"/>
  <c r="GJ14" i="7"/>
  <c r="EN14" i="7"/>
  <c r="CE14" i="7"/>
  <c r="W14" i="7"/>
  <c r="FK14" i="7"/>
  <c r="AD14" i="7"/>
  <c r="AW14" i="7"/>
  <c r="EO14" i="7"/>
  <c r="AZ14" i="7"/>
  <c r="ER14" i="7"/>
  <c r="DJ14" i="7"/>
  <c r="BJ14" i="7"/>
  <c r="GR14" i="7"/>
  <c r="EW14" i="7"/>
  <c r="CN14" i="7"/>
  <c r="AF14" i="7"/>
  <c r="FT14" i="7"/>
  <c r="CF14" i="7"/>
  <c r="BC14" i="7"/>
  <c r="EU14" i="7"/>
  <c r="BF14" i="7"/>
  <c r="EX14" i="7"/>
  <c r="DS14" i="7"/>
  <c r="BS14" i="7"/>
  <c r="R14" i="7"/>
  <c r="FF14" i="7"/>
  <c r="CW14" i="7"/>
  <c r="AO14" i="7"/>
  <c r="GA14" i="7"/>
  <c r="EH14" i="7"/>
  <c r="BI14" i="7"/>
  <c r="FA14" i="7"/>
  <c r="BL14" i="7"/>
  <c r="FD14" i="7"/>
  <c r="EB14" i="7"/>
  <c r="CB14" i="7"/>
  <c r="AA14" i="7"/>
  <c r="FO14" i="7"/>
  <c r="DF14" i="7"/>
  <c r="AX14" i="7"/>
  <c r="GH14" i="7"/>
  <c r="GG14" i="7"/>
  <c r="BO14" i="7"/>
  <c r="FG14" i="7"/>
  <c r="BR14" i="7"/>
  <c r="FJ14" i="7"/>
  <c r="EK14" i="7"/>
  <c r="CK14" i="7"/>
  <c r="AJ14" i="7"/>
  <c r="FW14" i="7"/>
  <c r="DO14" i="7"/>
  <c r="BG14" i="7"/>
  <c r="GO14" i="7"/>
  <c r="AM14" i="7"/>
  <c r="BU14" i="7"/>
  <c r="FM14" i="7"/>
  <c r="BX14" i="7"/>
  <c r="FP14" i="7"/>
  <c r="ET14" i="7"/>
  <c r="CT14" i="7"/>
  <c r="AS14" i="7"/>
  <c r="GD14" i="7"/>
  <c r="DX14" i="7"/>
  <c r="BP14" i="7"/>
  <c r="BE14" i="7"/>
  <c r="CO14" i="7"/>
  <c r="CA14" i="7"/>
  <c r="FS14" i="7"/>
  <c r="CD14" i="7"/>
  <c r="O14" i="7"/>
  <c r="FC14" i="7"/>
  <c r="DC14" i="7"/>
  <c r="BB14" i="7"/>
  <c r="GL14" i="7"/>
  <c r="EG14" i="7"/>
  <c r="BY14" i="7"/>
  <c r="DG14" i="7"/>
  <c r="EQ14" i="7"/>
  <c r="CG14" i="7"/>
  <c r="FY14" i="7"/>
  <c r="CJ14" i="7"/>
  <c r="X14" i="7"/>
  <c r="FL14" i="7"/>
  <c r="DL14" i="7"/>
  <c r="BK14" i="7"/>
  <c r="GS14" i="7"/>
  <c r="EP14" i="7"/>
  <c r="CH14" i="7"/>
  <c r="FI14" i="7"/>
  <c r="GN14" i="7"/>
  <c r="CM14" i="7"/>
  <c r="GE14" i="7"/>
  <c r="CP14" i="7"/>
  <c r="AG14" i="7"/>
  <c r="FU14" i="7"/>
  <c r="DU14" i="7"/>
  <c r="BT14" i="7"/>
  <c r="K14" i="7"/>
  <c r="EY14" i="7"/>
  <c r="CQ14" i="7"/>
  <c r="L14" i="7"/>
  <c r="AV14" i="7"/>
  <c r="CS14" i="7"/>
  <c r="GK14" i="7"/>
  <c r="CV14" i="7"/>
  <c r="AP14" i="7"/>
  <c r="GB14" i="7"/>
  <c r="ED14" i="7"/>
  <c r="CC14" i="7"/>
  <c r="T14" i="7"/>
  <c r="FH14" i="7"/>
  <c r="CZ14" i="7"/>
  <c r="BN14" i="7"/>
  <c r="CX14" i="7"/>
  <c r="CY14" i="7"/>
  <c r="GQ14" i="7"/>
  <c r="DB14" i="7"/>
  <c r="AY14" i="7"/>
  <c r="GI14" i="7"/>
  <c r="EM14" i="7"/>
  <c r="CL14" i="7"/>
  <c r="AC14" i="7"/>
  <c r="FQ14" i="7"/>
  <c r="DI14" i="7"/>
  <c r="DP14" i="7"/>
  <c r="EZ14" i="7"/>
  <c r="M14" i="7"/>
  <c r="DE14" i="7"/>
  <c r="P14" i="7"/>
  <c r="DH14" i="7"/>
  <c r="BH14" i="7"/>
  <c r="GP14" i="7"/>
  <c r="EV14" i="7"/>
  <c r="CU14" i="7"/>
  <c r="AL14" i="7"/>
  <c r="FX14" i="7"/>
  <c r="DR14" i="7"/>
  <c r="FR14" i="7"/>
  <c r="GU14" i="7"/>
  <c r="S14" i="7"/>
  <c r="Y14" i="7"/>
  <c r="DQ14" i="7"/>
  <c r="AB14" i="7"/>
  <c r="DT14" i="7"/>
  <c r="BZ14" i="7"/>
  <c r="Z14" i="7"/>
  <c r="FN14" i="7"/>
  <c r="DM14" i="7"/>
  <c r="BD14" i="7"/>
  <c r="GM14" i="7"/>
  <c r="EJ14" i="7"/>
  <c r="BW14" i="7"/>
  <c r="Q14" i="7"/>
  <c r="FE14" i="7"/>
  <c r="DD14" i="7"/>
  <c r="AU14" i="7"/>
  <c r="GF14" i="7"/>
  <c r="EA14" i="7"/>
  <c r="U14" i="7"/>
  <c r="DK14" i="7"/>
  <c r="V14" i="7"/>
  <c r="DN14" i="7"/>
  <c r="BQ14" i="7"/>
  <c r="AC1252" i="1"/>
  <c r="K46" i="7"/>
  <c r="J46" i="7"/>
  <c r="I46" i="7"/>
  <c r="I10" i="7"/>
  <c r="J10" i="7"/>
  <c r="K10" i="7"/>
  <c r="I62" i="7"/>
  <c r="I26" i="7"/>
  <c r="J62" i="7"/>
  <c r="J26" i="7"/>
  <c r="K40" i="7"/>
  <c r="J40" i="7"/>
  <c r="J7" i="7"/>
  <c r="K7" i="7"/>
  <c r="M40" i="7"/>
  <c r="L40" i="7"/>
  <c r="L7" i="7"/>
  <c r="M7" i="7"/>
  <c r="BM9" i="1"/>
  <c r="BM8" i="1"/>
  <c r="BD21" i="1"/>
  <c r="EE54" i="7"/>
  <c r="BR54" i="7"/>
  <c r="GN54" i="7"/>
  <c r="EA54" i="7"/>
  <c r="BN54" i="7"/>
  <c r="GJ54" i="7"/>
  <c r="DW54" i="7"/>
  <c r="BJ54" i="7"/>
  <c r="GF54" i="7"/>
  <c r="CL54" i="7"/>
  <c r="GS54" i="7"/>
  <c r="DP54" i="7"/>
  <c r="DO54" i="7"/>
  <c r="BB54" i="7"/>
  <c r="FX54" i="7"/>
  <c r="DK54" i="7"/>
  <c r="AX54" i="7"/>
  <c r="FT54" i="7"/>
  <c r="DG54" i="7"/>
  <c r="AT54" i="7"/>
  <c r="FP54" i="7"/>
  <c r="Z54" i="7"/>
  <c r="EG54" i="7"/>
  <c r="BD54" i="7"/>
  <c r="CY54" i="7"/>
  <c r="AL54" i="7"/>
  <c r="FH54" i="7"/>
  <c r="CU54" i="7"/>
  <c r="AH54" i="7"/>
  <c r="FD54" i="7"/>
  <c r="CQ54" i="7"/>
  <c r="AD54" i="7"/>
  <c r="EZ54" i="7"/>
  <c r="EW54" i="7"/>
  <c r="BU54" i="7"/>
  <c r="FN54" i="7"/>
  <c r="CI54" i="7"/>
  <c r="V54" i="7"/>
  <c r="ER54" i="7"/>
  <c r="CE54" i="7"/>
  <c r="R54" i="7"/>
  <c r="EN54" i="7"/>
  <c r="CA54" i="7"/>
  <c r="N54" i="7"/>
  <c r="EJ54" i="7"/>
  <c r="CK54" i="7"/>
  <c r="GR54" i="7"/>
  <c r="DB54" i="7"/>
  <c r="BS54" i="7"/>
  <c r="GO54" i="7"/>
  <c r="EB54" i="7"/>
  <c r="BO54" i="7"/>
  <c r="GK54" i="7"/>
  <c r="DX54" i="7"/>
  <c r="BK54" i="7"/>
  <c r="GG54" i="7"/>
  <c r="DT54" i="7"/>
  <c r="Y54" i="7"/>
  <c r="EF54" i="7"/>
  <c r="AP54" i="7"/>
  <c r="BC54" i="7"/>
  <c r="FY54" i="7"/>
  <c r="DL54" i="7"/>
  <c r="AY54" i="7"/>
  <c r="FU54" i="7"/>
  <c r="DH54" i="7"/>
  <c r="AU54" i="7"/>
  <c r="FQ54" i="7"/>
  <c r="DD54" i="7"/>
  <c r="EV54" i="7"/>
  <c r="BT54" i="7"/>
  <c r="FM54" i="7"/>
  <c r="AM54" i="7"/>
  <c r="FI54" i="7"/>
  <c r="CV54" i="7"/>
  <c r="AI54" i="7"/>
  <c r="FE54" i="7"/>
  <c r="CR54" i="7"/>
  <c r="AE54" i="7"/>
  <c r="FA54" i="7"/>
  <c r="CN54" i="7"/>
  <c r="CJ54" i="7"/>
  <c r="GE54" i="7"/>
  <c r="DA54" i="7"/>
  <c r="W54" i="7"/>
  <c r="ES54" i="7"/>
  <c r="CF54" i="7"/>
  <c r="S54" i="7"/>
  <c r="EO54" i="7"/>
  <c r="CB54" i="7"/>
  <c r="O54" i="7"/>
  <c r="EK54" i="7"/>
  <c r="BX54" i="7"/>
  <c r="X54" i="7"/>
  <c r="DS54" i="7"/>
  <c r="AO54" i="7"/>
  <c r="GP54" i="7"/>
  <c r="EC54" i="7"/>
  <c r="BP54" i="7"/>
  <c r="GL54" i="7"/>
  <c r="DY54" i="7"/>
  <c r="BL54" i="7"/>
  <c r="GH54" i="7"/>
  <c r="DU54" i="7"/>
  <c r="BH54" i="7"/>
  <c r="GU54" i="7"/>
  <c r="BG54" i="7"/>
  <c r="FO54" i="7"/>
  <c r="FZ54" i="7"/>
  <c r="DM54" i="7"/>
  <c r="AZ54" i="7"/>
  <c r="FV54" i="7"/>
  <c r="DI54" i="7"/>
  <c r="AV54" i="7"/>
  <c r="FR54" i="7"/>
  <c r="DE54" i="7"/>
  <c r="AR54" i="7"/>
  <c r="EI54" i="7"/>
  <c r="GD54" i="7"/>
  <c r="FL54" i="7"/>
  <c r="FJ54" i="7"/>
  <c r="CW54" i="7"/>
  <c r="AJ54" i="7"/>
  <c r="FF54" i="7"/>
  <c r="CS54" i="7"/>
  <c r="AF54" i="7"/>
  <c r="FB54" i="7"/>
  <c r="CO54" i="7"/>
  <c r="AB54" i="7"/>
  <c r="BW54" i="7"/>
  <c r="DR54" i="7"/>
  <c r="AN54" i="7"/>
  <c r="ET54" i="7"/>
  <c r="CG54" i="7"/>
  <c r="T54" i="7"/>
  <c r="EP54" i="7"/>
  <c r="CC54" i="7"/>
  <c r="P54" i="7"/>
  <c r="EL54" i="7"/>
  <c r="BY54" i="7"/>
  <c r="BF54" i="7"/>
  <c r="DC54" i="7"/>
  <c r="GQ54" i="7"/>
  <c r="ED54" i="7"/>
  <c r="BQ54" i="7"/>
  <c r="GM54" i="7"/>
  <c r="DZ54" i="7"/>
  <c r="BM54" i="7"/>
  <c r="GI54" i="7"/>
  <c r="DV54" i="7"/>
  <c r="BI54" i="7"/>
  <c r="EY54" i="7"/>
  <c r="GT54" i="7"/>
  <c r="GC54" i="7"/>
  <c r="CZ54" i="7"/>
  <c r="EU54" i="7"/>
  <c r="CH54" i="7"/>
  <c r="U54" i="7"/>
  <c r="EQ54" i="7"/>
  <c r="CD54" i="7"/>
  <c r="Q54" i="7"/>
  <c r="EM54" i="7"/>
  <c r="BZ54" i="7"/>
  <c r="EX54" i="7"/>
  <c r="GB54" i="7"/>
  <c r="FS54" i="7"/>
  <c r="FC54" i="7"/>
  <c r="DF54" i="7"/>
  <c r="CP54" i="7"/>
  <c r="GA54" i="7"/>
  <c r="AS54" i="7"/>
  <c r="FK54" i="7"/>
  <c r="AC54" i="7"/>
  <c r="DN54" i="7"/>
  <c r="CM54" i="7"/>
  <c r="CX54" i="7"/>
  <c r="AA54" i="7"/>
  <c r="BA54" i="7"/>
  <c r="EH54" i="7"/>
  <c r="AK54" i="7"/>
  <c r="BV54" i="7"/>
  <c r="FW54" i="7"/>
  <c r="FG54" i="7"/>
  <c r="DQ54" i="7"/>
  <c r="DJ54" i="7"/>
  <c r="BE54" i="7"/>
  <c r="CT54" i="7"/>
  <c r="AQ54" i="7"/>
  <c r="AW54" i="7"/>
  <c r="AG54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3" i="7"/>
  <c r="H28" i="7"/>
  <c r="J43" i="7"/>
  <c r="J5" i="7"/>
  <c r="M43" i="7"/>
  <c r="L43" i="7"/>
  <c r="K43" i="7"/>
  <c r="M5" i="7"/>
  <c r="L5" i="7"/>
  <c r="K5" i="7"/>
  <c r="L54" i="7"/>
  <c r="K54" i="7"/>
  <c r="M54" i="7"/>
  <c r="M20" i="7"/>
  <c r="K20" i="7"/>
  <c r="L20" i="7"/>
  <c r="K53" i="7"/>
  <c r="J53" i="7"/>
  <c r="J15" i="7"/>
  <c r="K15" i="7"/>
  <c r="BV53" i="7"/>
  <c r="GR53" i="7"/>
  <c r="EE53" i="7"/>
  <c r="BR53" i="7"/>
  <c r="GN53" i="7"/>
  <c r="EA53" i="7"/>
  <c r="BN53" i="7"/>
  <c r="GJ53" i="7"/>
  <c r="DW53" i="7"/>
  <c r="BI53" i="7"/>
  <c r="CP53" i="7"/>
  <c r="AA53" i="7"/>
  <c r="BF53" i="7"/>
  <c r="GB53" i="7"/>
  <c r="DO53" i="7"/>
  <c r="BB53" i="7"/>
  <c r="FX53" i="7"/>
  <c r="DK53" i="7"/>
  <c r="AX53" i="7"/>
  <c r="FT53" i="7"/>
  <c r="DG53" i="7"/>
  <c r="AS53" i="7"/>
  <c r="CM53" i="7"/>
  <c r="EL53" i="7"/>
  <c r="AP53" i="7"/>
  <c r="FL53" i="7"/>
  <c r="CY53" i="7"/>
  <c r="AL53" i="7"/>
  <c r="FH53" i="7"/>
  <c r="CU53" i="7"/>
  <c r="AH53" i="7"/>
  <c r="FD53" i="7"/>
  <c r="CQ53" i="7"/>
  <c r="AC53" i="7"/>
  <c r="BZ53" i="7"/>
  <c r="N53" i="7"/>
  <c r="Z53" i="7"/>
  <c r="EV53" i="7"/>
  <c r="CI53" i="7"/>
  <c r="V53" i="7"/>
  <c r="ER53" i="7"/>
  <c r="CE53" i="7"/>
  <c r="R53" i="7"/>
  <c r="EN53" i="7"/>
  <c r="CA53" i="7"/>
  <c r="M53" i="7"/>
  <c r="GU53" i="7"/>
  <c r="EI53" i="7"/>
  <c r="GS53" i="7"/>
  <c r="EF53" i="7"/>
  <c r="BS53" i="7"/>
  <c r="GO53" i="7"/>
  <c r="EB53" i="7"/>
  <c r="BO53" i="7"/>
  <c r="GK53" i="7"/>
  <c r="DX53" i="7"/>
  <c r="BK53" i="7"/>
  <c r="GF53" i="7"/>
  <c r="BW53" i="7"/>
  <c r="DC53" i="7"/>
  <c r="GC53" i="7"/>
  <c r="DP53" i="7"/>
  <c r="BC53" i="7"/>
  <c r="FY53" i="7"/>
  <c r="DL53" i="7"/>
  <c r="AY53" i="7"/>
  <c r="FU53" i="7"/>
  <c r="DH53" i="7"/>
  <c r="AU53" i="7"/>
  <c r="FP53" i="7"/>
  <c r="GH53" i="7"/>
  <c r="DF53" i="7"/>
  <c r="FM53" i="7"/>
  <c r="CZ53" i="7"/>
  <c r="AM53" i="7"/>
  <c r="FI53" i="7"/>
  <c r="CV53" i="7"/>
  <c r="AI53" i="7"/>
  <c r="FE53" i="7"/>
  <c r="CR53" i="7"/>
  <c r="AE53" i="7"/>
  <c r="EZ53" i="7"/>
  <c r="BJ53" i="7"/>
  <c r="DS53" i="7"/>
  <c r="EW53" i="7"/>
  <c r="CJ53" i="7"/>
  <c r="W53" i="7"/>
  <c r="ES53" i="7"/>
  <c r="CF53" i="7"/>
  <c r="S53" i="7"/>
  <c r="EO53" i="7"/>
  <c r="CB53" i="7"/>
  <c r="O53" i="7"/>
  <c r="EJ53" i="7"/>
  <c r="GE53" i="7"/>
  <c r="DV53" i="7"/>
  <c r="GT53" i="7"/>
  <c r="EG53" i="7"/>
  <c r="BT53" i="7"/>
  <c r="GP53" i="7"/>
  <c r="EC53" i="7"/>
  <c r="BP53" i="7"/>
  <c r="GL53" i="7"/>
  <c r="DY53" i="7"/>
  <c r="BL53" i="7"/>
  <c r="GG53" i="7"/>
  <c r="DT53" i="7"/>
  <c r="BG53" i="7"/>
  <c r="GD53" i="7"/>
  <c r="DQ53" i="7"/>
  <c r="BD53" i="7"/>
  <c r="FZ53" i="7"/>
  <c r="DM53" i="7"/>
  <c r="AZ53" i="7"/>
  <c r="FV53" i="7"/>
  <c r="DI53" i="7"/>
  <c r="AV53" i="7"/>
  <c r="FQ53" i="7"/>
  <c r="DD53" i="7"/>
  <c r="FR53" i="7"/>
  <c r="FN53" i="7"/>
  <c r="DA53" i="7"/>
  <c r="AN53" i="7"/>
  <c r="FJ53" i="7"/>
  <c r="CW53" i="7"/>
  <c r="AJ53" i="7"/>
  <c r="FF53" i="7"/>
  <c r="CS53" i="7"/>
  <c r="AF53" i="7"/>
  <c r="FA53" i="7"/>
  <c r="CN53" i="7"/>
  <c r="AT53" i="7"/>
  <c r="EX53" i="7"/>
  <c r="CK53" i="7"/>
  <c r="X53" i="7"/>
  <c r="ET53" i="7"/>
  <c r="CG53" i="7"/>
  <c r="T53" i="7"/>
  <c r="EP53" i="7"/>
  <c r="CC53" i="7"/>
  <c r="P53" i="7"/>
  <c r="EK53" i="7"/>
  <c r="BX53" i="7"/>
  <c r="FO53" i="7"/>
  <c r="EH53" i="7"/>
  <c r="BU53" i="7"/>
  <c r="GQ53" i="7"/>
  <c r="ED53" i="7"/>
  <c r="BQ53" i="7"/>
  <c r="GM53" i="7"/>
  <c r="DZ53" i="7"/>
  <c r="BM53" i="7"/>
  <c r="GI53" i="7"/>
  <c r="DU53" i="7"/>
  <c r="BH53" i="7"/>
  <c r="AQ53" i="7"/>
  <c r="DR53" i="7"/>
  <c r="BE53" i="7"/>
  <c r="GA53" i="7"/>
  <c r="DN53" i="7"/>
  <c r="BA53" i="7"/>
  <c r="FW53" i="7"/>
  <c r="DJ53" i="7"/>
  <c r="AW53" i="7"/>
  <c r="FS53" i="7"/>
  <c r="DE53" i="7"/>
  <c r="AR53" i="7"/>
  <c r="FB53" i="7"/>
  <c r="DB53" i="7"/>
  <c r="AO53" i="7"/>
  <c r="FK53" i="7"/>
  <c r="CX53" i="7"/>
  <c r="AK53" i="7"/>
  <c r="FG53" i="7"/>
  <c r="CT53" i="7"/>
  <c r="AG53" i="7"/>
  <c r="FC53" i="7"/>
  <c r="CO53" i="7"/>
  <c r="AB53" i="7"/>
  <c r="AD53" i="7"/>
  <c r="CL53" i="7"/>
  <c r="Y53" i="7"/>
  <c r="EU53" i="7"/>
  <c r="CH53" i="7"/>
  <c r="U53" i="7"/>
  <c r="EQ53" i="7"/>
  <c r="CD53" i="7"/>
  <c r="Q53" i="7"/>
  <c r="EM53" i="7"/>
  <c r="BY53" i="7"/>
  <c r="L53" i="7"/>
  <c r="EY53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6" i="7"/>
  <c r="H18" i="7"/>
  <c r="I18" i="7"/>
  <c r="H56" i="7"/>
  <c r="EB56" i="7"/>
  <c r="BO56" i="7"/>
  <c r="GQ56" i="7"/>
  <c r="DX56" i="7"/>
  <c r="BK56" i="7"/>
  <c r="GM56" i="7"/>
  <c r="DT56" i="7"/>
  <c r="BG56" i="7"/>
  <c r="GI56" i="7"/>
  <c r="AL56" i="7"/>
  <c r="EF56" i="7"/>
  <c r="BA56" i="7"/>
  <c r="DL56" i="7"/>
  <c r="AY56" i="7"/>
  <c r="FY56" i="7"/>
  <c r="DH56" i="7"/>
  <c r="AU56" i="7"/>
  <c r="FU56" i="7"/>
  <c r="DD56" i="7"/>
  <c r="AQ56" i="7"/>
  <c r="FQ56" i="7"/>
  <c r="FK56" i="7"/>
  <c r="BT56" i="7"/>
  <c r="GG56" i="7"/>
  <c r="CV56" i="7"/>
  <c r="AI56" i="7"/>
  <c r="FG56" i="7"/>
  <c r="CR56" i="7"/>
  <c r="AE56" i="7"/>
  <c r="FC56" i="7"/>
  <c r="CN56" i="7"/>
  <c r="AA56" i="7"/>
  <c r="EY56" i="7"/>
  <c r="CW56" i="7"/>
  <c r="EE56" i="7"/>
  <c r="FP56" i="7"/>
  <c r="CF56" i="7"/>
  <c r="S56" i="7"/>
  <c r="EO56" i="7"/>
  <c r="CB56" i="7"/>
  <c r="O56" i="7"/>
  <c r="EK56" i="7"/>
  <c r="BX56" i="7"/>
  <c r="K56" i="7"/>
  <c r="EG56" i="7"/>
  <c r="AK56" i="7"/>
  <c r="BS56" i="7"/>
  <c r="DO56" i="7"/>
  <c r="BP56" i="7"/>
  <c r="GT56" i="7"/>
  <c r="DY56" i="7"/>
  <c r="BL56" i="7"/>
  <c r="GN56" i="7"/>
  <c r="DU56" i="7"/>
  <c r="BH56" i="7"/>
  <c r="GJ56" i="7"/>
  <c r="DQ56" i="7"/>
  <c r="EX56" i="7"/>
  <c r="ED56" i="7"/>
  <c r="CZ56" i="7"/>
  <c r="GS56" i="7"/>
  <c r="AZ56" i="7"/>
  <c r="FZ56" i="7"/>
  <c r="DI56" i="7"/>
  <c r="AV56" i="7"/>
  <c r="FV56" i="7"/>
  <c r="DE56" i="7"/>
  <c r="AR56" i="7"/>
  <c r="FR56" i="7"/>
  <c r="DA56" i="7"/>
  <c r="CJ56" i="7"/>
  <c r="BR56" i="7"/>
  <c r="BC56" i="7"/>
  <c r="GC56" i="7"/>
  <c r="AJ56" i="7"/>
  <c r="FH56" i="7"/>
  <c r="CS56" i="7"/>
  <c r="AF56" i="7"/>
  <c r="FD56" i="7"/>
  <c r="CO56" i="7"/>
  <c r="AB56" i="7"/>
  <c r="EZ56" i="7"/>
  <c r="CK56" i="7"/>
  <c r="X56" i="7"/>
  <c r="EC56" i="7"/>
  <c r="AN56" i="7"/>
  <c r="FM56" i="7"/>
  <c r="T56" i="7"/>
  <c r="EP56" i="7"/>
  <c r="CC56" i="7"/>
  <c r="P56" i="7"/>
  <c r="EL56" i="7"/>
  <c r="BY56" i="7"/>
  <c r="L56" i="7"/>
  <c r="EH56" i="7"/>
  <c r="BU56" i="7"/>
  <c r="EU56" i="7"/>
  <c r="BQ56" i="7"/>
  <c r="EW56" i="7"/>
  <c r="GU56" i="7"/>
  <c r="DZ56" i="7"/>
  <c r="BM56" i="7"/>
  <c r="GO56" i="7"/>
  <c r="DV56" i="7"/>
  <c r="BI56" i="7"/>
  <c r="GK56" i="7"/>
  <c r="DR56" i="7"/>
  <c r="BE56" i="7"/>
  <c r="CI56" i="7"/>
  <c r="GH56" i="7"/>
  <c r="GR56" i="7"/>
  <c r="GA56" i="7"/>
  <c r="DJ56" i="7"/>
  <c r="AW56" i="7"/>
  <c r="FW56" i="7"/>
  <c r="DF56" i="7"/>
  <c r="AS56" i="7"/>
  <c r="FS56" i="7"/>
  <c r="DB56" i="7"/>
  <c r="AO56" i="7"/>
  <c r="W56" i="7"/>
  <c r="DP56" i="7"/>
  <c r="GB56" i="7"/>
  <c r="FI56" i="7"/>
  <c r="CT56" i="7"/>
  <c r="AG56" i="7"/>
  <c r="FE56" i="7"/>
  <c r="CP56" i="7"/>
  <c r="AC56" i="7"/>
  <c r="FA56" i="7"/>
  <c r="CL56" i="7"/>
  <c r="Y56" i="7"/>
  <c r="ET56" i="7"/>
  <c r="BD56" i="7"/>
  <c r="FL56" i="7"/>
  <c r="EQ56" i="7"/>
  <c r="CD56" i="7"/>
  <c r="Q56" i="7"/>
  <c r="EM56" i="7"/>
  <c r="BZ56" i="7"/>
  <c r="M56" i="7"/>
  <c r="EI56" i="7"/>
  <c r="BV56" i="7"/>
  <c r="FO56" i="7"/>
  <c r="CH56" i="7"/>
  <c r="GF56" i="7"/>
  <c r="EV56" i="7"/>
  <c r="EA56" i="7"/>
  <c r="BN56" i="7"/>
  <c r="GP56" i="7"/>
  <c r="DW56" i="7"/>
  <c r="BJ56" i="7"/>
  <c r="GL56" i="7"/>
  <c r="DS56" i="7"/>
  <c r="BF56" i="7"/>
  <c r="CY56" i="7"/>
  <c r="V56" i="7"/>
  <c r="DN56" i="7"/>
  <c r="GD56" i="7"/>
  <c r="DK56" i="7"/>
  <c r="AX56" i="7"/>
  <c r="ER56" i="7"/>
  <c r="CE56" i="7"/>
  <c r="R56" i="7"/>
  <c r="EN56" i="7"/>
  <c r="CA56" i="7"/>
  <c r="N56" i="7"/>
  <c r="EJ56" i="7"/>
  <c r="BW56" i="7"/>
  <c r="J56" i="7"/>
  <c r="CX56" i="7"/>
  <c r="U56" i="7"/>
  <c r="DM56" i="7"/>
  <c r="CU56" i="7"/>
  <c r="ES56" i="7"/>
  <c r="AH56" i="7"/>
  <c r="CG56" i="7"/>
  <c r="FX56" i="7"/>
  <c r="BB56" i="7"/>
  <c r="FF56" i="7"/>
  <c r="GE56" i="7"/>
  <c r="DG56" i="7"/>
  <c r="CQ56" i="7"/>
  <c r="AT56" i="7"/>
  <c r="AD56" i="7"/>
  <c r="FT56" i="7"/>
  <c r="FB56" i="7"/>
  <c r="DC56" i="7"/>
  <c r="CM56" i="7"/>
  <c r="AP56" i="7"/>
  <c r="Z56" i="7"/>
  <c r="AM56" i="7"/>
  <c r="FJ56" i="7"/>
  <c r="FN56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5" i="7"/>
  <c r="CO55" i="7"/>
  <c r="AB55" i="7"/>
  <c r="GD55" i="7"/>
  <c r="DQ55" i="7"/>
  <c r="BD55" i="7"/>
  <c r="FZ55" i="7"/>
  <c r="DM55" i="7"/>
  <c r="AZ55" i="7"/>
  <c r="DH55" i="7"/>
  <c r="S55" i="7"/>
  <c r="DY55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5" i="7"/>
  <c r="BY55" i="7"/>
  <c r="L55" i="7"/>
  <c r="FN55" i="7"/>
  <c r="DA55" i="7"/>
  <c r="AN55" i="7"/>
  <c r="FJ55" i="7"/>
  <c r="CW55" i="7"/>
  <c r="AJ55" i="7"/>
  <c r="AV55" i="7"/>
  <c r="EP55" i="7"/>
  <c r="GK55" i="7"/>
  <c r="AJ21" i="7"/>
  <c r="EB21" i="7"/>
  <c r="AK21" i="7"/>
  <c r="GI55" i="7"/>
  <c r="DV55" i="7"/>
  <c r="BI55" i="7"/>
  <c r="GU55" i="7"/>
  <c r="EX55" i="7"/>
  <c r="CK55" i="7"/>
  <c r="X55" i="7"/>
  <c r="ET55" i="7"/>
  <c r="CG55" i="7"/>
  <c r="T55" i="7"/>
  <c r="FG55" i="7"/>
  <c r="CD55" i="7"/>
  <c r="EN55" i="7"/>
  <c r="AP21" i="7"/>
  <c r="EH21" i="7"/>
  <c r="AQ21" i="7"/>
  <c r="EI21" i="7"/>
  <c r="AR21" i="7"/>
  <c r="EJ21" i="7"/>
  <c r="AS21" i="7"/>
  <c r="EK21" i="7"/>
  <c r="AT21" i="7"/>
  <c r="EL21" i="7"/>
  <c r="AO21" i="7"/>
  <c r="FS55" i="7"/>
  <c r="DF55" i="7"/>
  <c r="AS55" i="7"/>
  <c r="GE55" i="7"/>
  <c r="EH55" i="7"/>
  <c r="BU55" i="7"/>
  <c r="GQ55" i="7"/>
  <c r="ED55" i="7"/>
  <c r="BQ55" i="7"/>
  <c r="GJ55" i="7"/>
  <c r="CU55" i="7"/>
  <c r="R55" i="7"/>
  <c r="FC55" i="7"/>
  <c r="CP55" i="7"/>
  <c r="AC55" i="7"/>
  <c r="FO55" i="7"/>
  <c r="DR55" i="7"/>
  <c r="BE55" i="7"/>
  <c r="GA55" i="7"/>
  <c r="DN55" i="7"/>
  <c r="BA55" i="7"/>
  <c r="DX55" i="7"/>
  <c r="AI55" i="7"/>
  <c r="EO55" i="7"/>
  <c r="BB21" i="7"/>
  <c r="ET21" i="7"/>
  <c r="BC21" i="7"/>
  <c r="EU21" i="7"/>
  <c r="BD21" i="7"/>
  <c r="EV21" i="7"/>
  <c r="BE21" i="7"/>
  <c r="EW21" i="7"/>
  <c r="BF21" i="7"/>
  <c r="EM55" i="7"/>
  <c r="BZ55" i="7"/>
  <c r="M55" i="7"/>
  <c r="EY55" i="7"/>
  <c r="DB55" i="7"/>
  <c r="AO55" i="7"/>
  <c r="FK55" i="7"/>
  <c r="CX55" i="7"/>
  <c r="AK55" i="7"/>
  <c r="BL55" i="7"/>
  <c r="FF55" i="7"/>
  <c r="CC55" i="7"/>
  <c r="BH21" i="7"/>
  <c r="EZ21" i="7"/>
  <c r="BI21" i="7"/>
  <c r="FA21" i="7"/>
  <c r="BJ21" i="7"/>
  <c r="FB21" i="7"/>
  <c r="BK21" i="7"/>
  <c r="FC21" i="7"/>
  <c r="BL21" i="7"/>
  <c r="DW55" i="7"/>
  <c r="BJ55" i="7"/>
  <c r="GF55" i="7"/>
  <c r="EI55" i="7"/>
  <c r="CL55" i="7"/>
  <c r="Y55" i="7"/>
  <c r="EU55" i="7"/>
  <c r="CH55" i="7"/>
  <c r="U55" i="7"/>
  <c r="FW55" i="7"/>
  <c r="CT55" i="7"/>
  <c r="Q55" i="7"/>
  <c r="BN21" i="7"/>
  <c r="DG55" i="7"/>
  <c r="AT55" i="7"/>
  <c r="FP55" i="7"/>
  <c r="DS55" i="7"/>
  <c r="BV55" i="7"/>
  <c r="GR55" i="7"/>
  <c r="EE55" i="7"/>
  <c r="BR55" i="7"/>
  <c r="GN55" i="7"/>
  <c r="DK55" i="7"/>
  <c r="AH55" i="7"/>
  <c r="GM55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5" i="7"/>
  <c r="AD55" i="7"/>
  <c r="EZ55" i="7"/>
  <c r="DC55" i="7"/>
  <c r="BF55" i="7"/>
  <c r="GB55" i="7"/>
  <c r="DO55" i="7"/>
  <c r="BB55" i="7"/>
  <c r="FX55" i="7"/>
  <c r="AY55" i="7"/>
  <c r="FE55" i="7"/>
  <c r="EA55" i="7"/>
  <c r="CA55" i="7"/>
  <c r="N55" i="7"/>
  <c r="EJ55" i="7"/>
  <c r="CM55" i="7"/>
  <c r="AP55" i="7"/>
  <c r="FL55" i="7"/>
  <c r="CY55" i="7"/>
  <c r="AL55" i="7"/>
  <c r="FH55" i="7"/>
  <c r="FV55" i="7"/>
  <c r="CS55" i="7"/>
  <c r="BO55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5" i="7"/>
  <c r="GG55" i="7"/>
  <c r="DT55" i="7"/>
  <c r="BW55" i="7"/>
  <c r="Z55" i="7"/>
  <c r="EV55" i="7"/>
  <c r="CI55" i="7"/>
  <c r="V55" i="7"/>
  <c r="ER55" i="7"/>
  <c r="DJ55" i="7"/>
  <c r="AG55" i="7"/>
  <c r="GL55" i="7"/>
  <c r="CL21" i="7"/>
  <c r="GD21" i="7"/>
  <c r="CM21" i="7"/>
  <c r="GE21" i="7"/>
  <c r="CN21" i="7"/>
  <c r="GF21" i="7"/>
  <c r="CO21" i="7"/>
  <c r="GG21" i="7"/>
  <c r="CP21" i="7"/>
  <c r="AU55" i="7"/>
  <c r="FQ55" i="7"/>
  <c r="DD55" i="7"/>
  <c r="BG55" i="7"/>
  <c r="GS55" i="7"/>
  <c r="EF55" i="7"/>
  <c r="BS55" i="7"/>
  <c r="GO55" i="7"/>
  <c r="EB55" i="7"/>
  <c r="AX55" i="7"/>
  <c r="FD55" i="7"/>
  <c r="DZ55" i="7"/>
  <c r="CR21" i="7"/>
  <c r="GJ21" i="7"/>
  <c r="CS21" i="7"/>
  <c r="GK21" i="7"/>
  <c r="CT21" i="7"/>
  <c r="GL21" i="7"/>
  <c r="CU21" i="7"/>
  <c r="GM21" i="7"/>
  <c r="CV21" i="7"/>
  <c r="AE55" i="7"/>
  <c r="FA55" i="7"/>
  <c r="CN55" i="7"/>
  <c r="AQ55" i="7"/>
  <c r="GC55" i="7"/>
  <c r="DP55" i="7"/>
  <c r="BC55" i="7"/>
  <c r="FY55" i="7"/>
  <c r="DL55" i="7"/>
  <c r="FU55" i="7"/>
  <c r="CR55" i="7"/>
  <c r="BN55" i="7"/>
  <c r="CX21" i="7"/>
  <c r="GP21" i="7"/>
  <c r="CY21" i="7"/>
  <c r="GQ21" i="7"/>
  <c r="CZ21" i="7"/>
  <c r="GR21" i="7"/>
  <c r="DA21" i="7"/>
  <c r="GS21" i="7"/>
  <c r="DB21" i="7"/>
  <c r="O55" i="7"/>
  <c r="EK55" i="7"/>
  <c r="BX55" i="7"/>
  <c r="AA55" i="7"/>
  <c r="FM55" i="7"/>
  <c r="CZ55" i="7"/>
  <c r="AM55" i="7"/>
  <c r="FI55" i="7"/>
  <c r="CV55" i="7"/>
  <c r="DI55" i="7"/>
  <c r="AF55" i="7"/>
  <c r="CB55" i="7"/>
  <c r="L21" i="7"/>
  <c r="FR55" i="7"/>
  <c r="DE55" i="7"/>
  <c r="AR55" i="7"/>
  <c r="GT55" i="7"/>
  <c r="EG55" i="7"/>
  <c r="BT55" i="7"/>
  <c r="GP55" i="7"/>
  <c r="EC55" i="7"/>
  <c r="BP55" i="7"/>
  <c r="FT55" i="7"/>
  <c r="CE55" i="7"/>
  <c r="P55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5" i="7"/>
  <c r="S21" i="7"/>
  <c r="DF21" i="7"/>
  <c r="FI21" i="7"/>
  <c r="GH21" i="7"/>
  <c r="FE21" i="7"/>
  <c r="CF55" i="7"/>
  <c r="AW21" i="7"/>
  <c r="DL21" i="7"/>
  <c r="FU21" i="7"/>
  <c r="GN21" i="7"/>
  <c r="GO21" i="7"/>
  <c r="AW55" i="7"/>
  <c r="BO21" i="7"/>
  <c r="ED21" i="7"/>
  <c r="P21" i="7"/>
  <c r="GT21" i="7"/>
  <c r="AC21" i="7"/>
  <c r="EQ55" i="7"/>
  <c r="CA21" i="7"/>
  <c r="EP21" i="7"/>
  <c r="V21" i="7"/>
  <c r="AI21" i="7"/>
  <c r="BM21" i="7"/>
  <c r="BM55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5" i="7"/>
  <c r="BZ21" i="7"/>
  <c r="FS21" i="7"/>
  <c r="AY21" i="7"/>
  <c r="DN21" i="7"/>
  <c r="GC21" i="7"/>
  <c r="W21" i="7"/>
  <c r="DU55" i="7"/>
  <c r="DD21" i="7"/>
  <c r="N21" i="7"/>
  <c r="BQ21" i="7"/>
  <c r="EF21" i="7"/>
  <c r="AU21" i="7"/>
  <c r="BG21" i="7"/>
  <c r="BH55" i="7"/>
  <c r="DJ21" i="7"/>
  <c r="T21" i="7"/>
  <c r="CC21" i="7"/>
  <c r="ER21" i="7"/>
  <c r="DO21" i="7"/>
  <c r="K55" i="7"/>
  <c r="EN21" i="7"/>
  <c r="AL21" i="7"/>
  <c r="DG21" i="7"/>
  <c r="EX21" i="7"/>
  <c r="EY21" i="7"/>
  <c r="EW55" i="7"/>
  <c r="FF21" i="7"/>
  <c r="AX21" i="7"/>
  <c r="DM21" i="7"/>
  <c r="FD21" i="7"/>
  <c r="GI21" i="7"/>
  <c r="CJ55" i="7"/>
  <c r="FR21" i="7"/>
  <c r="BP21" i="7"/>
  <c r="EE21" i="7"/>
  <c r="FJ21" i="7"/>
  <c r="Q21" i="7"/>
  <c r="W55" i="7"/>
  <c r="M21" i="7"/>
  <c r="CB21" i="7"/>
  <c r="EQ21" i="7"/>
  <c r="FV21" i="7"/>
  <c r="BA21" i="7"/>
  <c r="BM39" i="7"/>
  <c r="GI39" i="7"/>
  <c r="EL39" i="7"/>
  <c r="BY39" i="7"/>
  <c r="GD39" i="7"/>
  <c r="EG39" i="7"/>
  <c r="CJ39" i="7"/>
  <c r="W39" i="7"/>
  <c r="FI39" i="7"/>
  <c r="T39" i="7"/>
  <c r="AH39" i="7"/>
  <c r="AW39" i="7"/>
  <c r="FS39" i="7"/>
  <c r="DV39" i="7"/>
  <c r="BI39" i="7"/>
  <c r="AK39" i="7"/>
  <c r="FN39" i="7"/>
  <c r="DQ39" i="7"/>
  <c r="BT39" i="7"/>
  <c r="GP39" i="7"/>
  <c r="ES39" i="7"/>
  <c r="DZ39" i="7"/>
  <c r="FF39" i="7"/>
  <c r="AG39" i="7"/>
  <c r="FC39" i="7"/>
  <c r="DF39" i="7"/>
  <c r="AS39" i="7"/>
  <c r="GU39" i="7"/>
  <c r="EX39" i="7"/>
  <c r="DA39" i="7"/>
  <c r="BD39" i="7"/>
  <c r="FZ39" i="7"/>
  <c r="DM39" i="7"/>
  <c r="GM39" i="7"/>
  <c r="EP39" i="7"/>
  <c r="Q39" i="7"/>
  <c r="EM39" i="7"/>
  <c r="CP39" i="7"/>
  <c r="AC39" i="7"/>
  <c r="GE39" i="7"/>
  <c r="EH39" i="7"/>
  <c r="CK39" i="7"/>
  <c r="AN39" i="7"/>
  <c r="FJ39" i="7"/>
  <c r="CW39" i="7"/>
  <c r="FW39" i="7"/>
  <c r="DJ39" i="7"/>
  <c r="GJ39" i="7"/>
  <c r="DW39" i="7"/>
  <c r="BZ39" i="7"/>
  <c r="FO39" i="7"/>
  <c r="DR39" i="7"/>
  <c r="BU39" i="7"/>
  <c r="X39" i="7"/>
  <c r="ET39" i="7"/>
  <c r="CG39" i="7"/>
  <c r="FG39" i="7"/>
  <c r="CT39" i="7"/>
  <c r="FT39" i="7"/>
  <c r="DG39" i="7"/>
  <c r="BJ39" i="7"/>
  <c r="GF39" i="7"/>
  <c r="EY39" i="7"/>
  <c r="DB39" i="7"/>
  <c r="BE39" i="7"/>
  <c r="GQ39" i="7"/>
  <c r="ED39" i="7"/>
  <c r="GN39" i="7"/>
  <c r="EQ39" i="7"/>
  <c r="CD39" i="7"/>
  <c r="FD39" i="7"/>
  <c r="CQ39" i="7"/>
  <c r="AT39" i="7"/>
  <c r="FP39" i="7"/>
  <c r="EI39" i="7"/>
  <c r="CL39" i="7"/>
  <c r="AO39" i="7"/>
  <c r="GA39" i="7"/>
  <c r="DN39" i="7"/>
  <c r="FX39" i="7"/>
  <c r="EA39" i="7"/>
  <c r="BN39" i="7"/>
  <c r="EN39" i="7"/>
  <c r="CA39" i="7"/>
  <c r="AD39" i="7"/>
  <c r="EZ39" i="7"/>
  <c r="DS39" i="7"/>
  <c r="BV39" i="7"/>
  <c r="Y39" i="7"/>
  <c r="FK39" i="7"/>
  <c r="CX39" i="7"/>
  <c r="FH39" i="7"/>
  <c r="DK39" i="7"/>
  <c r="AX39" i="7"/>
  <c r="GK39" i="7"/>
  <c r="DX39" i="7"/>
  <c r="BK39" i="7"/>
  <c r="N39" i="7"/>
  <c r="EJ39" i="7"/>
  <c r="DC39" i="7"/>
  <c r="BF39" i="7"/>
  <c r="BQ39" i="7"/>
  <c r="EU39" i="7"/>
  <c r="CH39" i="7"/>
  <c r="ER39" i="7"/>
  <c r="CU39" i="7"/>
  <c r="R39" i="7"/>
  <c r="FU39" i="7"/>
  <c r="DH39" i="7"/>
  <c r="AU39" i="7"/>
  <c r="GG39" i="7"/>
  <c r="DT39" i="7"/>
  <c r="CM39" i="7"/>
  <c r="AP39" i="7"/>
  <c r="GR39" i="7"/>
  <c r="EE39" i="7"/>
  <c r="BR39" i="7"/>
  <c r="EB39" i="7"/>
  <c r="CE39" i="7"/>
  <c r="FE39" i="7"/>
  <c r="CR39" i="7"/>
  <c r="AE39" i="7"/>
  <c r="FQ39" i="7"/>
  <c r="DD39" i="7"/>
  <c r="BW39" i="7"/>
  <c r="Z39" i="7"/>
  <c r="GB39" i="7"/>
  <c r="DO39" i="7"/>
  <c r="BB39" i="7"/>
  <c r="DL39" i="7"/>
  <c r="BO39" i="7"/>
  <c r="EO39" i="7"/>
  <c r="CB39" i="7"/>
  <c r="O39" i="7"/>
  <c r="FA39" i="7"/>
  <c r="CN39" i="7"/>
  <c r="BG39" i="7"/>
  <c r="BA39" i="7"/>
  <c r="FL39" i="7"/>
  <c r="CY39" i="7"/>
  <c r="AL39" i="7"/>
  <c r="CV39" i="7"/>
  <c r="AY39" i="7"/>
  <c r="DY39" i="7"/>
  <c r="BL39" i="7"/>
  <c r="U39" i="7"/>
  <c r="EK39" i="7"/>
  <c r="BX39" i="7"/>
  <c r="AQ39" i="7"/>
  <c r="GS39" i="7"/>
  <c r="EV39" i="7"/>
  <c r="CI39" i="7"/>
  <c r="V39" i="7"/>
  <c r="CF39" i="7"/>
  <c r="AI39" i="7"/>
  <c r="DI39" i="7"/>
  <c r="AV39" i="7"/>
  <c r="GH39" i="7"/>
  <c r="DU39" i="7"/>
  <c r="BH39" i="7"/>
  <c r="AA39" i="7"/>
  <c r="GC39" i="7"/>
  <c r="EF39" i="7"/>
  <c r="BS39" i="7"/>
  <c r="EC39" i="7"/>
  <c r="BP39" i="7"/>
  <c r="S39" i="7"/>
  <c r="CS39" i="7"/>
  <c r="AF39" i="7"/>
  <c r="FR39" i="7"/>
  <c r="DE39" i="7"/>
  <c r="AR39" i="7"/>
  <c r="FM39" i="7"/>
  <c r="DP39" i="7"/>
  <c r="BC39" i="7"/>
  <c r="GO39" i="7"/>
  <c r="AZ39" i="7"/>
  <c r="GL39" i="7"/>
  <c r="AJ39" i="7"/>
  <c r="FV39" i="7"/>
  <c r="CC39" i="7"/>
  <c r="P39" i="7"/>
  <c r="FB39" i="7"/>
  <c r="CO39" i="7"/>
  <c r="AB39" i="7"/>
  <c r="GT39" i="7"/>
  <c r="EW39" i="7"/>
  <c r="CZ39" i="7"/>
  <c r="FY39" i="7"/>
  <c r="AM39" i="7"/>
  <c r="AA2" i="7"/>
  <c r="DS2" i="7"/>
  <c r="BL2" i="7"/>
  <c r="BT2" i="7"/>
  <c r="FL2" i="7"/>
  <c r="BV2" i="7"/>
  <c r="CQ2" i="7"/>
  <c r="CS2" i="7"/>
  <c r="CE2" i="7"/>
  <c r="BO2" i="7"/>
  <c r="BA2" i="7"/>
  <c r="EL2" i="7"/>
  <c r="AG2" i="7"/>
  <c r="DY2" i="7"/>
  <c r="BR2" i="7"/>
  <c r="BZ2" i="7"/>
  <c r="FR2" i="7"/>
  <c r="CB2" i="7"/>
  <c r="DC2" i="7"/>
  <c r="DE2" i="7"/>
  <c r="CV2" i="7"/>
  <c r="CG2" i="7"/>
  <c r="BS2" i="7"/>
  <c r="GH2" i="7"/>
  <c r="AM2" i="7"/>
  <c r="EE2" i="7"/>
  <c r="BX2" i="7"/>
  <c r="CF2" i="7"/>
  <c r="FX2" i="7"/>
  <c r="CH2" i="7"/>
  <c r="DO2" i="7"/>
  <c r="DQ2" i="7"/>
  <c r="DH2" i="7"/>
  <c r="CW2" i="7"/>
  <c r="CK2" i="7"/>
  <c r="BU2" i="7"/>
  <c r="AS2" i="7"/>
  <c r="EK2" i="7"/>
  <c r="CD2" i="7"/>
  <c r="CL2" i="7"/>
  <c r="GD2" i="7"/>
  <c r="CN2" i="7"/>
  <c r="EA2" i="7"/>
  <c r="EC2" i="7"/>
  <c r="DT2" i="7"/>
  <c r="DI2" i="7"/>
  <c r="CY2" i="7"/>
  <c r="EU2" i="7"/>
  <c r="AY2" i="7"/>
  <c r="EQ2" i="7"/>
  <c r="CJ2" i="7"/>
  <c r="CR2" i="7"/>
  <c r="GJ2" i="7"/>
  <c r="CT2" i="7"/>
  <c r="EM2" i="7"/>
  <c r="EO2" i="7"/>
  <c r="EF2" i="7"/>
  <c r="DU2" i="7"/>
  <c r="DK2" i="7"/>
  <c r="GO2" i="7"/>
  <c r="BE2" i="7"/>
  <c r="EW2" i="7"/>
  <c r="CP2" i="7"/>
  <c r="CX2" i="7"/>
  <c r="GP2" i="7"/>
  <c r="CZ2" i="7"/>
  <c r="EV2" i="7"/>
  <c r="EX2" i="7"/>
  <c r="EP2" i="7"/>
  <c r="EG2" i="7"/>
  <c r="DW2" i="7"/>
  <c r="CM2" i="7"/>
  <c r="BK2" i="7"/>
  <c r="FC2" i="7"/>
  <c r="DD2" i="7"/>
  <c r="N2" i="7"/>
  <c r="DF2" i="7"/>
  <c r="FE2" i="7"/>
  <c r="FG2" i="7"/>
  <c r="EY2" i="7"/>
  <c r="ER2" i="7"/>
  <c r="EI2" i="7"/>
  <c r="FD2" i="7"/>
  <c r="BQ2" i="7"/>
  <c r="FI2" i="7"/>
  <c r="R2" i="7"/>
  <c r="DJ2" i="7"/>
  <c r="T2" i="7"/>
  <c r="DL2" i="7"/>
  <c r="FN2" i="7"/>
  <c r="FO2" i="7"/>
  <c r="FH2" i="7"/>
  <c r="FA2" i="7"/>
  <c r="ES2" i="7"/>
  <c r="DB2" i="7"/>
  <c r="BW2" i="7"/>
  <c r="P2" i="7"/>
  <c r="X2" i="7"/>
  <c r="DP2" i="7"/>
  <c r="Z2" i="7"/>
  <c r="DR2" i="7"/>
  <c r="FU2" i="7"/>
  <c r="FV2" i="7"/>
  <c r="FP2" i="7"/>
  <c r="FJ2" i="7"/>
  <c r="FB2" i="7"/>
  <c r="FM2" i="7"/>
  <c r="CC2" i="7"/>
  <c r="V2" i="7"/>
  <c r="AD2" i="7"/>
  <c r="DV2" i="7"/>
  <c r="AF2" i="7"/>
  <c r="DX2" i="7"/>
  <c r="GB2" i="7"/>
  <c r="GC2" i="7"/>
  <c r="FW2" i="7"/>
  <c r="FQ2" i="7"/>
  <c r="FK2" i="7"/>
  <c r="S2" i="7"/>
  <c r="CI2" i="7"/>
  <c r="AB2" i="7"/>
  <c r="AJ2" i="7"/>
  <c r="EB2" i="7"/>
  <c r="AL2" i="7"/>
  <c r="ED2" i="7"/>
  <c r="GI2" i="7"/>
  <c r="GK2" i="7"/>
  <c r="GE2" i="7"/>
  <c r="FY2" i="7"/>
  <c r="FS2" i="7"/>
  <c r="DN2" i="7"/>
  <c r="CO2" i="7"/>
  <c r="AH2" i="7"/>
  <c r="AP2" i="7"/>
  <c r="EH2" i="7"/>
  <c r="AR2" i="7"/>
  <c r="EJ2" i="7"/>
  <c r="GQ2" i="7"/>
  <c r="GR2" i="7"/>
  <c r="GL2" i="7"/>
  <c r="GF2" i="7"/>
  <c r="FZ2" i="7"/>
  <c r="FT2" i="7"/>
  <c r="CU2" i="7"/>
  <c r="AN2" i="7"/>
  <c r="AV2" i="7"/>
  <c r="EN2" i="7"/>
  <c r="AX2" i="7"/>
  <c r="W2" i="7"/>
  <c r="Y2" i="7"/>
  <c r="GS2" i="7"/>
  <c r="GM2" i="7"/>
  <c r="GG2" i="7"/>
  <c r="AK2" i="7"/>
  <c r="DA2" i="7"/>
  <c r="AT2" i="7"/>
  <c r="BB2" i="7"/>
  <c r="ET2" i="7"/>
  <c r="BD2" i="7"/>
  <c r="AO2" i="7"/>
  <c r="AQ2" i="7"/>
  <c r="AC2" i="7"/>
  <c r="GT2" i="7"/>
  <c r="GN2" i="7"/>
  <c r="DZ2" i="7"/>
  <c r="O2" i="7"/>
  <c r="DG2" i="7"/>
  <c r="AZ2" i="7"/>
  <c r="BH2" i="7"/>
  <c r="EZ2" i="7"/>
  <c r="BJ2" i="7"/>
  <c r="BG2" i="7"/>
  <c r="BI2" i="7"/>
  <c r="AU2" i="7"/>
  <c r="AE2" i="7"/>
  <c r="Q2" i="7"/>
  <c r="GU2" i="7"/>
  <c r="GA2" i="7"/>
  <c r="U2" i="7"/>
  <c r="DM2" i="7"/>
  <c r="BF2" i="7"/>
  <c r="BN2" i="7"/>
  <c r="FF2" i="7"/>
  <c r="BP2" i="7"/>
  <c r="BY2" i="7"/>
  <c r="CA2" i="7"/>
  <c r="BM2" i="7"/>
  <c r="AW2" i="7"/>
  <c r="AI2" i="7"/>
  <c r="BC2" i="7"/>
  <c r="J60" i="7"/>
  <c r="J19" i="7"/>
  <c r="M60" i="7"/>
  <c r="L60" i="7"/>
  <c r="K60" i="7"/>
  <c r="L19" i="7"/>
  <c r="K19" i="7"/>
  <c r="M19" i="7"/>
  <c r="J50" i="7"/>
  <c r="EB50" i="7"/>
  <c r="BM50" i="7"/>
  <c r="J17" i="7"/>
  <c r="EL50" i="7"/>
  <c r="DU50" i="7"/>
  <c r="DI50" i="7"/>
  <c r="AF50" i="7"/>
  <c r="FH50" i="7"/>
  <c r="CO50" i="7"/>
  <c r="AB50" i="7"/>
  <c r="DR50" i="7"/>
  <c r="AO50" i="7"/>
  <c r="EG50" i="7"/>
  <c r="BA50" i="7"/>
  <c r="CH50" i="7"/>
  <c r="DK50" i="7"/>
  <c r="GD50" i="7"/>
  <c r="CS50" i="7"/>
  <c r="P50" i="7"/>
  <c r="EP50" i="7"/>
  <c r="BY50" i="7"/>
  <c r="GO50" i="7"/>
  <c r="DB50" i="7"/>
  <c r="Y50" i="7"/>
  <c r="DO50" i="7"/>
  <c r="AK50" i="7"/>
  <c r="CE50" i="7"/>
  <c r="EF50" i="7"/>
  <c r="FL50" i="7"/>
  <c r="CC50" i="7"/>
  <c r="GS50" i="7"/>
  <c r="DX50" i="7"/>
  <c r="BI50" i="7"/>
  <c r="FW50" i="7"/>
  <c r="CL50" i="7"/>
  <c r="GL50" i="7"/>
  <c r="CY50" i="7"/>
  <c r="U50" i="7"/>
  <c r="BR50" i="7"/>
  <c r="EC50" i="7"/>
  <c r="ET50" i="7"/>
  <c r="AW50" i="7"/>
  <c r="GA50" i="7"/>
  <c r="DF50" i="7"/>
  <c r="AS50" i="7"/>
  <c r="FE50" i="7"/>
  <c r="BV50" i="7"/>
  <c r="FT50" i="7"/>
  <c r="CI50" i="7"/>
  <c r="GF50" i="7"/>
  <c r="BO50" i="7"/>
  <c r="DN50" i="7"/>
  <c r="DJ50" i="7"/>
  <c r="AG50" i="7"/>
  <c r="FI50" i="7"/>
  <c r="CP50" i="7"/>
  <c r="AC50" i="7"/>
  <c r="EM50" i="7"/>
  <c r="BF50" i="7"/>
  <c r="EZ50" i="7"/>
  <c r="BS50" i="7"/>
  <c r="FN50" i="7"/>
  <c r="GJ50" i="7"/>
  <c r="CT50" i="7"/>
  <c r="Q50" i="7"/>
  <c r="EQ50" i="7"/>
  <c r="BZ50" i="7"/>
  <c r="M50" i="7"/>
  <c r="DS50" i="7"/>
  <c r="AP50" i="7"/>
  <c r="EH50" i="7"/>
  <c r="BC50" i="7"/>
  <c r="EV50" i="7"/>
  <c r="BB50" i="7"/>
  <c r="CD50" i="7"/>
  <c r="GT50" i="7"/>
  <c r="DY50" i="7"/>
  <c r="BJ50" i="7"/>
  <c r="GP50" i="7"/>
  <c r="DC50" i="7"/>
  <c r="Z50" i="7"/>
  <c r="DP50" i="7"/>
  <c r="AM50" i="7"/>
  <c r="ED50" i="7"/>
  <c r="GE50" i="7"/>
  <c r="BN50" i="7"/>
  <c r="GB50" i="7"/>
  <c r="DG50" i="7"/>
  <c r="AT50" i="7"/>
  <c r="FX50" i="7"/>
  <c r="CM50" i="7"/>
  <c r="GM50" i="7"/>
  <c r="CZ50" i="7"/>
  <c r="W50" i="7"/>
  <c r="DL50" i="7"/>
  <c r="AY50" i="7"/>
  <c r="GH50" i="7"/>
  <c r="AX50" i="7"/>
  <c r="FJ50" i="7"/>
  <c r="CQ50" i="7"/>
  <c r="AD50" i="7"/>
  <c r="FF50" i="7"/>
  <c r="BW50" i="7"/>
  <c r="FU50" i="7"/>
  <c r="CJ50" i="7"/>
  <c r="GI50" i="7"/>
  <c r="CV50" i="7"/>
  <c r="FP50" i="7"/>
  <c r="FR50" i="7"/>
  <c r="AH50" i="7"/>
  <c r="ER50" i="7"/>
  <c r="CA50" i="7"/>
  <c r="N50" i="7"/>
  <c r="EN50" i="7"/>
  <c r="BG50" i="7"/>
  <c r="FC50" i="7"/>
  <c r="BT50" i="7"/>
  <c r="FO50" i="7"/>
  <c r="CF50" i="7"/>
  <c r="AL50" i="7"/>
  <c r="FB50" i="7"/>
  <c r="R50" i="7"/>
  <c r="DZ50" i="7"/>
  <c r="BK50" i="7"/>
  <c r="GQ50" i="7"/>
  <c r="DT50" i="7"/>
  <c r="AQ50" i="7"/>
  <c r="EI50" i="7"/>
  <c r="BD50" i="7"/>
  <c r="EW50" i="7"/>
  <c r="BP50" i="7"/>
  <c r="FM50" i="7"/>
  <c r="DV50" i="7"/>
  <c r="GU50" i="7"/>
  <c r="DH50" i="7"/>
  <c r="AU50" i="7"/>
  <c r="FY50" i="7"/>
  <c r="DD50" i="7"/>
  <c r="AA50" i="7"/>
  <c r="DQ50" i="7"/>
  <c r="AN50" i="7"/>
  <c r="EE50" i="7"/>
  <c r="AZ50" i="7"/>
  <c r="AI50" i="7"/>
  <c r="GG50" i="7"/>
  <c r="GC50" i="7"/>
  <c r="CR50" i="7"/>
  <c r="AE50" i="7"/>
  <c r="FG50" i="7"/>
  <c r="CN50" i="7"/>
  <c r="GN50" i="7"/>
  <c r="DA50" i="7"/>
  <c r="X50" i="7"/>
  <c r="DM50" i="7"/>
  <c r="AJ50" i="7"/>
  <c r="EX50" i="7"/>
  <c r="FQ50" i="7"/>
  <c r="FK50" i="7"/>
  <c r="CB50" i="7"/>
  <c r="O50" i="7"/>
  <c r="EO50" i="7"/>
  <c r="BX50" i="7"/>
  <c r="FV50" i="7"/>
  <c r="CK50" i="7"/>
  <c r="GK50" i="7"/>
  <c r="CW50" i="7"/>
  <c r="T50" i="7"/>
  <c r="V50" i="7"/>
  <c r="FA50" i="7"/>
  <c r="ES50" i="7"/>
  <c r="BL50" i="7"/>
  <c r="GR50" i="7"/>
  <c r="DW50" i="7"/>
  <c r="BH50" i="7"/>
  <c r="FD50" i="7"/>
  <c r="BU50" i="7"/>
  <c r="FS50" i="7"/>
  <c r="CG50" i="7"/>
  <c r="CX50" i="7"/>
  <c r="EU50" i="7"/>
  <c r="BQ50" i="7"/>
  <c r="CU50" i="7"/>
  <c r="S50" i="7"/>
  <c r="EK50" i="7"/>
  <c r="EA50" i="7"/>
  <c r="AV50" i="7"/>
  <c r="FZ50" i="7"/>
  <c r="DE50" i="7"/>
  <c r="AR50" i="7"/>
  <c r="EJ50" i="7"/>
  <c r="BE50" i="7"/>
  <c r="K17" i="7"/>
  <c r="L50" i="7"/>
  <c r="K50" i="7"/>
  <c r="EY50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6" i="7"/>
  <c r="K66" i="7"/>
  <c r="K31" i="7"/>
  <c r="L31" i="7"/>
  <c r="GK47" i="7"/>
  <c r="CC47" i="7"/>
  <c r="GE47" i="7"/>
  <c r="CP47" i="7"/>
  <c r="DC47" i="7"/>
  <c r="Z47" i="7"/>
  <c r="DQ47" i="7"/>
  <c r="AM47" i="7"/>
  <c r="EB47" i="7"/>
  <c r="DL47" i="7"/>
  <c r="BQ47" i="7"/>
  <c r="FU47" i="7"/>
  <c r="BM47" i="7"/>
  <c r="FK47" i="7"/>
  <c r="BZ47" i="7"/>
  <c r="GB47" i="7"/>
  <c r="CM47" i="7"/>
  <c r="GS47" i="7"/>
  <c r="CZ47" i="7"/>
  <c r="W47" i="7"/>
  <c r="DJ47" i="7"/>
  <c r="U47" i="7"/>
  <c r="EW47" i="7"/>
  <c r="FE47" i="7"/>
  <c r="AW47" i="7"/>
  <c r="EP47" i="7"/>
  <c r="BJ47" i="7"/>
  <c r="FH47" i="7"/>
  <c r="BW47" i="7"/>
  <c r="FY47" i="7"/>
  <c r="CJ47" i="7"/>
  <c r="GP47" i="7"/>
  <c r="CT47" i="7"/>
  <c r="CW47" i="7"/>
  <c r="BP47" i="7"/>
  <c r="GJ47" i="7"/>
  <c r="AG47" i="7"/>
  <c r="DX47" i="7"/>
  <c r="AT47" i="7"/>
  <c r="EL47" i="7"/>
  <c r="BG47" i="7"/>
  <c r="FA47" i="7"/>
  <c r="BT47" i="7"/>
  <c r="FR47" i="7"/>
  <c r="CD47" i="7"/>
  <c r="T47" i="7"/>
  <c r="EV47" i="7"/>
  <c r="FT47" i="7"/>
  <c r="Q47" i="7"/>
  <c r="DG47" i="7"/>
  <c r="AD47" i="7"/>
  <c r="DU47" i="7"/>
  <c r="AQ47" i="7"/>
  <c r="EI47" i="7"/>
  <c r="BD47" i="7"/>
  <c r="EX47" i="7"/>
  <c r="BN47" i="7"/>
  <c r="GO47" i="7"/>
  <c r="BO47" i="7"/>
  <c r="FD47" i="7"/>
  <c r="GF47" i="7"/>
  <c r="CQ47" i="7"/>
  <c r="DD47" i="7"/>
  <c r="AA47" i="7"/>
  <c r="DR47" i="7"/>
  <c r="AN47" i="7"/>
  <c r="EF47" i="7"/>
  <c r="AX47" i="7"/>
  <c r="CV47" i="7"/>
  <c r="AZ47" i="7"/>
  <c r="EN47" i="7"/>
  <c r="FL47" i="7"/>
  <c r="CA47" i="7"/>
  <c r="GC47" i="7"/>
  <c r="CN47" i="7"/>
  <c r="GT47" i="7"/>
  <c r="DA47" i="7"/>
  <c r="X47" i="7"/>
  <c r="DO47" i="7"/>
  <c r="AH47" i="7"/>
  <c r="S47" i="7"/>
  <c r="EU47" i="7"/>
  <c r="GI47" i="7"/>
  <c r="ER47" i="7"/>
  <c r="BK47" i="7"/>
  <c r="FI47" i="7"/>
  <c r="BX47" i="7"/>
  <c r="FZ47" i="7"/>
  <c r="CK47" i="7"/>
  <c r="GQ47" i="7"/>
  <c r="CX47" i="7"/>
  <c r="R47" i="7"/>
  <c r="GN47" i="7"/>
  <c r="BA47" i="7"/>
  <c r="FS47" i="7"/>
  <c r="DY47" i="7"/>
  <c r="AU47" i="7"/>
  <c r="EM47" i="7"/>
  <c r="BH47" i="7"/>
  <c r="FB47" i="7"/>
  <c r="BU47" i="7"/>
  <c r="FV47" i="7"/>
  <c r="CH47" i="7"/>
  <c r="ED47" i="7"/>
  <c r="CU47" i="7"/>
  <c r="EE47" i="7"/>
  <c r="FC47" i="7"/>
  <c r="DH47" i="7"/>
  <c r="AE47" i="7"/>
  <c r="DV47" i="7"/>
  <c r="AR47" i="7"/>
  <c r="EJ47" i="7"/>
  <c r="BE47" i="7"/>
  <c r="EY47" i="7"/>
  <c r="BR47" i="7"/>
  <c r="AY47" i="7"/>
  <c r="GL47" i="7"/>
  <c r="GM47" i="7"/>
  <c r="GG47" i="7"/>
  <c r="CR47" i="7"/>
  <c r="DE47" i="7"/>
  <c r="AB47" i="7"/>
  <c r="DS47" i="7"/>
  <c r="AO47" i="7"/>
  <c r="EG47" i="7"/>
  <c r="BB47" i="7"/>
  <c r="EC47" i="7"/>
  <c r="CG47" i="7"/>
  <c r="FW47" i="7"/>
  <c r="FM47" i="7"/>
  <c r="CB47" i="7"/>
  <c r="GD47" i="7"/>
  <c r="CO47" i="7"/>
  <c r="GU47" i="7"/>
  <c r="DB47" i="7"/>
  <c r="Y47" i="7"/>
  <c r="DP47" i="7"/>
  <c r="AL47" i="7"/>
  <c r="AK47" i="7"/>
  <c r="FQ47" i="7"/>
  <c r="FG47" i="7"/>
  <c r="ES47" i="7"/>
  <c r="BL47" i="7"/>
  <c r="FJ47" i="7"/>
  <c r="BY47" i="7"/>
  <c r="GA47" i="7"/>
  <c r="CL47" i="7"/>
  <c r="GR47" i="7"/>
  <c r="CY47" i="7"/>
  <c r="V47" i="7"/>
  <c r="DN47" i="7"/>
  <c r="CF47" i="7"/>
  <c r="EQ47" i="7"/>
  <c r="DZ47" i="7"/>
  <c r="AV47" i="7"/>
  <c r="EO47" i="7"/>
  <c r="BI47" i="7"/>
  <c r="FF47" i="7"/>
  <c r="BV47" i="7"/>
  <c r="FX47" i="7"/>
  <c r="CI47" i="7"/>
  <c r="GH47" i="7"/>
  <c r="AJ47" i="7"/>
  <c r="FP47" i="7"/>
  <c r="DK47" i="7"/>
  <c r="CS47" i="7"/>
  <c r="P47" i="7"/>
  <c r="DF47" i="7"/>
  <c r="AC47" i="7"/>
  <c r="DT47" i="7"/>
  <c r="AP47" i="7"/>
  <c r="EH47" i="7"/>
  <c r="BC47" i="7"/>
  <c r="ET47" i="7"/>
  <c r="AI47" i="7"/>
  <c r="FO47" i="7"/>
  <c r="CE47" i="7"/>
  <c r="EA47" i="7"/>
  <c r="DI47" i="7"/>
  <c r="AF47" i="7"/>
  <c r="DW47" i="7"/>
  <c r="AS47" i="7"/>
  <c r="EK47" i="7"/>
  <c r="BF47" i="7"/>
  <c r="EZ47" i="7"/>
  <c r="BS47" i="7"/>
  <c r="FN47" i="7"/>
  <c r="DM47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1" i="7"/>
  <c r="J16" i="7"/>
  <c r="GD51" i="7"/>
  <c r="DQ51" i="7"/>
  <c r="BD51" i="7"/>
  <c r="FZ51" i="7"/>
  <c r="DM51" i="7"/>
  <c r="AZ51" i="7"/>
  <c r="FV51" i="7"/>
  <c r="DI51" i="7"/>
  <c r="AV51" i="7"/>
  <c r="FQ51" i="7"/>
  <c r="DD51" i="7"/>
  <c r="FO51" i="7"/>
  <c r="FN51" i="7"/>
  <c r="DA51" i="7"/>
  <c r="AN51" i="7"/>
  <c r="FJ51" i="7"/>
  <c r="CW51" i="7"/>
  <c r="AJ51" i="7"/>
  <c r="FF51" i="7"/>
  <c r="CS51" i="7"/>
  <c r="AF51" i="7"/>
  <c r="FA51" i="7"/>
  <c r="CN51" i="7"/>
  <c r="AQ51" i="7"/>
  <c r="EX51" i="7"/>
  <c r="CK51" i="7"/>
  <c r="X51" i="7"/>
  <c r="ET51" i="7"/>
  <c r="CG51" i="7"/>
  <c r="T51" i="7"/>
  <c r="EP51" i="7"/>
  <c r="CC51" i="7"/>
  <c r="P51" i="7"/>
  <c r="EK51" i="7"/>
  <c r="BX51" i="7"/>
  <c r="FB51" i="7"/>
  <c r="EH51" i="7"/>
  <c r="BU51" i="7"/>
  <c r="GQ51" i="7"/>
  <c r="ED51" i="7"/>
  <c r="BQ51" i="7"/>
  <c r="GM51" i="7"/>
  <c r="DZ51" i="7"/>
  <c r="BM51" i="7"/>
  <c r="GI51" i="7"/>
  <c r="DU51" i="7"/>
  <c r="BH51" i="7"/>
  <c r="AD51" i="7"/>
  <c r="DR51" i="7"/>
  <c r="BE51" i="7"/>
  <c r="GA51" i="7"/>
  <c r="DN51" i="7"/>
  <c r="BA51" i="7"/>
  <c r="FW51" i="7"/>
  <c r="DJ51" i="7"/>
  <c r="AW51" i="7"/>
  <c r="FS51" i="7"/>
  <c r="DE51" i="7"/>
  <c r="AR51" i="7"/>
  <c r="EY51" i="7"/>
  <c r="DB51" i="7"/>
  <c r="AO51" i="7"/>
  <c r="FK51" i="7"/>
  <c r="CX51" i="7"/>
  <c r="AK51" i="7"/>
  <c r="FG51" i="7"/>
  <c r="CT51" i="7"/>
  <c r="AG51" i="7"/>
  <c r="FC51" i="7"/>
  <c r="CO51" i="7"/>
  <c r="AB51" i="7"/>
  <c r="AA51" i="7"/>
  <c r="CL51" i="7"/>
  <c r="Y51" i="7"/>
  <c r="EU51" i="7"/>
  <c r="CH51" i="7"/>
  <c r="U51" i="7"/>
  <c r="EQ51" i="7"/>
  <c r="CD51" i="7"/>
  <c r="Q51" i="7"/>
  <c r="EM51" i="7"/>
  <c r="BY51" i="7"/>
  <c r="L51" i="7"/>
  <c r="EL51" i="7"/>
  <c r="BV51" i="7"/>
  <c r="GR51" i="7"/>
  <c r="EE51" i="7"/>
  <c r="BR51" i="7"/>
  <c r="GN51" i="7"/>
  <c r="EA51" i="7"/>
  <c r="BN51" i="7"/>
  <c r="GJ51" i="7"/>
  <c r="DW51" i="7"/>
  <c r="BI51" i="7"/>
  <c r="BZ51" i="7"/>
  <c r="N51" i="7"/>
  <c r="BF51" i="7"/>
  <c r="GB51" i="7"/>
  <c r="DO51" i="7"/>
  <c r="BB51" i="7"/>
  <c r="FX51" i="7"/>
  <c r="DK51" i="7"/>
  <c r="AX51" i="7"/>
  <c r="FT51" i="7"/>
  <c r="DG51" i="7"/>
  <c r="AS51" i="7"/>
  <c r="GU51" i="7"/>
  <c r="EI51" i="7"/>
  <c r="AP51" i="7"/>
  <c r="FL51" i="7"/>
  <c r="CY51" i="7"/>
  <c r="AL51" i="7"/>
  <c r="FH51" i="7"/>
  <c r="CU51" i="7"/>
  <c r="AH51" i="7"/>
  <c r="FD51" i="7"/>
  <c r="CQ51" i="7"/>
  <c r="AC51" i="7"/>
  <c r="BW51" i="7"/>
  <c r="K51" i="7"/>
  <c r="Z51" i="7"/>
  <c r="EV51" i="7"/>
  <c r="CI51" i="7"/>
  <c r="V51" i="7"/>
  <c r="ER51" i="7"/>
  <c r="CE51" i="7"/>
  <c r="R51" i="7"/>
  <c r="EN51" i="7"/>
  <c r="CA51" i="7"/>
  <c r="M51" i="7"/>
  <c r="GH51" i="7"/>
  <c r="DV51" i="7"/>
  <c r="GS51" i="7"/>
  <c r="EF51" i="7"/>
  <c r="BS51" i="7"/>
  <c r="GO51" i="7"/>
  <c r="EB51" i="7"/>
  <c r="BO51" i="7"/>
  <c r="GK51" i="7"/>
  <c r="DX51" i="7"/>
  <c r="BK51" i="7"/>
  <c r="GF51" i="7"/>
  <c r="BJ51" i="7"/>
  <c r="DS51" i="7"/>
  <c r="GC51" i="7"/>
  <c r="DP51" i="7"/>
  <c r="BC51" i="7"/>
  <c r="FY51" i="7"/>
  <c r="DL51" i="7"/>
  <c r="AY51" i="7"/>
  <c r="FU51" i="7"/>
  <c r="DH51" i="7"/>
  <c r="AU51" i="7"/>
  <c r="FP51" i="7"/>
  <c r="GE51" i="7"/>
  <c r="CM51" i="7"/>
  <c r="FM51" i="7"/>
  <c r="CZ51" i="7"/>
  <c r="AM51" i="7"/>
  <c r="FI51" i="7"/>
  <c r="CV51" i="7"/>
  <c r="AI51" i="7"/>
  <c r="FE51" i="7"/>
  <c r="CR51" i="7"/>
  <c r="AE51" i="7"/>
  <c r="EZ51" i="7"/>
  <c r="BG51" i="7"/>
  <c r="DF51" i="7"/>
  <c r="EW51" i="7"/>
  <c r="CJ51" i="7"/>
  <c r="W51" i="7"/>
  <c r="ES51" i="7"/>
  <c r="CF51" i="7"/>
  <c r="BP51" i="7"/>
  <c r="S51" i="7"/>
  <c r="GL51" i="7"/>
  <c r="EO51" i="7"/>
  <c r="DY51" i="7"/>
  <c r="CB51" i="7"/>
  <c r="BL51" i="7"/>
  <c r="O51" i="7"/>
  <c r="GG51" i="7"/>
  <c r="EJ51" i="7"/>
  <c r="GT51" i="7"/>
  <c r="DT51" i="7"/>
  <c r="EG51" i="7"/>
  <c r="FR51" i="7"/>
  <c r="BT51" i="7"/>
  <c r="AT51" i="7"/>
  <c r="GP51" i="7"/>
  <c r="DC51" i="7"/>
  <c r="EC51" i="7"/>
  <c r="CP51" i="7"/>
  <c r="AH16" i="7"/>
  <c r="DZ16" i="7"/>
  <c r="CE16" i="7"/>
  <c r="FW16" i="7"/>
  <c r="BZ16" i="7"/>
  <c r="FR16" i="7"/>
  <c r="CA16" i="7"/>
  <c r="AG16" i="7"/>
  <c r="CN16" i="7"/>
  <c r="EQ16" i="7"/>
  <c r="FZ16" i="7"/>
  <c r="CH16" i="7"/>
  <c r="AN16" i="7"/>
  <c r="EF16" i="7"/>
  <c r="CK16" i="7"/>
  <c r="GC16" i="7"/>
  <c r="CF16" i="7"/>
  <c r="FX16" i="7"/>
  <c r="CG16" i="7"/>
  <c r="AY16" i="7"/>
  <c r="DF16" i="7"/>
  <c r="FD16" i="7"/>
  <c r="GH16" i="7"/>
  <c r="FT16" i="7"/>
  <c r="AT16" i="7"/>
  <c r="EL16" i="7"/>
  <c r="CQ16" i="7"/>
  <c r="GI16" i="7"/>
  <c r="CL16" i="7"/>
  <c r="GD16" i="7"/>
  <c r="CM16" i="7"/>
  <c r="BQ16" i="7"/>
  <c r="DX16" i="7"/>
  <c r="FO16" i="7"/>
  <c r="GR16" i="7"/>
  <c r="CZ16" i="7"/>
  <c r="AZ16" i="7"/>
  <c r="ER16" i="7"/>
  <c r="CW16" i="7"/>
  <c r="GO16" i="7"/>
  <c r="CR16" i="7"/>
  <c r="GJ16" i="7"/>
  <c r="CS16" i="7"/>
  <c r="CI16" i="7"/>
  <c r="EP16" i="7"/>
  <c r="FY16" i="7"/>
  <c r="AA16" i="7"/>
  <c r="GB16" i="7"/>
  <c r="BF16" i="7"/>
  <c r="K16" i="7"/>
  <c r="DC16" i="7"/>
  <c r="GU16" i="7"/>
  <c r="CX16" i="7"/>
  <c r="GP16" i="7"/>
  <c r="CY16" i="7"/>
  <c r="DA16" i="7"/>
  <c r="FC16" i="7"/>
  <c r="GG16" i="7"/>
  <c r="AS16" i="7"/>
  <c r="N16" i="7"/>
  <c r="BL16" i="7"/>
  <c r="Q16" i="7"/>
  <c r="DI16" i="7"/>
  <c r="L16" i="7"/>
  <c r="DD16" i="7"/>
  <c r="M16" i="7"/>
  <c r="DE16" i="7"/>
  <c r="DS16" i="7"/>
  <c r="FN16" i="7"/>
  <c r="GQ16" i="7"/>
  <c r="BK16" i="7"/>
  <c r="DR16" i="7"/>
  <c r="BR16" i="7"/>
  <c r="W16" i="7"/>
  <c r="DO16" i="7"/>
  <c r="R16" i="7"/>
  <c r="DJ16" i="7"/>
  <c r="S16" i="7"/>
  <c r="DK16" i="7"/>
  <c r="EK16" i="7"/>
  <c r="FV16" i="7"/>
  <c r="Z16" i="7"/>
  <c r="CC16" i="7"/>
  <c r="GL16" i="7"/>
  <c r="BX16" i="7"/>
  <c r="AC16" i="7"/>
  <c r="DU16" i="7"/>
  <c r="X16" i="7"/>
  <c r="DP16" i="7"/>
  <c r="Y16" i="7"/>
  <c r="DQ16" i="7"/>
  <c r="FB16" i="7"/>
  <c r="GF16" i="7"/>
  <c r="AR16" i="7"/>
  <c r="CU16" i="7"/>
  <c r="AF16" i="7"/>
  <c r="CD16" i="7"/>
  <c r="AI16" i="7"/>
  <c r="EA16" i="7"/>
  <c r="AD16" i="7"/>
  <c r="DV16" i="7"/>
  <c r="AE16" i="7"/>
  <c r="DW16" i="7"/>
  <c r="FM16" i="7"/>
  <c r="GN16" i="7"/>
  <c r="BJ16" i="7"/>
  <c r="DM16" i="7"/>
  <c r="EJ16" i="7"/>
  <c r="CJ16" i="7"/>
  <c r="AO16" i="7"/>
  <c r="EG16" i="7"/>
  <c r="AJ16" i="7"/>
  <c r="EB16" i="7"/>
  <c r="AK16" i="7"/>
  <c r="EC16" i="7"/>
  <c r="FU16" i="7"/>
  <c r="U16" i="7"/>
  <c r="CB16" i="7"/>
  <c r="EE16" i="7"/>
  <c r="GT16" i="7"/>
  <c r="CP16" i="7"/>
  <c r="AU16" i="7"/>
  <c r="EM16" i="7"/>
  <c r="AP16" i="7"/>
  <c r="EH16" i="7"/>
  <c r="AQ16" i="7"/>
  <c r="EI16" i="7"/>
  <c r="GE16" i="7"/>
  <c r="AM16" i="7"/>
  <c r="CT16" i="7"/>
  <c r="EW16" i="7"/>
  <c r="AX16" i="7"/>
  <c r="CV16" i="7"/>
  <c r="BA16" i="7"/>
  <c r="ES16" i="7"/>
  <c r="AV16" i="7"/>
  <c r="EN16" i="7"/>
  <c r="AW16" i="7"/>
  <c r="EO16" i="7"/>
  <c r="GM16" i="7"/>
  <c r="BE16" i="7"/>
  <c r="DL16" i="7"/>
  <c r="FI16" i="7"/>
  <c r="EX16" i="7"/>
  <c r="DB16" i="7"/>
  <c r="BG16" i="7"/>
  <c r="EY16" i="7"/>
  <c r="BB16" i="7"/>
  <c r="ET16" i="7"/>
  <c r="BC16" i="7"/>
  <c r="EU16" i="7"/>
  <c r="T16" i="7"/>
  <c r="BW16" i="7"/>
  <c r="ED16" i="7"/>
  <c r="FS16" i="7"/>
  <c r="BP16" i="7"/>
  <c r="P16" i="7"/>
  <c r="DH16" i="7"/>
  <c r="BM16" i="7"/>
  <c r="FE16" i="7"/>
  <c r="BH16" i="7"/>
  <c r="EZ16" i="7"/>
  <c r="BI16" i="7"/>
  <c r="FA16" i="7"/>
  <c r="AL16" i="7"/>
  <c r="CO16" i="7"/>
  <c r="EV16" i="7"/>
  <c r="GA16" i="7"/>
  <c r="FJ16" i="7"/>
  <c r="V16" i="7"/>
  <c r="DN16" i="7"/>
  <c r="BS16" i="7"/>
  <c r="FK16" i="7"/>
  <c r="BN16" i="7"/>
  <c r="FF16" i="7"/>
  <c r="BO16" i="7"/>
  <c r="FG16" i="7"/>
  <c r="BD16" i="7"/>
  <c r="DG16" i="7"/>
  <c r="FH16" i="7"/>
  <c r="GK16" i="7"/>
  <c r="AB16" i="7"/>
  <c r="DT16" i="7"/>
  <c r="BY16" i="7"/>
  <c r="FQ16" i="7"/>
  <c r="BT16" i="7"/>
  <c r="FL16" i="7"/>
  <c r="BU16" i="7"/>
  <c r="O16" i="7"/>
  <c r="BV16" i="7"/>
  <c r="DY16" i="7"/>
  <c r="FP16" i="7"/>
  <c r="GS16" i="7"/>
  <c r="EG58" i="7"/>
  <c r="FK58" i="7"/>
  <c r="FI58" i="7"/>
  <c r="FF58" i="7"/>
  <c r="FT58" i="7"/>
  <c r="DE58" i="7"/>
  <c r="DT58" i="7"/>
  <c r="R58" i="7"/>
  <c r="AZ58" i="7"/>
  <c r="EQ58" i="7"/>
  <c r="AP58" i="7"/>
  <c r="GI58" i="7"/>
  <c r="DQ58" i="7"/>
  <c r="EU58" i="7"/>
  <c r="ES58" i="7"/>
  <c r="EP58" i="7"/>
  <c r="FD58" i="7"/>
  <c r="CO58" i="7"/>
  <c r="CE58" i="7"/>
  <c r="FG58" i="7"/>
  <c r="AE58" i="7"/>
  <c r="CU58" i="7"/>
  <c r="EL58" i="7"/>
  <c r="AS58" i="7"/>
  <c r="GT58" i="7"/>
  <c r="DA58" i="7"/>
  <c r="EE58" i="7"/>
  <c r="EC58" i="7"/>
  <c r="DZ58" i="7"/>
  <c r="EN58" i="7"/>
  <c r="BY58" i="7"/>
  <c r="BG58" i="7"/>
  <c r="DJ58" i="7"/>
  <c r="M58" i="7"/>
  <c r="BQ58" i="7"/>
  <c r="Z58" i="7"/>
  <c r="BK58" i="7"/>
  <c r="GD58" i="7"/>
  <c r="CK58" i="7"/>
  <c r="DO58" i="7"/>
  <c r="DM58" i="7"/>
  <c r="GK58" i="7"/>
  <c r="DX58" i="7"/>
  <c r="FW58" i="7"/>
  <c r="AL58" i="7"/>
  <c r="BZ58" i="7"/>
  <c r="EZ58" i="7"/>
  <c r="AU58" i="7"/>
  <c r="EJ58" i="7"/>
  <c r="AR58" i="7"/>
  <c r="FN58" i="7"/>
  <c r="BU58" i="7"/>
  <c r="CY58" i="7"/>
  <c r="CW58" i="7"/>
  <c r="FU58" i="7"/>
  <c r="DH58" i="7"/>
  <c r="DW58" i="7"/>
  <c r="T58" i="7"/>
  <c r="BB58" i="7"/>
  <c r="DD58" i="7"/>
  <c r="AB58" i="7"/>
  <c r="Y58" i="7"/>
  <c r="GH58" i="7"/>
  <c r="EX58" i="7"/>
  <c r="BE58" i="7"/>
  <c r="GP58" i="7"/>
  <c r="CG58" i="7"/>
  <c r="FE58" i="7"/>
  <c r="CR58" i="7"/>
  <c r="CJ58" i="7"/>
  <c r="FP58" i="7"/>
  <c r="AI58" i="7"/>
  <c r="BT58" i="7"/>
  <c r="EI58" i="7"/>
  <c r="EH58" i="7"/>
  <c r="AO58" i="7"/>
  <c r="FZ58" i="7"/>
  <c r="GN58" i="7"/>
  <c r="EO58" i="7"/>
  <c r="CB58" i="7"/>
  <c r="BI58" i="7"/>
  <c r="DS58" i="7"/>
  <c r="O58" i="7"/>
  <c r="AY58" i="7"/>
  <c r="GM58" i="7"/>
  <c r="X58" i="7"/>
  <c r="DR58" i="7"/>
  <c r="GR58" i="7"/>
  <c r="FJ58" i="7"/>
  <c r="FX58" i="7"/>
  <c r="DY58" i="7"/>
  <c r="BL58" i="7"/>
  <c r="AN58" i="7"/>
  <c r="CD58" i="7"/>
  <c r="FC58" i="7"/>
  <c r="AD58" i="7"/>
  <c r="EM58" i="7"/>
  <c r="EA58" i="7"/>
  <c r="DB58" i="7"/>
  <c r="GB58" i="7"/>
  <c r="ET58" i="7"/>
  <c r="FH58" i="7"/>
  <c r="DI58" i="7"/>
  <c r="AV58" i="7"/>
  <c r="V58" i="7"/>
  <c r="BD58" i="7"/>
  <c r="DG58" i="7"/>
  <c r="L58" i="7"/>
  <c r="CT58" i="7"/>
  <c r="W58" i="7"/>
  <c r="CL58" i="7"/>
  <c r="FL58" i="7"/>
  <c r="ED58" i="7"/>
  <c r="ER58" i="7"/>
  <c r="CS58" i="7"/>
  <c r="AF58" i="7"/>
  <c r="FS58" i="7"/>
  <c r="AK58" i="7"/>
  <c r="BX58" i="7"/>
  <c r="EY58" i="7"/>
  <c r="BP58" i="7"/>
  <c r="CQ58" i="7"/>
  <c r="BV58" i="7"/>
  <c r="EV58" i="7"/>
  <c r="DN58" i="7"/>
  <c r="EB58" i="7"/>
  <c r="CC58" i="7"/>
  <c r="P58" i="7"/>
  <c r="DV58" i="7"/>
  <c r="S58" i="7"/>
  <c r="BA58" i="7"/>
  <c r="DC58" i="7"/>
  <c r="AT58" i="7"/>
  <c r="CP58" i="7"/>
  <c r="BF58" i="7"/>
  <c r="EF58" i="7"/>
  <c r="CX58" i="7"/>
  <c r="DL58" i="7"/>
  <c r="BM58" i="7"/>
  <c r="GG58" i="7"/>
  <c r="CI58" i="7"/>
  <c r="FO58" i="7"/>
  <c r="AH58" i="7"/>
  <c r="BS58" i="7"/>
  <c r="AA58" i="7"/>
  <c r="CN58" i="7"/>
  <c r="GS58" i="7"/>
  <c r="DP58" i="7"/>
  <c r="CH58" i="7"/>
  <c r="CV58" i="7"/>
  <c r="AW58" i="7"/>
  <c r="FQ58" i="7"/>
  <c r="BH58" i="7"/>
  <c r="DK58" i="7"/>
  <c r="N58" i="7"/>
  <c r="AX58" i="7"/>
  <c r="CM58" i="7"/>
  <c r="GC58" i="7"/>
  <c r="CZ58" i="7"/>
  <c r="BR58" i="7"/>
  <c r="CF58" i="7"/>
  <c r="AG58" i="7"/>
  <c r="FA58" i="7"/>
  <c r="AM58" i="7"/>
  <c r="CA58" i="7"/>
  <c r="FB58" i="7"/>
  <c r="AC58" i="7"/>
  <c r="GF58" i="7"/>
  <c r="BO58" i="7"/>
  <c r="EW58" i="7"/>
  <c r="GA58" i="7"/>
  <c r="FY58" i="7"/>
  <c r="FV58" i="7"/>
  <c r="GJ58" i="7"/>
  <c r="DU58" i="7"/>
  <c r="FR58" i="7"/>
  <c r="AJ58" i="7"/>
  <c r="BW58" i="7"/>
  <c r="GU58" i="7"/>
  <c r="GE58" i="7"/>
  <c r="BJ58" i="7"/>
  <c r="FM58" i="7"/>
  <c r="GQ58" i="7"/>
  <c r="GO58" i="7"/>
  <c r="GL58" i="7"/>
  <c r="Q58" i="7"/>
  <c r="EK58" i="7"/>
  <c r="U58" i="7"/>
  <c r="BC58" i="7"/>
  <c r="DF58" i="7"/>
  <c r="AQ58" i="7"/>
  <c r="BN58" i="7"/>
  <c r="AF24" i="7"/>
  <c r="DX24" i="7"/>
  <c r="AA24" i="7"/>
  <c r="DS24" i="7"/>
  <c r="V24" i="7"/>
  <c r="DN24" i="7"/>
  <c r="Q24" i="7"/>
  <c r="DI24" i="7"/>
  <c r="M24" i="7"/>
  <c r="DD24" i="7"/>
  <c r="GQ24" i="7"/>
  <c r="DK24" i="7"/>
  <c r="AL24" i="7"/>
  <c r="ED24" i="7"/>
  <c r="AG24" i="7"/>
  <c r="DY24" i="7"/>
  <c r="AB24" i="7"/>
  <c r="DT24" i="7"/>
  <c r="W24" i="7"/>
  <c r="DO24" i="7"/>
  <c r="AE24" i="7"/>
  <c r="DV24" i="7"/>
  <c r="X24" i="7"/>
  <c r="EC24" i="7"/>
  <c r="AR24" i="7"/>
  <c r="EJ24" i="7"/>
  <c r="AM24" i="7"/>
  <c r="EE24" i="7"/>
  <c r="AH24" i="7"/>
  <c r="DZ24" i="7"/>
  <c r="AC24" i="7"/>
  <c r="DU24" i="7"/>
  <c r="AW24" i="7"/>
  <c r="EN24" i="7"/>
  <c r="AP24" i="7"/>
  <c r="EU24" i="7"/>
  <c r="AX24" i="7"/>
  <c r="EP24" i="7"/>
  <c r="AS24" i="7"/>
  <c r="EK24" i="7"/>
  <c r="AN24" i="7"/>
  <c r="EF24" i="7"/>
  <c r="AI24" i="7"/>
  <c r="EA24" i="7"/>
  <c r="BO24" i="7"/>
  <c r="FF24" i="7"/>
  <c r="BH24" i="7"/>
  <c r="FM24" i="7"/>
  <c r="BD24" i="7"/>
  <c r="EV24" i="7"/>
  <c r="AY24" i="7"/>
  <c r="EQ24" i="7"/>
  <c r="AT24" i="7"/>
  <c r="EL24" i="7"/>
  <c r="AO24" i="7"/>
  <c r="EG24" i="7"/>
  <c r="CG24" i="7"/>
  <c r="FX24" i="7"/>
  <c r="BZ24" i="7"/>
  <c r="GE24" i="7"/>
  <c r="BJ24" i="7"/>
  <c r="FB24" i="7"/>
  <c r="BE24" i="7"/>
  <c r="EW24" i="7"/>
  <c r="AZ24" i="7"/>
  <c r="ER24" i="7"/>
  <c r="AU24" i="7"/>
  <c r="EM24" i="7"/>
  <c r="CY24" i="7"/>
  <c r="GP24" i="7"/>
  <c r="CR24" i="7"/>
  <c r="L24" i="7"/>
  <c r="BP24" i="7"/>
  <c r="FH24" i="7"/>
  <c r="BK24" i="7"/>
  <c r="FC24" i="7"/>
  <c r="BF24" i="7"/>
  <c r="EX24" i="7"/>
  <c r="BA24" i="7"/>
  <c r="ES24" i="7"/>
  <c r="DQ24" i="7"/>
  <c r="S24" i="7"/>
  <c r="DJ24" i="7"/>
  <c r="AD24" i="7"/>
  <c r="BV24" i="7"/>
  <c r="FN24" i="7"/>
  <c r="BQ24" i="7"/>
  <c r="FI24" i="7"/>
  <c r="BL24" i="7"/>
  <c r="FD24" i="7"/>
  <c r="BG24" i="7"/>
  <c r="EY24" i="7"/>
  <c r="EI24" i="7"/>
  <c r="AK24" i="7"/>
  <c r="EB24" i="7"/>
  <c r="AV24" i="7"/>
  <c r="CB24" i="7"/>
  <c r="FT24" i="7"/>
  <c r="BW24" i="7"/>
  <c r="FO24" i="7"/>
  <c r="BR24" i="7"/>
  <c r="FJ24" i="7"/>
  <c r="BM24" i="7"/>
  <c r="FE24" i="7"/>
  <c r="FA24" i="7"/>
  <c r="BC24" i="7"/>
  <c r="ET24" i="7"/>
  <c r="BN24" i="7"/>
  <c r="CH24" i="7"/>
  <c r="FZ24" i="7"/>
  <c r="CC24" i="7"/>
  <c r="FU24" i="7"/>
  <c r="BX24" i="7"/>
  <c r="FP24" i="7"/>
  <c r="BS24" i="7"/>
  <c r="FK24" i="7"/>
  <c r="FS24" i="7"/>
  <c r="BU24" i="7"/>
  <c r="FL24" i="7"/>
  <c r="CF24" i="7"/>
  <c r="CN24" i="7"/>
  <c r="GF24" i="7"/>
  <c r="CI24" i="7"/>
  <c r="GA24" i="7"/>
  <c r="CD24" i="7"/>
  <c r="FV24" i="7"/>
  <c r="BY24" i="7"/>
  <c r="FQ24" i="7"/>
  <c r="GK24" i="7"/>
  <c r="CM24" i="7"/>
  <c r="GD24" i="7"/>
  <c r="CX24" i="7"/>
  <c r="CT24" i="7"/>
  <c r="GL24" i="7"/>
  <c r="CO24" i="7"/>
  <c r="GG24" i="7"/>
  <c r="CJ24" i="7"/>
  <c r="GB24" i="7"/>
  <c r="CE24" i="7"/>
  <c r="FW24" i="7"/>
  <c r="R24" i="7"/>
  <c r="DE24" i="7"/>
  <c r="Y24" i="7"/>
  <c r="DP24" i="7"/>
  <c r="CZ24" i="7"/>
  <c r="GR24" i="7"/>
  <c r="CU24" i="7"/>
  <c r="GM24" i="7"/>
  <c r="CP24" i="7"/>
  <c r="GH24" i="7"/>
  <c r="CK24" i="7"/>
  <c r="GC24" i="7"/>
  <c r="AJ24" i="7"/>
  <c r="DW24" i="7"/>
  <c r="AQ24" i="7"/>
  <c r="EH24" i="7"/>
  <c r="N24" i="7"/>
  <c r="DF24" i="7"/>
  <c r="DA24" i="7"/>
  <c r="GS24" i="7"/>
  <c r="CV24" i="7"/>
  <c r="GN24" i="7"/>
  <c r="CQ24" i="7"/>
  <c r="GI24" i="7"/>
  <c r="BB24" i="7"/>
  <c r="EO24" i="7"/>
  <c r="BI24" i="7"/>
  <c r="EZ24" i="7"/>
  <c r="T24" i="7"/>
  <c r="DL24" i="7"/>
  <c r="O24" i="7"/>
  <c r="DG24" i="7"/>
  <c r="DB24" i="7"/>
  <c r="GT24" i="7"/>
  <c r="CW24" i="7"/>
  <c r="GO24" i="7"/>
  <c r="BT24" i="7"/>
  <c r="FG24" i="7"/>
  <c r="CA24" i="7"/>
  <c r="FR24" i="7"/>
  <c r="Z24" i="7"/>
  <c r="DR24" i="7"/>
  <c r="U24" i="7"/>
  <c r="DM24" i="7"/>
  <c r="P24" i="7"/>
  <c r="DH24" i="7"/>
  <c r="DC24" i="7"/>
  <c r="GU24" i="7"/>
  <c r="CL24" i="7"/>
  <c r="FY24" i="7"/>
  <c r="CS24" i="7"/>
  <c r="GJ24" i="7"/>
  <c r="GL59" i="7"/>
  <c r="DY59" i="7"/>
  <c r="BL59" i="7"/>
  <c r="GH59" i="7"/>
  <c r="DU59" i="7"/>
  <c r="BH59" i="7"/>
  <c r="K59" i="7"/>
  <c r="EW59" i="7"/>
  <c r="CJ59" i="7"/>
  <c r="FF59" i="7"/>
  <c r="CS59" i="7"/>
  <c r="AF59" i="7"/>
  <c r="FB59" i="7"/>
  <c r="CO59" i="7"/>
  <c r="AB59" i="7"/>
  <c r="GD59" i="7"/>
  <c r="DQ59" i="7"/>
  <c r="DJ59" i="7"/>
  <c r="AW59" i="7"/>
  <c r="FS59" i="7"/>
  <c r="DF59" i="7"/>
  <c r="CT59" i="7"/>
  <c r="CD59" i="7"/>
  <c r="Q59" i="7"/>
  <c r="EM59" i="7"/>
  <c r="BZ59" i="7"/>
  <c r="M59" i="7"/>
  <c r="EY59" i="7"/>
  <c r="DB59" i="7"/>
  <c r="BN59" i="7"/>
  <c r="GJ59" i="7"/>
  <c r="DW59" i="7"/>
  <c r="BJ59" i="7"/>
  <c r="GF59" i="7"/>
  <c r="EI59" i="7"/>
  <c r="CL59" i="7"/>
  <c r="Y59" i="7"/>
  <c r="ES59" i="7"/>
  <c r="AX59" i="7"/>
  <c r="FT59" i="7"/>
  <c r="DG59" i="7"/>
  <c r="AT59" i="7"/>
  <c r="FP59" i="7"/>
  <c r="DS59" i="7"/>
  <c r="BV59" i="7"/>
  <c r="GR59" i="7"/>
  <c r="EC59" i="7"/>
  <c r="AH59" i="7"/>
  <c r="FD59" i="7"/>
  <c r="CQ59" i="7"/>
  <c r="AD59" i="7"/>
  <c r="EZ59" i="7"/>
  <c r="DC59" i="7"/>
  <c r="BF59" i="7"/>
  <c r="R59" i="7"/>
  <c r="EN59" i="7"/>
  <c r="CA59" i="7"/>
  <c r="N59" i="7"/>
  <c r="EJ59" i="7"/>
  <c r="CM59" i="7"/>
  <c r="AP59" i="7"/>
  <c r="GK59" i="7"/>
  <c r="DX59" i="7"/>
  <c r="BK59" i="7"/>
  <c r="GG59" i="7"/>
  <c r="DT59" i="7"/>
  <c r="BW59" i="7"/>
  <c r="Z59" i="7"/>
  <c r="EV59" i="7"/>
  <c r="CG59" i="7"/>
  <c r="EO59" i="7"/>
  <c r="CB59" i="7"/>
  <c r="O59" i="7"/>
  <c r="EK59" i="7"/>
  <c r="BX59" i="7"/>
  <c r="AA59" i="7"/>
  <c r="FU59" i="7"/>
  <c r="DV59" i="7"/>
  <c r="BG59" i="7"/>
  <c r="GB59" i="7"/>
  <c r="AK59" i="7"/>
  <c r="S59" i="7"/>
  <c r="FZ59" i="7"/>
  <c r="FK59" i="7"/>
  <c r="FE59" i="7"/>
  <c r="CP59" i="7"/>
  <c r="AQ59" i="7"/>
  <c r="FL59" i="7"/>
  <c r="U59" i="7"/>
  <c r="GQ59" i="7"/>
  <c r="DN59" i="7"/>
  <c r="FJ59" i="7"/>
  <c r="DI59" i="7"/>
  <c r="FQ59" i="7"/>
  <c r="GT59" i="7"/>
  <c r="EF59" i="7"/>
  <c r="FG59" i="7"/>
  <c r="EE59" i="7"/>
  <c r="BB59" i="7"/>
  <c r="CC59" i="7"/>
  <c r="FA59" i="7"/>
  <c r="FN59" i="7"/>
  <c r="DP59" i="7"/>
  <c r="CU59" i="7"/>
  <c r="BS59" i="7"/>
  <c r="FX59" i="7"/>
  <c r="BM59" i="7"/>
  <c r="DE59" i="7"/>
  <c r="EX59" i="7"/>
  <c r="CZ59" i="7"/>
  <c r="AI59" i="7"/>
  <c r="GP59" i="7"/>
  <c r="DL59" i="7"/>
  <c r="AG59" i="7"/>
  <c r="BY59" i="7"/>
  <c r="EH59" i="7"/>
  <c r="BT59" i="7"/>
  <c r="EU59" i="7"/>
  <c r="ED59" i="7"/>
  <c r="AZ59" i="7"/>
  <c r="DH59" i="7"/>
  <c r="BI59" i="7"/>
  <c r="DR59" i="7"/>
  <c r="BD59" i="7"/>
  <c r="CI59" i="7"/>
  <c r="BR59" i="7"/>
  <c r="FH59" i="7"/>
  <c r="CR59" i="7"/>
  <c r="AS59" i="7"/>
  <c r="GS59" i="7"/>
  <c r="AN59" i="7"/>
  <c r="W59" i="7"/>
  <c r="GN59" i="7"/>
  <c r="DK59" i="7"/>
  <c r="AV59" i="7"/>
  <c r="AC59" i="7"/>
  <c r="GC59" i="7"/>
  <c r="X59" i="7"/>
  <c r="ET59" i="7"/>
  <c r="EB59" i="7"/>
  <c r="CY59" i="7"/>
  <c r="P59" i="7"/>
  <c r="DD59" i="7"/>
  <c r="FM59" i="7"/>
  <c r="GO59" i="7"/>
  <c r="CH59" i="7"/>
  <c r="BP59" i="7"/>
  <c r="CX59" i="7"/>
  <c r="GI59" i="7"/>
  <c r="CN59" i="7"/>
  <c r="EG59" i="7"/>
  <c r="FY59" i="7"/>
  <c r="V59" i="7"/>
  <c r="GM59" i="7"/>
  <c r="CV59" i="7"/>
  <c r="FC59" i="7"/>
  <c r="AR59" i="7"/>
  <c r="DA59" i="7"/>
  <c r="FI59" i="7"/>
  <c r="ER59" i="7"/>
  <c r="EA59" i="7"/>
  <c r="AY59" i="7"/>
  <c r="AU59" i="7"/>
  <c r="L59" i="7"/>
  <c r="CK59" i="7"/>
  <c r="DM59" i="7"/>
  <c r="CF59" i="7"/>
  <c r="BO59" i="7"/>
  <c r="AM59" i="7"/>
  <c r="FV59" i="7"/>
  <c r="AE59" i="7"/>
  <c r="GU59" i="7"/>
  <c r="BU59" i="7"/>
  <c r="CW59" i="7"/>
  <c r="T59" i="7"/>
  <c r="GA59" i="7"/>
  <c r="AL59" i="7"/>
  <c r="EP59" i="7"/>
  <c r="FR59" i="7"/>
  <c r="GE59" i="7"/>
  <c r="BE59" i="7"/>
  <c r="BQ59" i="7"/>
  <c r="EQ59" i="7"/>
  <c r="DO59" i="7"/>
  <c r="AJ59" i="7"/>
  <c r="DZ59" i="7"/>
  <c r="EL59" i="7"/>
  <c r="FO59" i="7"/>
  <c r="AO59" i="7"/>
  <c r="BA59" i="7"/>
  <c r="CE59" i="7"/>
  <c r="BC59" i="7"/>
  <c r="FW59" i="7"/>
  <c r="V25" i="7"/>
  <c r="DN25" i="7"/>
  <c r="Q25" i="7"/>
  <c r="DI25" i="7"/>
  <c r="L25" i="7"/>
  <c r="DD25" i="7"/>
  <c r="M25" i="7"/>
  <c r="DE25" i="7"/>
  <c r="N25" i="7"/>
  <c r="DF25" i="7"/>
  <c r="O25" i="7"/>
  <c r="DG25" i="7"/>
  <c r="AB25" i="7"/>
  <c r="AH25" i="7"/>
  <c r="DZ25" i="7"/>
  <c r="AC25" i="7"/>
  <c r="DU25" i="7"/>
  <c r="X25" i="7"/>
  <c r="DP25" i="7"/>
  <c r="Y25" i="7"/>
  <c r="DQ25" i="7"/>
  <c r="Z25" i="7"/>
  <c r="DR25" i="7"/>
  <c r="AN25" i="7"/>
  <c r="AT25" i="7"/>
  <c r="EL25" i="7"/>
  <c r="AO25" i="7"/>
  <c r="EG25" i="7"/>
  <c r="AJ25" i="7"/>
  <c r="EB25" i="7"/>
  <c r="AK25" i="7"/>
  <c r="EC25" i="7"/>
  <c r="AL25" i="7"/>
  <c r="ED25" i="7"/>
  <c r="AM25" i="7"/>
  <c r="EE25" i="7"/>
  <c r="AZ25" i="7"/>
  <c r="ER25" i="7"/>
  <c r="AU25" i="7"/>
  <c r="EM25" i="7"/>
  <c r="AP25" i="7"/>
  <c r="EH25" i="7"/>
  <c r="AQ25" i="7"/>
  <c r="EI25" i="7"/>
  <c r="AR25" i="7"/>
  <c r="EJ25" i="7"/>
  <c r="AS25" i="7"/>
  <c r="BF25" i="7"/>
  <c r="EX25" i="7"/>
  <c r="BA25" i="7"/>
  <c r="ES25" i="7"/>
  <c r="AV25" i="7"/>
  <c r="EN25" i="7"/>
  <c r="AW25" i="7"/>
  <c r="EO25" i="7"/>
  <c r="AX25" i="7"/>
  <c r="BL25" i="7"/>
  <c r="FD25" i="7"/>
  <c r="BG25" i="7"/>
  <c r="EY25" i="7"/>
  <c r="BB25" i="7"/>
  <c r="ET25" i="7"/>
  <c r="BC25" i="7"/>
  <c r="EU25" i="7"/>
  <c r="BD25" i="7"/>
  <c r="EV25" i="7"/>
  <c r="BE25" i="7"/>
  <c r="EW25" i="7"/>
  <c r="BR25" i="7"/>
  <c r="FJ25" i="7"/>
  <c r="BM25" i="7"/>
  <c r="BX25" i="7"/>
  <c r="FP25" i="7"/>
  <c r="BS25" i="7"/>
  <c r="FK25" i="7"/>
  <c r="BN25" i="7"/>
  <c r="CD25" i="7"/>
  <c r="FV25" i="7"/>
  <c r="BY25" i="7"/>
  <c r="FQ25" i="7"/>
  <c r="BT25" i="7"/>
  <c r="FL25" i="7"/>
  <c r="BU25" i="7"/>
  <c r="FM25" i="7"/>
  <c r="BV25" i="7"/>
  <c r="FN25" i="7"/>
  <c r="BW25" i="7"/>
  <c r="FO25" i="7"/>
  <c r="CJ25" i="7"/>
  <c r="GB25" i="7"/>
  <c r="CE25" i="7"/>
  <c r="FW25" i="7"/>
  <c r="BZ25" i="7"/>
  <c r="FR25" i="7"/>
  <c r="CA25" i="7"/>
  <c r="FS25" i="7"/>
  <c r="CB25" i="7"/>
  <c r="FT25" i="7"/>
  <c r="CC25" i="7"/>
  <c r="FU25" i="7"/>
  <c r="CP25" i="7"/>
  <c r="GH25" i="7"/>
  <c r="CK25" i="7"/>
  <c r="GC25" i="7"/>
  <c r="CF25" i="7"/>
  <c r="FX25" i="7"/>
  <c r="CG25" i="7"/>
  <c r="FY25" i="7"/>
  <c r="CH25" i="7"/>
  <c r="FZ25" i="7"/>
  <c r="CI25" i="7"/>
  <c r="CV25" i="7"/>
  <c r="GN25" i="7"/>
  <c r="CQ25" i="7"/>
  <c r="GI25" i="7"/>
  <c r="CL25" i="7"/>
  <c r="GD25" i="7"/>
  <c r="CM25" i="7"/>
  <c r="GE25" i="7"/>
  <c r="CN25" i="7"/>
  <c r="GF25" i="7"/>
  <c r="DB25" i="7"/>
  <c r="GT25" i="7"/>
  <c r="CW25" i="7"/>
  <c r="GO25" i="7"/>
  <c r="CR25" i="7"/>
  <c r="GJ25" i="7"/>
  <c r="CS25" i="7"/>
  <c r="GK25" i="7"/>
  <c r="CT25" i="7"/>
  <c r="GL25" i="7"/>
  <c r="CU25" i="7"/>
  <c r="GM25" i="7"/>
  <c r="P25" i="7"/>
  <c r="DH25" i="7"/>
  <c r="K25" i="7"/>
  <c r="DC25" i="7"/>
  <c r="GU25" i="7"/>
  <c r="CX25" i="7"/>
  <c r="GP25" i="7"/>
  <c r="CY25" i="7"/>
  <c r="GQ25" i="7"/>
  <c r="CZ25" i="7"/>
  <c r="GR25" i="7"/>
  <c r="DA25" i="7"/>
  <c r="GS25" i="7"/>
  <c r="AI25" i="7"/>
  <c r="DW25" i="7"/>
  <c r="BK25" i="7"/>
  <c r="DO25" i="7"/>
  <c r="FA25" i="7"/>
  <c r="BQ25" i="7"/>
  <c r="EA25" i="7"/>
  <c r="FG25" i="7"/>
  <c r="CO25" i="7"/>
  <c r="FE25" i="7"/>
  <c r="T25" i="7"/>
  <c r="DM25" i="7"/>
  <c r="R25" i="7"/>
  <c r="AF25" i="7"/>
  <c r="DS25" i="7"/>
  <c r="AD25" i="7"/>
  <c r="BJ25" i="7"/>
  <c r="DY25" i="7"/>
  <c r="BH25" i="7"/>
  <c r="BP25" i="7"/>
  <c r="EK25" i="7"/>
  <c r="DJ25" i="7"/>
  <c r="DL25" i="7"/>
  <c r="EQ25" i="7"/>
  <c r="DV25" i="7"/>
  <c r="DX25" i="7"/>
  <c r="FC25" i="7"/>
  <c r="EZ25" i="7"/>
  <c r="EP25" i="7"/>
  <c r="FI25" i="7"/>
  <c r="FF25" i="7"/>
  <c r="FB25" i="7"/>
  <c r="GA25" i="7"/>
  <c r="S25" i="7"/>
  <c r="FH25" i="7"/>
  <c r="GG25" i="7"/>
  <c r="AE25" i="7"/>
  <c r="U25" i="7"/>
  <c r="DT25" i="7"/>
  <c r="BI25" i="7"/>
  <c r="AA25" i="7"/>
  <c r="EF25" i="7"/>
  <c r="BO25" i="7"/>
  <c r="AG25" i="7"/>
  <c r="W25" i="7"/>
  <c r="DK25" i="7"/>
  <c r="AY25" i="7"/>
  <c r="J47" i="7"/>
  <c r="J11" i="7"/>
  <c r="K11" i="7"/>
  <c r="K47" i="7"/>
  <c r="M47" i="7"/>
  <c r="N47" i="7"/>
  <c r="O47" i="7"/>
  <c r="L47" i="7"/>
  <c r="L11" i="7"/>
  <c r="O11" i="7"/>
  <c r="N11" i="7"/>
  <c r="M11" i="7"/>
  <c r="CT49" i="7"/>
  <c r="AG49" i="7"/>
  <c r="CD49" i="7"/>
  <c r="Q49" i="7"/>
  <c r="EM49" i="7"/>
  <c r="BZ49" i="7"/>
  <c r="M49" i="7"/>
  <c r="EY49" i="7"/>
  <c r="DB49" i="7"/>
  <c r="BE49" i="7"/>
  <c r="GA49" i="7"/>
  <c r="AX49" i="7"/>
  <c r="FT49" i="7"/>
  <c r="DG49" i="7"/>
  <c r="AT49" i="7"/>
  <c r="FP49" i="7"/>
  <c r="DS49" i="7"/>
  <c r="AH49" i="7"/>
  <c r="FD49" i="7"/>
  <c r="CQ49" i="7"/>
  <c r="AD49" i="7"/>
  <c r="EZ49" i="7"/>
  <c r="DC49" i="7"/>
  <c r="BF49" i="7"/>
  <c r="GR49" i="7"/>
  <c r="R49" i="7"/>
  <c r="EN49" i="7"/>
  <c r="CA49" i="7"/>
  <c r="N49" i="7"/>
  <c r="EJ49" i="7"/>
  <c r="CM49" i="7"/>
  <c r="AP49" i="7"/>
  <c r="GB49" i="7"/>
  <c r="DO49" i="7"/>
  <c r="BA49" i="7"/>
  <c r="GK49" i="7"/>
  <c r="DX49" i="7"/>
  <c r="BK49" i="7"/>
  <c r="GG49" i="7"/>
  <c r="DT49" i="7"/>
  <c r="BW49" i="7"/>
  <c r="Z49" i="7"/>
  <c r="FL49" i="7"/>
  <c r="CY49" i="7"/>
  <c r="AK49" i="7"/>
  <c r="CE49" i="7"/>
  <c r="FU49" i="7"/>
  <c r="DH49" i="7"/>
  <c r="AU49" i="7"/>
  <c r="FQ49" i="7"/>
  <c r="DD49" i="7"/>
  <c r="BG49" i="7"/>
  <c r="J49" i="7"/>
  <c r="FE49" i="7"/>
  <c r="CR49" i="7"/>
  <c r="EO49" i="7"/>
  <c r="CB49" i="7"/>
  <c r="O49" i="7"/>
  <c r="EK49" i="7"/>
  <c r="BX49" i="7"/>
  <c r="AA49" i="7"/>
  <c r="GC49" i="7"/>
  <c r="DP49" i="7"/>
  <c r="BC49" i="7"/>
  <c r="FX49" i="7"/>
  <c r="GM49" i="7"/>
  <c r="EA49" i="7"/>
  <c r="GL49" i="7"/>
  <c r="DY49" i="7"/>
  <c r="BL49" i="7"/>
  <c r="GH49" i="7"/>
  <c r="DU49" i="7"/>
  <c r="BH49" i="7"/>
  <c r="K49" i="7"/>
  <c r="FM49" i="7"/>
  <c r="CZ49" i="7"/>
  <c r="FV49" i="7"/>
  <c r="DI49" i="7"/>
  <c r="AV49" i="7"/>
  <c r="FR49" i="7"/>
  <c r="DE49" i="7"/>
  <c r="AR49" i="7"/>
  <c r="GT49" i="7"/>
  <c r="EW49" i="7"/>
  <c r="CJ49" i="7"/>
  <c r="W49" i="7"/>
  <c r="EP49" i="7"/>
  <c r="DJ49" i="7"/>
  <c r="AW49" i="7"/>
  <c r="FS49" i="7"/>
  <c r="DF49" i="7"/>
  <c r="AS49" i="7"/>
  <c r="GE49" i="7"/>
  <c r="EH49" i="7"/>
  <c r="CK49" i="7"/>
  <c r="X49" i="7"/>
  <c r="ES49" i="7"/>
  <c r="CF49" i="7"/>
  <c r="FJ49" i="7"/>
  <c r="AF49" i="7"/>
  <c r="GF49" i="7"/>
  <c r="DQ49" i="7"/>
  <c r="AM49" i="7"/>
  <c r="BP49" i="7"/>
  <c r="ET49" i="7"/>
  <c r="P49" i="7"/>
  <c r="CN49" i="7"/>
  <c r="DA49" i="7"/>
  <c r="GO49" i="7"/>
  <c r="AZ49" i="7"/>
  <c r="V49" i="7"/>
  <c r="GI49" i="7"/>
  <c r="AB49" i="7"/>
  <c r="BU49" i="7"/>
  <c r="FY49" i="7"/>
  <c r="AJ49" i="7"/>
  <c r="EQ49" i="7"/>
  <c r="FC49" i="7"/>
  <c r="L49" i="7"/>
  <c r="AO49" i="7"/>
  <c r="FI49" i="7"/>
  <c r="T49" i="7"/>
  <c r="S49" i="7"/>
  <c r="DW49" i="7"/>
  <c r="GU49" i="7"/>
  <c r="Y49" i="7"/>
  <c r="EC49" i="7"/>
  <c r="CU49" i="7"/>
  <c r="ED49" i="7"/>
  <c r="AE49" i="7"/>
  <c r="FO49" i="7"/>
  <c r="EV49" i="7"/>
  <c r="DM49" i="7"/>
  <c r="CH49" i="7"/>
  <c r="CX49" i="7"/>
  <c r="FB49" i="7"/>
  <c r="EI49" i="7"/>
  <c r="EF49" i="7"/>
  <c r="CW49" i="7"/>
  <c r="GP49" i="7"/>
  <c r="DN49" i="7"/>
  <c r="EL49" i="7"/>
  <c r="AQ49" i="7"/>
  <c r="BT49" i="7"/>
  <c r="CG49" i="7"/>
  <c r="BR49" i="7"/>
  <c r="DK49" i="7"/>
  <c r="DV49" i="7"/>
  <c r="GD49" i="7"/>
  <c r="BD49" i="7"/>
  <c r="BQ49" i="7"/>
  <c r="BO49" i="7"/>
  <c r="FF49" i="7"/>
  <c r="CP49" i="7"/>
  <c r="FN49" i="7"/>
  <c r="AN49" i="7"/>
  <c r="U49" i="7"/>
  <c r="FZ49" i="7"/>
  <c r="DZ49" i="7"/>
  <c r="BJ49" i="7"/>
  <c r="EX49" i="7"/>
  <c r="GQ49" i="7"/>
  <c r="GN49" i="7"/>
  <c r="BB49" i="7"/>
  <c r="BN49" i="7"/>
  <c r="FA49" i="7"/>
  <c r="DR49" i="7"/>
  <c r="FK49" i="7"/>
  <c r="FH49" i="7"/>
  <c r="FW49" i="7"/>
  <c r="CS49" i="7"/>
  <c r="CO49" i="7"/>
  <c r="CL49" i="7"/>
  <c r="EU49" i="7"/>
  <c r="ER49" i="7"/>
  <c r="AY49" i="7"/>
  <c r="CC49" i="7"/>
  <c r="BY49" i="7"/>
  <c r="BV49" i="7"/>
  <c r="EE49" i="7"/>
  <c r="EB49" i="7"/>
  <c r="AL49" i="7"/>
  <c r="BM49" i="7"/>
  <c r="BI49" i="7"/>
  <c r="GS49" i="7"/>
  <c r="CI49" i="7"/>
  <c r="DL49" i="7"/>
  <c r="FG49" i="7"/>
  <c r="GJ49" i="7"/>
  <c r="AC49" i="7"/>
  <c r="EG49" i="7"/>
  <c r="BS49" i="7"/>
  <c r="CV49" i="7"/>
  <c r="AI49" i="7"/>
  <c r="BD13" i="7"/>
  <c r="EV13" i="7"/>
  <c r="BE13" i="7"/>
  <c r="EW13" i="7"/>
  <c r="AZ13" i="7"/>
  <c r="ER13" i="7"/>
  <c r="X13" i="7"/>
  <c r="DP13" i="7"/>
  <c r="BO13" i="7"/>
  <c r="FW13" i="7"/>
  <c r="CQ13" i="7"/>
  <c r="GI13" i="7"/>
  <c r="BJ13" i="7"/>
  <c r="FB13" i="7"/>
  <c r="BK13" i="7"/>
  <c r="FC13" i="7"/>
  <c r="BF13" i="7"/>
  <c r="EX13" i="7"/>
  <c r="AD13" i="7"/>
  <c r="DV13" i="7"/>
  <c r="CG13" i="7"/>
  <c r="GO13" i="7"/>
  <c r="DI13" i="7"/>
  <c r="CA13" i="7"/>
  <c r="BP13" i="7"/>
  <c r="FH13" i="7"/>
  <c r="BQ13" i="7"/>
  <c r="FI13" i="7"/>
  <c r="BL13" i="7"/>
  <c r="FD13" i="7"/>
  <c r="AJ13" i="7"/>
  <c r="EB13" i="7"/>
  <c r="CY13" i="7"/>
  <c r="AK13" i="7"/>
  <c r="EA13" i="7"/>
  <c r="GE13" i="7"/>
  <c r="BV13" i="7"/>
  <c r="FN13" i="7"/>
  <c r="BW13" i="7"/>
  <c r="FO13" i="7"/>
  <c r="BR13" i="7"/>
  <c r="FJ13" i="7"/>
  <c r="AP13" i="7"/>
  <c r="EH13" i="7"/>
  <c r="DQ13" i="7"/>
  <c r="BC13" i="7"/>
  <c r="ES13" i="7"/>
  <c r="CS13" i="7"/>
  <c r="CB13" i="7"/>
  <c r="FT13" i="7"/>
  <c r="CC13" i="7"/>
  <c r="FU13" i="7"/>
  <c r="BX13" i="7"/>
  <c r="FP13" i="7"/>
  <c r="AV13" i="7"/>
  <c r="EN13" i="7"/>
  <c r="EI13" i="7"/>
  <c r="BU13" i="7"/>
  <c r="FK13" i="7"/>
  <c r="DK13" i="7"/>
  <c r="CH13" i="7"/>
  <c r="FZ13" i="7"/>
  <c r="CI13" i="7"/>
  <c r="GA13" i="7"/>
  <c r="CD13" i="7"/>
  <c r="FV13" i="7"/>
  <c r="BB13" i="7"/>
  <c r="ET13" i="7"/>
  <c r="FA13" i="7"/>
  <c r="CM13" i="7"/>
  <c r="GC13" i="7"/>
  <c r="S13" i="7"/>
  <c r="CN13" i="7"/>
  <c r="GF13" i="7"/>
  <c r="CO13" i="7"/>
  <c r="GG13" i="7"/>
  <c r="CJ13" i="7"/>
  <c r="GB13" i="7"/>
  <c r="BH13" i="7"/>
  <c r="EZ13" i="7"/>
  <c r="FS13" i="7"/>
  <c r="DE13" i="7"/>
  <c r="GU13" i="7"/>
  <c r="EC13" i="7"/>
  <c r="CT13" i="7"/>
  <c r="GL13" i="7"/>
  <c r="CU13" i="7"/>
  <c r="GM13" i="7"/>
  <c r="CP13" i="7"/>
  <c r="GH13" i="7"/>
  <c r="BN13" i="7"/>
  <c r="FF13" i="7"/>
  <c r="GK13" i="7"/>
  <c r="DW13" i="7"/>
  <c r="Y13" i="7"/>
  <c r="AQ13" i="7"/>
  <c r="CZ13" i="7"/>
  <c r="GR13" i="7"/>
  <c r="DA13" i="7"/>
  <c r="GS13" i="7"/>
  <c r="CV13" i="7"/>
  <c r="GN13" i="7"/>
  <c r="BT13" i="7"/>
  <c r="FL13" i="7"/>
  <c r="AI13" i="7"/>
  <c r="EO13" i="7"/>
  <c r="AU13" i="7"/>
  <c r="EU13" i="7"/>
  <c r="N13" i="7"/>
  <c r="DF13" i="7"/>
  <c r="O13" i="7"/>
  <c r="DG13" i="7"/>
  <c r="J13" i="7"/>
  <c r="DB13" i="7"/>
  <c r="GT13" i="7"/>
  <c r="BZ13" i="7"/>
  <c r="FR13" i="7"/>
  <c r="BA13" i="7"/>
  <c r="FG13" i="7"/>
  <c r="BM13" i="7"/>
  <c r="BI13" i="7"/>
  <c r="T13" i="7"/>
  <c r="DL13" i="7"/>
  <c r="U13" i="7"/>
  <c r="DM13" i="7"/>
  <c r="P13" i="7"/>
  <c r="DH13" i="7"/>
  <c r="K13" i="7"/>
  <c r="CF13" i="7"/>
  <c r="FX13" i="7"/>
  <c r="BS13" i="7"/>
  <c r="FY13" i="7"/>
  <c r="CE13" i="7"/>
  <c r="FM13" i="7"/>
  <c r="Z13" i="7"/>
  <c r="DR13" i="7"/>
  <c r="AA13" i="7"/>
  <c r="DS13" i="7"/>
  <c r="V13" i="7"/>
  <c r="DN13" i="7"/>
  <c r="Q13" i="7"/>
  <c r="CL13" i="7"/>
  <c r="GD13" i="7"/>
  <c r="CK13" i="7"/>
  <c r="GQ13" i="7"/>
  <c r="CW13" i="7"/>
  <c r="AF13" i="7"/>
  <c r="DX13" i="7"/>
  <c r="AG13" i="7"/>
  <c r="DY13" i="7"/>
  <c r="AB13" i="7"/>
  <c r="DT13" i="7"/>
  <c r="W13" i="7"/>
  <c r="CR13" i="7"/>
  <c r="GJ13" i="7"/>
  <c r="DC13" i="7"/>
  <c r="M13" i="7"/>
  <c r="DO13" i="7"/>
  <c r="AL13" i="7"/>
  <c r="ED13" i="7"/>
  <c r="AM13" i="7"/>
  <c r="EE13" i="7"/>
  <c r="AH13" i="7"/>
  <c r="DZ13" i="7"/>
  <c r="AC13" i="7"/>
  <c r="CX13" i="7"/>
  <c r="GP13" i="7"/>
  <c r="DU13" i="7"/>
  <c r="AO13" i="7"/>
  <c r="EG13" i="7"/>
  <c r="AR13" i="7"/>
  <c r="EJ13" i="7"/>
  <c r="AS13" i="7"/>
  <c r="EK13" i="7"/>
  <c r="AN13" i="7"/>
  <c r="EF13" i="7"/>
  <c r="L13" i="7"/>
  <c r="DD13" i="7"/>
  <c r="AE13" i="7"/>
  <c r="EM13" i="7"/>
  <c r="BG13" i="7"/>
  <c r="EY13" i="7"/>
  <c r="AX13" i="7"/>
  <c r="EP13" i="7"/>
  <c r="AY13" i="7"/>
  <c r="EQ13" i="7"/>
  <c r="AT13" i="7"/>
  <c r="EL13" i="7"/>
  <c r="R13" i="7"/>
  <c r="DJ13" i="7"/>
  <c r="AW13" i="7"/>
  <c r="FE13" i="7"/>
  <c r="BY13" i="7"/>
  <c r="FQ13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8" i="7"/>
  <c r="BF68" i="7"/>
  <c r="GB68" i="7"/>
  <c r="EJ68" i="7"/>
  <c r="BW68" i="7"/>
  <c r="GC68" i="7"/>
  <c r="DP68" i="7"/>
  <c r="BC68" i="7"/>
  <c r="GN68" i="7"/>
  <c r="CN68" i="7"/>
  <c r="GT68" i="7"/>
  <c r="BX68" i="7"/>
  <c r="GD68" i="7"/>
  <c r="DQ68" i="7"/>
  <c r="BD68" i="7"/>
  <c r="FZ68" i="7"/>
  <c r="EB68" i="7"/>
  <c r="BH68" i="7"/>
  <c r="FN68" i="7"/>
  <c r="DA68" i="7"/>
  <c r="AN68" i="7"/>
  <c r="FJ68" i="7"/>
  <c r="DL68" i="7"/>
  <c r="AR68" i="7"/>
  <c r="EX68" i="7"/>
  <c r="CK68" i="7"/>
  <c r="X68" i="7"/>
  <c r="ET68" i="7"/>
  <c r="CV68" i="7"/>
  <c r="AB68" i="7"/>
  <c r="EH68" i="7"/>
  <c r="BU68" i="7"/>
  <c r="GQ68" i="7"/>
  <c r="ED68" i="7"/>
  <c r="CF68" i="7"/>
  <c r="GE68" i="7"/>
  <c r="DB68" i="7"/>
  <c r="AO68" i="7"/>
  <c r="FO68" i="7"/>
  <c r="BE68" i="7"/>
  <c r="BS68" i="7"/>
  <c r="AZ68" i="7"/>
  <c r="FU68" i="7"/>
  <c r="DH68" i="7"/>
  <c r="AS68" i="7"/>
  <c r="DV68" i="7"/>
  <c r="AK68" i="7"/>
  <c r="CE68" i="7"/>
  <c r="EY68" i="7"/>
  <c r="Y68" i="7"/>
  <c r="AM68" i="7"/>
  <c r="AJ68" i="7"/>
  <c r="FE68" i="7"/>
  <c r="CR68" i="7"/>
  <c r="AC68" i="7"/>
  <c r="BJ68" i="7"/>
  <c r="FG68" i="7"/>
  <c r="CA68" i="7"/>
  <c r="DS68" i="7"/>
  <c r="GR68" i="7"/>
  <c r="W68" i="7"/>
  <c r="T68" i="7"/>
  <c r="EO68" i="7"/>
  <c r="CB68" i="7"/>
  <c r="FY68" i="7"/>
  <c r="CU68" i="7"/>
  <c r="AE68" i="7"/>
  <c r="DC68" i="7"/>
  <c r="FL68" i="7"/>
  <c r="GP68" i="7"/>
  <c r="GL68" i="7"/>
  <c r="DY68" i="7"/>
  <c r="BL68" i="7"/>
  <c r="EL68" i="7"/>
  <c r="DM68" i="7"/>
  <c r="AI68" i="7"/>
  <c r="CM68" i="7"/>
  <c r="EV68" i="7"/>
  <c r="DN68" i="7"/>
  <c r="FV68" i="7"/>
  <c r="DI68" i="7"/>
  <c r="AV68" i="7"/>
  <c r="BZ68" i="7"/>
  <c r="BA68" i="7"/>
  <c r="ES68" i="7"/>
  <c r="BG68" i="7"/>
  <c r="EF68" i="7"/>
  <c r="CX68" i="7"/>
  <c r="FF68" i="7"/>
  <c r="CS68" i="7"/>
  <c r="AF68" i="7"/>
  <c r="O68" i="7"/>
  <c r="FW68" i="7"/>
  <c r="CG68" i="7"/>
  <c r="AQ68" i="7"/>
  <c r="CZ68" i="7"/>
  <c r="CH68" i="7"/>
  <c r="EP68" i="7"/>
  <c r="CC68" i="7"/>
  <c r="P68" i="7"/>
  <c r="EC68" i="7"/>
  <c r="DK68" i="7"/>
  <c r="AA68" i="7"/>
  <c r="DR68" i="7"/>
  <c r="CJ68" i="7"/>
  <c r="BR68" i="7"/>
  <c r="DZ68" i="7"/>
  <c r="BM68" i="7"/>
  <c r="GG68" i="7"/>
  <c r="BQ68" i="7"/>
  <c r="AY68" i="7"/>
  <c r="AD68" i="7"/>
  <c r="CL68" i="7"/>
  <c r="BT68" i="7"/>
  <c r="BB68" i="7"/>
  <c r="DJ68" i="7"/>
  <c r="AW68" i="7"/>
  <c r="FQ68" i="7"/>
  <c r="FS68" i="7"/>
  <c r="U68" i="7"/>
  <c r="BV68" i="7"/>
  <c r="GA68" i="7"/>
  <c r="AL68" i="7"/>
  <c r="CT68" i="7"/>
  <c r="AG68" i="7"/>
  <c r="FA68" i="7"/>
  <c r="GM68" i="7"/>
  <c r="DG68" i="7"/>
  <c r="S68" i="7"/>
  <c r="GF68" i="7"/>
  <c r="AP68" i="7"/>
  <c r="FK68" i="7"/>
  <c r="V68" i="7"/>
  <c r="CD68" i="7"/>
  <c r="Q68" i="7"/>
  <c r="EK68" i="7"/>
  <c r="EA68" i="7"/>
  <c r="AU68" i="7"/>
  <c r="FC68" i="7"/>
  <c r="FP68" i="7"/>
  <c r="Z68" i="7"/>
  <c r="EU68" i="7"/>
  <c r="GO68" i="7"/>
  <c r="BN68" i="7"/>
  <c r="GJ68" i="7"/>
  <c r="DU68" i="7"/>
  <c r="BO68" i="7"/>
  <c r="FR68" i="7"/>
  <c r="FB68" i="7"/>
  <c r="EZ68" i="7"/>
  <c r="GS68" i="7"/>
  <c r="EE68" i="7"/>
  <c r="FX68" i="7"/>
  <c r="AX68" i="7"/>
  <c r="FT68" i="7"/>
  <c r="DE68" i="7"/>
  <c r="GI68" i="7"/>
  <c r="DF68" i="7"/>
  <c r="EQ68" i="7"/>
  <c r="DT68" i="7"/>
  <c r="FM68" i="7"/>
  <c r="DO68" i="7"/>
  <c r="FH68" i="7"/>
  <c r="AH68" i="7"/>
  <c r="FD68" i="7"/>
  <c r="CO68" i="7"/>
  <c r="DW68" i="7"/>
  <c r="AT68" i="7"/>
  <c r="EM68" i="7"/>
  <c r="DD68" i="7"/>
  <c r="EW68" i="7"/>
  <c r="CY68" i="7"/>
  <c r="ER68" i="7"/>
  <c r="R68" i="7"/>
  <c r="EN68" i="7"/>
  <c r="BY68" i="7"/>
  <c r="BK68" i="7"/>
  <c r="FI68" i="7"/>
  <c r="CQ68" i="7"/>
  <c r="GH68" i="7"/>
  <c r="CW68" i="7"/>
  <c r="CP68" i="7"/>
  <c r="GU68" i="7"/>
  <c r="EG68" i="7"/>
  <c r="CI68" i="7"/>
  <c r="BP68" i="7"/>
  <c r="GK68" i="7"/>
  <c r="BI68" i="7"/>
  <c r="DX68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57" i="7"/>
  <c r="J22" i="7"/>
  <c r="CH57" i="7"/>
  <c r="AZ57" i="7"/>
  <c r="R57" i="7"/>
  <c r="CQ57" i="7"/>
  <c r="BI57" i="7"/>
  <c r="Y57" i="7"/>
  <c r="AO57" i="7"/>
  <c r="BB57" i="7"/>
  <c r="T57" i="7"/>
  <c r="AL57" i="7"/>
  <c r="DK57" i="7"/>
  <c r="CC57" i="7"/>
  <c r="AU57" i="7"/>
  <c r="DD57" i="7"/>
  <c r="V57" i="7"/>
  <c r="CU57" i="7"/>
  <c r="BM57" i="7"/>
  <c r="AE57" i="7"/>
  <c r="CN57" i="7"/>
  <c r="BV57" i="7"/>
  <c r="CW57" i="7"/>
  <c r="CG57" i="7"/>
  <c r="AY57" i="7"/>
  <c r="Q57" i="7"/>
  <c r="CP57" i="7"/>
  <c r="AR57" i="7"/>
  <c r="BG57" i="7"/>
  <c r="L22" i="7"/>
  <c r="CY57" i="7"/>
  <c r="BQ57" i="7"/>
  <c r="AI57" i="7"/>
  <c r="DH57" i="7"/>
  <c r="BZ57" i="7"/>
  <c r="AB57" i="7"/>
  <c r="BF57" i="7"/>
  <c r="M57" i="7"/>
  <c r="CI57" i="7"/>
  <c r="BA57" i="7"/>
  <c r="S57" i="7"/>
  <c r="CR57" i="7"/>
  <c r="BJ57" i="7"/>
  <c r="CZ57" i="7"/>
  <c r="BE57" i="7"/>
  <c r="L57" i="7"/>
  <c r="BS57" i="7"/>
  <c r="AK57" i="7"/>
  <c r="DJ57" i="7"/>
  <c r="CB57" i="7"/>
  <c r="AT57" i="7"/>
  <c r="AN57" i="7"/>
  <c r="DC57" i="7"/>
  <c r="K57" i="7"/>
  <c r="BC57" i="7"/>
  <c r="U57" i="7"/>
  <c r="CT57" i="7"/>
  <c r="BL57" i="7"/>
  <c r="AD57" i="7"/>
  <c r="CM57" i="7"/>
  <c r="AQ57" i="7"/>
  <c r="AM57" i="7"/>
  <c r="DL57" i="7"/>
  <c r="CD57" i="7"/>
  <c r="AV57" i="7"/>
  <c r="N57" i="7"/>
  <c r="W57" i="7"/>
  <c r="CV57" i="7"/>
  <c r="BN57" i="7"/>
  <c r="AF57" i="7"/>
  <c r="DE57" i="7"/>
  <c r="CL57" i="7"/>
  <c r="AP57" i="7"/>
  <c r="CS57" i="7"/>
  <c r="Z57" i="7"/>
  <c r="AW57" i="7"/>
  <c r="CK57" i="7"/>
  <c r="AG57" i="7"/>
  <c r="CJ57" i="7"/>
  <c r="P57" i="7"/>
  <c r="X57" i="7"/>
  <c r="DN57" i="7"/>
  <c r="DG57" i="7"/>
  <c r="BW57" i="7"/>
  <c r="CX57" i="7"/>
  <c r="CA57" i="7"/>
  <c r="BU57" i="7"/>
  <c r="BR57" i="7"/>
  <c r="BK57" i="7"/>
  <c r="BT57" i="7"/>
  <c r="DM57" i="7"/>
  <c r="O57" i="7"/>
  <c r="DB57" i="7"/>
  <c r="CF57" i="7"/>
  <c r="DF57" i="7"/>
  <c r="DA57" i="7"/>
  <c r="BP57" i="7"/>
  <c r="CO57" i="7"/>
  <c r="BD57" i="7"/>
  <c r="AJ57" i="7"/>
  <c r="BY57" i="7"/>
  <c r="CE57" i="7"/>
  <c r="AS57" i="7"/>
  <c r="BO57" i="7"/>
  <c r="AC57" i="7"/>
  <c r="AX57" i="7"/>
  <c r="BX57" i="7"/>
  <c r="AH57" i="7"/>
  <c r="BH57" i="7"/>
  <c r="DI57" i="7"/>
  <c r="AA57" i="7"/>
  <c r="FX57" i="7"/>
  <c r="FE57" i="7"/>
  <c r="EL57" i="7"/>
  <c r="EI57" i="7"/>
  <c r="FL57" i="7"/>
  <c r="FH57" i="7"/>
  <c r="EO57" i="7"/>
  <c r="DV57" i="7"/>
  <c r="DS57" i="7"/>
  <c r="EV57" i="7"/>
  <c r="M22" i="7"/>
  <c r="ER57" i="7"/>
  <c r="DY57" i="7"/>
  <c r="GG57" i="7"/>
  <c r="GT57" i="7"/>
  <c r="EF57" i="7"/>
  <c r="K22" i="7"/>
  <c r="EB57" i="7"/>
  <c r="GJ57" i="7"/>
  <c r="FQ57" i="7"/>
  <c r="GD57" i="7"/>
  <c r="DP57" i="7"/>
  <c r="GM57" i="7"/>
  <c r="FT57" i="7"/>
  <c r="FA57" i="7"/>
  <c r="FN57" i="7"/>
  <c r="GQ57" i="7"/>
  <c r="FW57" i="7"/>
  <c r="FD57" i="7"/>
  <c r="EK57" i="7"/>
  <c r="EX57" i="7"/>
  <c r="GA57" i="7"/>
  <c r="FG57" i="7"/>
  <c r="EN57" i="7"/>
  <c r="DU57" i="7"/>
  <c r="EH57" i="7"/>
  <c r="FK57" i="7"/>
  <c r="EQ57" i="7"/>
  <c r="DX57" i="7"/>
  <c r="GF57" i="7"/>
  <c r="DR57" i="7"/>
  <c r="EU57" i="7"/>
  <c r="EA57" i="7"/>
  <c r="GI57" i="7"/>
  <c r="FP57" i="7"/>
  <c r="GS57" i="7"/>
  <c r="EE57" i="7"/>
  <c r="GL57" i="7"/>
  <c r="FS57" i="7"/>
  <c r="EZ57" i="7"/>
  <c r="GC57" i="7"/>
  <c r="DO57" i="7"/>
  <c r="GO57" i="7"/>
  <c r="FV57" i="7"/>
  <c r="FC57" i="7"/>
  <c r="EJ57" i="7"/>
  <c r="FM57" i="7"/>
  <c r="GP57" i="7"/>
  <c r="FY57" i="7"/>
  <c r="FF57" i="7"/>
  <c r="EM57" i="7"/>
  <c r="DT57" i="7"/>
  <c r="EW57" i="7"/>
  <c r="FZ57" i="7"/>
  <c r="FI57" i="7"/>
  <c r="EP57" i="7"/>
  <c r="DW57" i="7"/>
  <c r="GU57" i="7"/>
  <c r="EG57" i="7"/>
  <c r="FJ57" i="7"/>
  <c r="ES57" i="7"/>
  <c r="DZ57" i="7"/>
  <c r="GH57" i="7"/>
  <c r="GE57" i="7"/>
  <c r="DQ57" i="7"/>
  <c r="ET57" i="7"/>
  <c r="GN57" i="7"/>
  <c r="FU57" i="7"/>
  <c r="FB57" i="7"/>
  <c r="EY57" i="7"/>
  <c r="GB57" i="7"/>
  <c r="EC57" i="7"/>
  <c r="GK57" i="7"/>
  <c r="FR57" i="7"/>
  <c r="FO57" i="7"/>
  <c r="GR57" i="7"/>
  <c r="ED57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6" i="7"/>
  <c r="L10" i="7"/>
  <c r="FM46" i="7"/>
  <c r="CZ46" i="7"/>
  <c r="AM46" i="7"/>
  <c r="FI46" i="7"/>
  <c r="CV46" i="7"/>
  <c r="AI46" i="7"/>
  <c r="DY46" i="7"/>
  <c r="AV46" i="7"/>
  <c r="EL46" i="7"/>
  <c r="BV46" i="7"/>
  <c r="BY46" i="7"/>
  <c r="AQ46" i="7"/>
  <c r="EW46" i="7"/>
  <c r="CJ46" i="7"/>
  <c r="W46" i="7"/>
  <c r="ES46" i="7"/>
  <c r="CF46" i="7"/>
  <c r="GL46" i="7"/>
  <c r="DI46" i="7"/>
  <c r="AF46" i="7"/>
  <c r="DV46" i="7"/>
  <c r="BF46" i="7"/>
  <c r="EG46" i="7"/>
  <c r="BT46" i="7"/>
  <c r="GP46" i="7"/>
  <c r="EC46" i="7"/>
  <c r="BP46" i="7"/>
  <c r="FV46" i="7"/>
  <c r="CS46" i="7"/>
  <c r="GI46" i="7"/>
  <c r="DF46" i="7"/>
  <c r="AP46" i="7"/>
  <c r="BX46" i="7"/>
  <c r="DS46" i="7"/>
  <c r="DQ46" i="7"/>
  <c r="BD46" i="7"/>
  <c r="FZ46" i="7"/>
  <c r="DM46" i="7"/>
  <c r="AZ46" i="7"/>
  <c r="FF46" i="7"/>
  <c r="CC46" i="7"/>
  <c r="FS46" i="7"/>
  <c r="CP46" i="7"/>
  <c r="DA46" i="7"/>
  <c r="AN46" i="7"/>
  <c r="FJ46" i="7"/>
  <c r="CW46" i="7"/>
  <c r="AJ46" i="7"/>
  <c r="EP46" i="7"/>
  <c r="BM46" i="7"/>
  <c r="FC46" i="7"/>
  <c r="BZ46" i="7"/>
  <c r="GG46" i="7"/>
  <c r="BW46" i="7"/>
  <c r="GU46" i="7"/>
  <c r="CK46" i="7"/>
  <c r="X46" i="7"/>
  <c r="ET46" i="7"/>
  <c r="CG46" i="7"/>
  <c r="T46" i="7"/>
  <c r="DZ46" i="7"/>
  <c r="AW46" i="7"/>
  <c r="EM46" i="7"/>
  <c r="BJ46" i="7"/>
  <c r="DD46" i="7"/>
  <c r="EY46" i="7"/>
  <c r="DE46" i="7"/>
  <c r="BU46" i="7"/>
  <c r="GQ46" i="7"/>
  <c r="ED46" i="7"/>
  <c r="BQ46" i="7"/>
  <c r="GM46" i="7"/>
  <c r="DJ46" i="7"/>
  <c r="AG46" i="7"/>
  <c r="DW46" i="7"/>
  <c r="AT46" i="7"/>
  <c r="AA46" i="7"/>
  <c r="BI46" i="7"/>
  <c r="BE46" i="7"/>
  <c r="GA46" i="7"/>
  <c r="DN46" i="7"/>
  <c r="BA46" i="7"/>
  <c r="FW46" i="7"/>
  <c r="CT46" i="7"/>
  <c r="GJ46" i="7"/>
  <c r="DG46" i="7"/>
  <c r="AD46" i="7"/>
  <c r="GF46" i="7"/>
  <c r="EK46" i="7"/>
  <c r="AO46" i="7"/>
  <c r="FK46" i="7"/>
  <c r="CX46" i="7"/>
  <c r="AK46" i="7"/>
  <c r="FG46" i="7"/>
  <c r="CD46" i="7"/>
  <c r="FT46" i="7"/>
  <c r="CQ46" i="7"/>
  <c r="GT46" i="7"/>
  <c r="DC46" i="7"/>
  <c r="BH46" i="7"/>
  <c r="Y46" i="7"/>
  <c r="EU46" i="7"/>
  <c r="CH46" i="7"/>
  <c r="U46" i="7"/>
  <c r="EQ46" i="7"/>
  <c r="BN46" i="7"/>
  <c r="FD46" i="7"/>
  <c r="CA46" i="7"/>
  <c r="GD46" i="7"/>
  <c r="GE46" i="7"/>
  <c r="EJ46" i="7"/>
  <c r="GR46" i="7"/>
  <c r="EE46" i="7"/>
  <c r="BR46" i="7"/>
  <c r="GN46" i="7"/>
  <c r="EA46" i="7"/>
  <c r="AX46" i="7"/>
  <c r="EN46" i="7"/>
  <c r="BK46" i="7"/>
  <c r="FN46" i="7"/>
  <c r="CO46" i="7"/>
  <c r="BG46" i="7"/>
  <c r="GB46" i="7"/>
  <c r="DO46" i="7"/>
  <c r="BB46" i="7"/>
  <c r="FX46" i="7"/>
  <c r="DK46" i="7"/>
  <c r="AH46" i="7"/>
  <c r="DX46" i="7"/>
  <c r="AU46" i="7"/>
  <c r="EX46" i="7"/>
  <c r="FQ46" i="7"/>
  <c r="EI46" i="7"/>
  <c r="FL46" i="7"/>
  <c r="CY46" i="7"/>
  <c r="AL46" i="7"/>
  <c r="FH46" i="7"/>
  <c r="CU46" i="7"/>
  <c r="GK46" i="7"/>
  <c r="DH46" i="7"/>
  <c r="AE46" i="7"/>
  <c r="EH46" i="7"/>
  <c r="CN46" i="7"/>
  <c r="AS46" i="7"/>
  <c r="GC46" i="7"/>
  <c r="DP46" i="7"/>
  <c r="BC46" i="7"/>
  <c r="FY46" i="7"/>
  <c r="DL46" i="7"/>
  <c r="AY46" i="7"/>
  <c r="EO46" i="7"/>
  <c r="BL46" i="7"/>
  <c r="FB46" i="7"/>
  <c r="CL46" i="7"/>
  <c r="FO46" i="7"/>
  <c r="DT46" i="7"/>
  <c r="EF46" i="7"/>
  <c r="DB46" i="7"/>
  <c r="CI46" i="7"/>
  <c r="Z46" i="7"/>
  <c r="BS46" i="7"/>
  <c r="FP46" i="7"/>
  <c r="V46" i="7"/>
  <c r="CM46" i="7"/>
  <c r="GO46" i="7"/>
  <c r="FA46" i="7"/>
  <c r="ER46" i="7"/>
  <c r="EZ46" i="7"/>
  <c r="EB46" i="7"/>
  <c r="DU46" i="7"/>
  <c r="CE46" i="7"/>
  <c r="AR46" i="7"/>
  <c r="S46" i="7"/>
  <c r="BO46" i="7"/>
  <c r="AB46" i="7"/>
  <c r="R46" i="7"/>
  <c r="FU46" i="7"/>
  <c r="AC46" i="7"/>
  <c r="Q46" i="7"/>
  <c r="FE46" i="7"/>
  <c r="P46" i="7"/>
  <c r="CR46" i="7"/>
  <c r="O46" i="7"/>
  <c r="CB46" i="7"/>
  <c r="N46" i="7"/>
  <c r="GH46" i="7"/>
  <c r="M46" i="7"/>
  <c r="GS46" i="7"/>
  <c r="FR46" i="7"/>
  <c r="EV46" i="7"/>
  <c r="DR46" i="7"/>
  <c r="AI10" i="7"/>
  <c r="EA10" i="7"/>
  <c r="AP10" i="7"/>
  <c r="EH10" i="7"/>
  <c r="BC10" i="7"/>
  <c r="EU10" i="7"/>
  <c r="BJ10" i="7"/>
  <c r="FB10" i="7"/>
  <c r="BQ10" i="7"/>
  <c r="FI10" i="7"/>
  <c r="BX10" i="7"/>
  <c r="FP10" i="7"/>
  <c r="AO10" i="7"/>
  <c r="EG10" i="7"/>
  <c r="AV10" i="7"/>
  <c r="EN10" i="7"/>
  <c r="BI10" i="7"/>
  <c r="FA10" i="7"/>
  <c r="BP10" i="7"/>
  <c r="FH10" i="7"/>
  <c r="AU10" i="7"/>
  <c r="EM10" i="7"/>
  <c r="BB10" i="7"/>
  <c r="ET10" i="7"/>
  <c r="BO10" i="7"/>
  <c r="FG10" i="7"/>
  <c r="BV10" i="7"/>
  <c r="FN10" i="7"/>
  <c r="CC10" i="7"/>
  <c r="FU10" i="7"/>
  <c r="CJ10" i="7"/>
  <c r="GB10" i="7"/>
  <c r="BA10" i="7"/>
  <c r="ES10" i="7"/>
  <c r="BH10" i="7"/>
  <c r="EZ10" i="7"/>
  <c r="BU10" i="7"/>
  <c r="FM10" i="7"/>
  <c r="BG10" i="7"/>
  <c r="EY10" i="7"/>
  <c r="BN10" i="7"/>
  <c r="FF10" i="7"/>
  <c r="CA10" i="7"/>
  <c r="FS10" i="7"/>
  <c r="CH10" i="7"/>
  <c r="FZ10" i="7"/>
  <c r="CO10" i="7"/>
  <c r="GG10" i="7"/>
  <c r="CV10" i="7"/>
  <c r="GN10" i="7"/>
  <c r="BM10" i="7"/>
  <c r="FE10" i="7"/>
  <c r="BT10" i="7"/>
  <c r="FL10" i="7"/>
  <c r="CG10" i="7"/>
  <c r="FY10" i="7"/>
  <c r="CN10" i="7"/>
  <c r="GF10" i="7"/>
  <c r="CU10" i="7"/>
  <c r="GM10" i="7"/>
  <c r="DB10" i="7"/>
  <c r="GT10" i="7"/>
  <c r="BS10" i="7"/>
  <c r="FK10" i="7"/>
  <c r="BZ10" i="7"/>
  <c r="FR10" i="7"/>
  <c r="CM10" i="7"/>
  <c r="GE10" i="7"/>
  <c r="CT10" i="7"/>
  <c r="GL10" i="7"/>
  <c r="DA10" i="7"/>
  <c r="GS10" i="7"/>
  <c r="DH10" i="7"/>
  <c r="BY10" i="7"/>
  <c r="FQ10" i="7"/>
  <c r="CF10" i="7"/>
  <c r="FX10" i="7"/>
  <c r="CS10" i="7"/>
  <c r="GK10" i="7"/>
  <c r="CZ10" i="7"/>
  <c r="GR10" i="7"/>
  <c r="DG10" i="7"/>
  <c r="V10" i="7"/>
  <c r="DN10" i="7"/>
  <c r="CE10" i="7"/>
  <c r="FW10" i="7"/>
  <c r="CL10" i="7"/>
  <c r="GD10" i="7"/>
  <c r="CY10" i="7"/>
  <c r="GQ10" i="7"/>
  <c r="DF10" i="7"/>
  <c r="CK10" i="7"/>
  <c r="GC10" i="7"/>
  <c r="CR10" i="7"/>
  <c r="GJ10" i="7"/>
  <c r="DE10" i="7"/>
  <c r="T10" i="7"/>
  <c r="DL10" i="7"/>
  <c r="AA10" i="7"/>
  <c r="DS10" i="7"/>
  <c r="AH10" i="7"/>
  <c r="DZ10" i="7"/>
  <c r="CQ10" i="7"/>
  <c r="GI10" i="7"/>
  <c r="CX10" i="7"/>
  <c r="GP10" i="7"/>
  <c r="DK10" i="7"/>
  <c r="Z10" i="7"/>
  <c r="DR10" i="7"/>
  <c r="AG10" i="7"/>
  <c r="DY10" i="7"/>
  <c r="AN10" i="7"/>
  <c r="EF10" i="7"/>
  <c r="CW10" i="7"/>
  <c r="GO10" i="7"/>
  <c r="DD10" i="7"/>
  <c r="Y10" i="7"/>
  <c r="DQ10" i="7"/>
  <c r="AF10" i="7"/>
  <c r="DX10" i="7"/>
  <c r="AM10" i="7"/>
  <c r="EE10" i="7"/>
  <c r="AT10" i="7"/>
  <c r="EL10" i="7"/>
  <c r="DC10" i="7"/>
  <c r="GU10" i="7"/>
  <c r="DJ10" i="7"/>
  <c r="AE10" i="7"/>
  <c r="DW10" i="7"/>
  <c r="AL10" i="7"/>
  <c r="ED10" i="7"/>
  <c r="AS10" i="7"/>
  <c r="EK10" i="7"/>
  <c r="AZ10" i="7"/>
  <c r="ER10" i="7"/>
  <c r="DI10" i="7"/>
  <c r="X10" i="7"/>
  <c r="DP10" i="7"/>
  <c r="AK10" i="7"/>
  <c r="EC10" i="7"/>
  <c r="AR10" i="7"/>
  <c r="EJ10" i="7"/>
  <c r="AY10" i="7"/>
  <c r="EQ10" i="7"/>
  <c r="AC10" i="7"/>
  <c r="DU10" i="7"/>
  <c r="AJ10" i="7"/>
  <c r="EB10" i="7"/>
  <c r="AW10" i="7"/>
  <c r="EO10" i="7"/>
  <c r="BD10" i="7"/>
  <c r="EV10" i="7"/>
  <c r="BK10" i="7"/>
  <c r="FC10" i="7"/>
  <c r="BR10" i="7"/>
  <c r="FJ10" i="7"/>
  <c r="FT10" i="7"/>
  <c r="FD10" i="7"/>
  <c r="N10" i="7"/>
  <c r="U10" i="7"/>
  <c r="FV10" i="7"/>
  <c r="O10" i="7"/>
  <c r="BE10" i="7"/>
  <c r="GH10" i="7"/>
  <c r="P10" i="7"/>
  <c r="BW10" i="7"/>
  <c r="CI10" i="7"/>
  <c r="DM10" i="7"/>
  <c r="EW10" i="7"/>
  <c r="W10" i="7"/>
  <c r="FO10" i="7"/>
  <c r="DO10" i="7"/>
  <c r="GA10" i="7"/>
  <c r="AD10" i="7"/>
  <c r="AB10" i="7"/>
  <c r="DV10" i="7"/>
  <c r="BF10" i="7"/>
  <c r="AQ10" i="7"/>
  <c r="BL10" i="7"/>
  <c r="EI10" i="7"/>
  <c r="CD10" i="7"/>
  <c r="Q10" i="7"/>
  <c r="AX10" i="7"/>
  <c r="CP10" i="7"/>
  <c r="R10" i="7"/>
  <c r="CB10" i="7"/>
  <c r="DT10" i="7"/>
  <c r="M10" i="7"/>
  <c r="EP10" i="7"/>
  <c r="EX10" i="7"/>
  <c r="S10" i="7"/>
  <c r="J58" i="7"/>
  <c r="K58" i="7"/>
  <c r="J24" i="7"/>
  <c r="K24" i="7"/>
  <c r="BM5" i="1"/>
  <c r="BM4" i="1"/>
  <c r="BD5" i="1"/>
  <c r="BD11" i="1" s="1"/>
  <c r="CQ64" i="7"/>
  <c r="AE64" i="7"/>
  <c r="DU64" i="7"/>
  <c r="AR64" i="7"/>
  <c r="FN64" i="7"/>
  <c r="DA64" i="7"/>
  <c r="GH64" i="7"/>
  <c r="DE64" i="7"/>
  <c r="AB64" i="7"/>
  <c r="EX64" i="7"/>
  <c r="CK64" i="7"/>
  <c r="FB64" i="7"/>
  <c r="BY64" i="7"/>
  <c r="GE64" i="7"/>
  <c r="DR64" i="7"/>
  <c r="EL64" i="7"/>
  <c r="BI64" i="7"/>
  <c r="GI64" i="7"/>
  <c r="DF64" i="7"/>
  <c r="AC64" i="7"/>
  <c r="EI64" i="7"/>
  <c r="BV64" i="7"/>
  <c r="GR64" i="7"/>
  <c r="EE64" i="7"/>
  <c r="BR64" i="7"/>
  <c r="FS64" i="7"/>
  <c r="CP64" i="7"/>
  <c r="GF64" i="7"/>
  <c r="DS64" i="7"/>
  <c r="BF64" i="7"/>
  <c r="GB64" i="7"/>
  <c r="DO64" i="7"/>
  <c r="BB64" i="7"/>
  <c r="FC64" i="7"/>
  <c r="BZ64" i="7"/>
  <c r="FP64" i="7"/>
  <c r="DC64" i="7"/>
  <c r="AP64" i="7"/>
  <c r="FL64" i="7"/>
  <c r="CY64" i="7"/>
  <c r="AL64" i="7"/>
  <c r="EM64" i="7"/>
  <c r="BJ64" i="7"/>
  <c r="EZ64" i="7"/>
  <c r="CM64" i="7"/>
  <c r="EK64" i="7"/>
  <c r="GT64" i="7"/>
  <c r="EV64" i="7"/>
  <c r="AM64" i="7"/>
  <c r="DM64" i="7"/>
  <c r="AX64" i="7"/>
  <c r="CE64" i="7"/>
  <c r="DX64" i="7"/>
  <c r="DK64" i="7"/>
  <c r="Q64" i="7"/>
  <c r="CO64" i="7"/>
  <c r="GD64" i="7"/>
  <c r="EF64" i="7"/>
  <c r="W64" i="7"/>
  <c r="CW64" i="7"/>
  <c r="AH64" i="7"/>
  <c r="S64" i="7"/>
  <c r="BL64" i="7"/>
  <c r="P64" i="7"/>
  <c r="AS64" i="7"/>
  <c r="EH64" i="7"/>
  <c r="DP64" i="7"/>
  <c r="GP64" i="7"/>
  <c r="CG64" i="7"/>
  <c r="R64" i="7"/>
  <c r="EO64" i="7"/>
  <c r="FX64" i="7"/>
  <c r="EJ64" i="7"/>
  <c r="DB64" i="7"/>
  <c r="CZ64" i="7"/>
  <c r="FZ64" i="7"/>
  <c r="BQ64" i="7"/>
  <c r="FG64" i="7"/>
  <c r="CC64" i="7"/>
  <c r="DL64" i="7"/>
  <c r="DW64" i="7"/>
  <c r="DT64" i="7"/>
  <c r="CL64" i="7"/>
  <c r="CJ64" i="7"/>
  <c r="FJ64" i="7"/>
  <c r="BA64" i="7"/>
  <c r="CU64" i="7"/>
  <c r="EN64" i="7"/>
  <c r="AZ64" i="7"/>
  <c r="DG64" i="7"/>
  <c r="DD64" i="7"/>
  <c r="Z64" i="7"/>
  <c r="BT64" i="7"/>
  <c r="ET64" i="7"/>
  <c r="AK64" i="7"/>
  <c r="AI64" i="7"/>
  <c r="CB64" i="7"/>
  <c r="DI64" i="7"/>
  <c r="CA64" i="7"/>
  <c r="CN64" i="7"/>
  <c r="GS64" i="7"/>
  <c r="BD64" i="7"/>
  <c r="ED64" i="7"/>
  <c r="U64" i="7"/>
  <c r="FE64" i="7"/>
  <c r="GN64" i="7"/>
  <c r="DH64" i="7"/>
  <c r="BK64" i="7"/>
  <c r="BX64" i="7"/>
  <c r="GC64" i="7"/>
  <c r="AN64" i="7"/>
  <c r="DN64" i="7"/>
  <c r="GL64" i="7"/>
  <c r="CS64" i="7"/>
  <c r="EB64" i="7"/>
  <c r="CV64" i="7"/>
  <c r="AU64" i="7"/>
  <c r="BH64" i="7"/>
  <c r="FM64" i="7"/>
  <c r="X64" i="7"/>
  <c r="CX64" i="7"/>
  <c r="FV64" i="7"/>
  <c r="AG64" i="7"/>
  <c r="BP64" i="7"/>
  <c r="AY64" i="7"/>
  <c r="FR64" i="7"/>
  <c r="GU64" i="7"/>
  <c r="EW64" i="7"/>
  <c r="GQ64" i="7"/>
  <c r="CH64" i="7"/>
  <c r="FF64" i="7"/>
  <c r="FD64" i="7"/>
  <c r="GM64" i="7"/>
  <c r="AW64" i="7"/>
  <c r="DV64" i="7"/>
  <c r="FO64" i="7"/>
  <c r="EG64" i="7"/>
  <c r="GA64" i="7"/>
  <c r="V64" i="7"/>
  <c r="EP64" i="7"/>
  <c r="CR64" i="7"/>
  <c r="EA64" i="7"/>
  <c r="AV64" i="7"/>
  <c r="O64" i="7"/>
  <c r="AT64" i="7"/>
  <c r="EY64" i="7"/>
  <c r="DQ64" i="7"/>
  <c r="FK64" i="7"/>
  <c r="GO64" i="7"/>
  <c r="DZ64" i="7"/>
  <c r="AF64" i="7"/>
  <c r="BO64" i="7"/>
  <c r="AJ64" i="7"/>
  <c r="AD64" i="7"/>
  <c r="BW64" i="7"/>
  <c r="BU64" i="7"/>
  <c r="EU64" i="7"/>
  <c r="FY64" i="7"/>
  <c r="DJ64" i="7"/>
  <c r="ER64" i="7"/>
  <c r="GK64" i="7"/>
  <c r="FW64" i="7"/>
  <c r="GG64" i="7"/>
  <c r="BG64" i="7"/>
  <c r="BE64" i="7"/>
  <c r="CI64" i="7"/>
  <c r="FI64" i="7"/>
  <c r="CT64" i="7"/>
  <c r="CF64" i="7"/>
  <c r="DY64" i="7"/>
  <c r="FT64" i="7"/>
  <c r="FA64" i="7"/>
  <c r="AA64" i="7"/>
  <c r="Y64" i="7"/>
  <c r="BC64" i="7"/>
  <c r="EC64" i="7"/>
  <c r="BN64" i="7"/>
  <c r="EQ64" i="7"/>
  <c r="GJ64" i="7"/>
  <c r="FU64" i="7"/>
  <c r="BM64" i="7"/>
  <c r="FH64" i="7"/>
  <c r="FQ64" i="7"/>
  <c r="AQ64" i="7"/>
  <c r="AO64" i="7"/>
  <c r="BS64" i="7"/>
  <c r="ES64" i="7"/>
  <c r="CD64" i="7"/>
  <c r="T64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38" i="7"/>
  <c r="EV38" i="7"/>
  <c r="CI38" i="7"/>
  <c r="V38" i="7"/>
  <c r="DQ38" i="7"/>
  <c r="CK38" i="7"/>
  <c r="AN38" i="7"/>
  <c r="FJ38" i="7"/>
  <c r="CW38" i="7"/>
  <c r="BU38" i="7"/>
  <c r="X38" i="7"/>
  <c r="ET38" i="7"/>
  <c r="CG38" i="7"/>
  <c r="AO38" i="7"/>
  <c r="GA38" i="7"/>
  <c r="Y38" i="7"/>
  <c r="GG38" i="7"/>
  <c r="GR38" i="7"/>
  <c r="GB38" i="7"/>
  <c r="FL38" i="7"/>
  <c r="CY38" i="7"/>
  <c r="AL38" i="7"/>
  <c r="EF38" i="7"/>
  <c r="FZ38" i="7"/>
  <c r="U38" i="7"/>
  <c r="FG38" i="7"/>
  <c r="CT38" i="7"/>
  <c r="AW38" i="7"/>
  <c r="EK38" i="7"/>
  <c r="FB38" i="7"/>
  <c r="GF38" i="7"/>
  <c r="EI38" i="7"/>
  <c r="CL38" i="7"/>
  <c r="DP38" i="7"/>
  <c r="ED38" i="7"/>
  <c r="GN38" i="7"/>
  <c r="EQ38" i="7"/>
  <c r="CD38" i="7"/>
  <c r="AG38" i="7"/>
  <c r="GI38" i="7"/>
  <c r="EL38" i="7"/>
  <c r="FP38" i="7"/>
  <c r="DS38" i="7"/>
  <c r="BF38" i="7"/>
  <c r="CZ38" i="7"/>
  <c r="DN38" i="7"/>
  <c r="FX38" i="7"/>
  <c r="EA38" i="7"/>
  <c r="BN38" i="7"/>
  <c r="Q38" i="7"/>
  <c r="FS38" i="7"/>
  <c r="DV38" i="7"/>
  <c r="EZ38" i="7"/>
  <c r="DC38" i="7"/>
  <c r="BV38" i="7"/>
  <c r="CJ38" i="7"/>
  <c r="CX38" i="7"/>
  <c r="FH38" i="7"/>
  <c r="DK38" i="7"/>
  <c r="AX38" i="7"/>
  <c r="M38" i="7"/>
  <c r="FC38" i="7"/>
  <c r="DF38" i="7"/>
  <c r="EJ38" i="7"/>
  <c r="CM38" i="7"/>
  <c r="AP38" i="7"/>
  <c r="BT38" i="7"/>
  <c r="CH38" i="7"/>
  <c r="ER38" i="7"/>
  <c r="CU38" i="7"/>
  <c r="AH38" i="7"/>
  <c r="GJ38" i="7"/>
  <c r="EM38" i="7"/>
  <c r="CP38" i="7"/>
  <c r="DT38" i="7"/>
  <c r="BW38" i="7"/>
  <c r="Z38" i="7"/>
  <c r="BD38" i="7"/>
  <c r="BR38" i="7"/>
  <c r="EB38" i="7"/>
  <c r="CE38" i="7"/>
  <c r="R38" i="7"/>
  <c r="FT38" i="7"/>
  <c r="DW38" i="7"/>
  <c r="BZ38" i="7"/>
  <c r="DD38" i="7"/>
  <c r="BG38" i="7"/>
  <c r="GQ38" i="7"/>
  <c r="BB38" i="7"/>
  <c r="DL38" i="7"/>
  <c r="BO38" i="7"/>
  <c r="AC38" i="7"/>
  <c r="FD38" i="7"/>
  <c r="DG38" i="7"/>
  <c r="BJ38" i="7"/>
  <c r="CN38" i="7"/>
  <c r="AQ38" i="7"/>
  <c r="FK38" i="7"/>
  <c r="GO38" i="7"/>
  <c r="CV38" i="7"/>
  <c r="AY38" i="7"/>
  <c r="GK38" i="7"/>
  <c r="EN38" i="7"/>
  <c r="CQ38" i="7"/>
  <c r="AT38" i="7"/>
  <c r="BX38" i="7"/>
  <c r="AA38" i="7"/>
  <c r="EU38" i="7"/>
  <c r="FY38" i="7"/>
  <c r="CF38" i="7"/>
  <c r="AI38" i="7"/>
  <c r="FU38" i="7"/>
  <c r="DX38" i="7"/>
  <c r="CA38" i="7"/>
  <c r="AD38" i="7"/>
  <c r="BH38" i="7"/>
  <c r="EE38" i="7"/>
  <c r="FI38" i="7"/>
  <c r="BP38" i="7"/>
  <c r="S38" i="7"/>
  <c r="FE38" i="7"/>
  <c r="DH38" i="7"/>
  <c r="BK38" i="7"/>
  <c r="N38" i="7"/>
  <c r="AR38" i="7"/>
  <c r="GT38" i="7"/>
  <c r="GC38" i="7"/>
  <c r="DO38" i="7"/>
  <c r="ES38" i="7"/>
  <c r="AZ38" i="7"/>
  <c r="GL38" i="7"/>
  <c r="EO38" i="7"/>
  <c r="CR38" i="7"/>
  <c r="AU38" i="7"/>
  <c r="FA38" i="7"/>
  <c r="AB38" i="7"/>
  <c r="GD38" i="7"/>
  <c r="FM38" i="7"/>
  <c r="BS38" i="7"/>
  <c r="EC38" i="7"/>
  <c r="AJ38" i="7"/>
  <c r="FV38" i="7"/>
  <c r="DY38" i="7"/>
  <c r="CB38" i="7"/>
  <c r="AE38" i="7"/>
  <c r="CO38" i="7"/>
  <c r="L38" i="7"/>
  <c r="FN38" i="7"/>
  <c r="EW38" i="7"/>
  <c r="BC38" i="7"/>
  <c r="DM38" i="7"/>
  <c r="T38" i="7"/>
  <c r="FF38" i="7"/>
  <c r="DI38" i="7"/>
  <c r="BL38" i="7"/>
  <c r="O38" i="7"/>
  <c r="BI38" i="7"/>
  <c r="GU38" i="7"/>
  <c r="EX38" i="7"/>
  <c r="EG38" i="7"/>
  <c r="AM38" i="7"/>
  <c r="BQ38" i="7"/>
  <c r="AS38" i="7"/>
  <c r="EP38" i="7"/>
  <c r="CS38" i="7"/>
  <c r="AV38" i="7"/>
  <c r="DU38" i="7"/>
  <c r="FQ38" i="7"/>
  <c r="GE38" i="7"/>
  <c r="EH38" i="7"/>
  <c r="BE38" i="7"/>
  <c r="GP38" i="7"/>
  <c r="AK38" i="7"/>
  <c r="FW38" i="7"/>
  <c r="DJ38" i="7"/>
  <c r="BM38" i="7"/>
  <c r="P38" i="7"/>
  <c r="FR38" i="7"/>
  <c r="BY38" i="7"/>
  <c r="EY38" i="7"/>
  <c r="DB38" i="7"/>
  <c r="AF38" i="7"/>
  <c r="GH38" i="7"/>
  <c r="DE38" i="7"/>
  <c r="FO38" i="7"/>
  <c r="DR38" i="7"/>
  <c r="DA38" i="7"/>
  <c r="W38" i="7"/>
  <c r="BA38" i="7"/>
  <c r="GM38" i="7"/>
  <c r="DZ38" i="7"/>
  <c r="CC38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BD17" i="1" s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1" i="2"/>
  <c r="BN5" i="2"/>
  <c r="BN25" i="2"/>
  <c r="BN30" i="2"/>
  <c r="BN16" i="2"/>
  <c r="BN31" i="2"/>
  <c r="BN19" i="2"/>
  <c r="BN23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10" i="2"/>
  <c r="H36" i="2"/>
  <c r="H35" i="2"/>
  <c r="H37" i="2"/>
  <c r="V35" i="2"/>
  <c r="V37" i="2"/>
  <c r="V36" i="2"/>
  <c r="T37" i="2"/>
  <c r="T36" i="2"/>
  <c r="T35" i="2"/>
  <c r="O37" i="2"/>
  <c r="O36" i="2"/>
  <c r="O35" i="2"/>
  <c r="G10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5" i="2"/>
  <c r="BL30" i="2"/>
  <c r="BL31" i="2"/>
  <c r="AD225" i="1"/>
  <c r="AD164" i="1"/>
  <c r="BL23" i="2"/>
  <c r="AD168" i="1"/>
  <c r="AC170" i="1"/>
  <c r="AC156" i="1"/>
  <c r="AJ22" i="2"/>
  <c r="AC231" i="1"/>
  <c r="BL21" i="2"/>
  <c r="AD239" i="1"/>
  <c r="AC236" i="1"/>
  <c r="AC150" i="1"/>
  <c r="AC122" i="1"/>
  <c r="AD123" i="1"/>
  <c r="AC102" i="1"/>
  <c r="BL25" i="2"/>
  <c r="BL16" i="2"/>
  <c r="BL19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10" i="2"/>
  <c r="AH31" i="2"/>
  <c r="AJ31" i="2"/>
  <c r="BO24" i="2"/>
  <c r="BO2" i="2"/>
  <c r="BO15" i="2"/>
  <c r="AJ18" i="2"/>
  <c r="BO3" i="2"/>
  <c r="AJ30" i="2"/>
  <c r="AH30" i="2"/>
  <c r="AH25" i="2"/>
  <c r="BO22" i="2"/>
  <c r="AJ20" i="2"/>
  <c r="AJ25" i="2"/>
  <c r="BO18" i="2"/>
  <c r="BN32" i="2"/>
  <c r="AJ2" i="2"/>
  <c r="AG8" i="2"/>
  <c r="BO53" i="5"/>
  <c r="CY6" i="2"/>
  <c r="CY5" i="2"/>
  <c r="AE32" i="2"/>
  <c r="AI31" i="2"/>
  <c r="AI4" i="2"/>
  <c r="BO46" i="5"/>
  <c r="AI19" i="2"/>
  <c r="AH11" i="2"/>
  <c r="AJ32" i="2"/>
  <c r="BO29" i="2"/>
  <c r="AE24" i="2"/>
  <c r="AF27" i="2"/>
  <c r="AF32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2" i="2"/>
  <c r="BO10" i="5"/>
  <c r="AF5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1" i="2"/>
  <c r="AH5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8" i="2"/>
  <c r="AH29" i="2"/>
  <c r="AF13" i="2"/>
  <c r="BN10" i="2"/>
  <c r="BO9" i="2"/>
  <c r="BO42" i="5"/>
  <c r="BO11" i="2"/>
  <c r="BO17" i="2"/>
  <c r="BO21" i="5"/>
  <c r="AJ16" i="2"/>
  <c r="AI28" i="2"/>
  <c r="AG21" i="2"/>
  <c r="AI22" i="2"/>
  <c r="AE14" i="2"/>
  <c r="AI15" i="2"/>
  <c r="AI12" i="2"/>
  <c r="AG28" i="2"/>
  <c r="AC33" i="2"/>
  <c r="AC17" i="2"/>
  <c r="AC30" i="2"/>
  <c r="AG31" i="2"/>
  <c r="AI33" i="2"/>
  <c r="AI17" i="2"/>
  <c r="AG33" i="2"/>
  <c r="AC22" i="2"/>
  <c r="AE11" i="2"/>
  <c r="AE27" i="2"/>
  <c r="AI5" i="2"/>
  <c r="AI23" i="2"/>
  <c r="AE6" i="2"/>
  <c r="AC14" i="2"/>
  <c r="AC8" i="2"/>
  <c r="AC9" i="2"/>
  <c r="AE30" i="2"/>
  <c r="AE5" i="2"/>
  <c r="AI26" i="2"/>
  <c r="AF25" i="2"/>
  <c r="AE10" i="2"/>
  <c r="AI24" i="2"/>
  <c r="AE18" i="2"/>
  <c r="AG16" i="2"/>
  <c r="AG12" i="2"/>
  <c r="AE29" i="2"/>
  <c r="AI2" i="2"/>
  <c r="AC19" i="2"/>
  <c r="AE22" i="2"/>
  <c r="AC28" i="2"/>
  <c r="AI10" i="2"/>
  <c r="AG6" i="2"/>
  <c r="AE4" i="2"/>
  <c r="AE21" i="2"/>
  <c r="AE26" i="2"/>
  <c r="AI18" i="2"/>
  <c r="AF31" i="2"/>
  <c r="AE15" i="2"/>
  <c r="AI3" i="2"/>
  <c r="AE23" i="2"/>
  <c r="AC32" i="2"/>
  <c r="AC11" i="2"/>
  <c r="AE33" i="2"/>
  <c r="AE25" i="2"/>
  <c r="AI8" i="2"/>
  <c r="AI29" i="2"/>
  <c r="AE31" i="2"/>
  <c r="AE8" i="2"/>
  <c r="AF30" i="2"/>
  <c r="AC26" i="2"/>
  <c r="AG27" i="2"/>
  <c r="AI16" i="2"/>
  <c r="AI9" i="2"/>
  <c r="AG30" i="2"/>
  <c r="AC21" i="2"/>
  <c r="AI27" i="2"/>
  <c r="AE9" i="2"/>
  <c r="AE12" i="2"/>
  <c r="AG26" i="2"/>
  <c r="AI20" i="2"/>
  <c r="AE16" i="2"/>
  <c r="AE3" i="2"/>
  <c r="AC29" i="2"/>
  <c r="AI6" i="2"/>
  <c r="AI14" i="2"/>
  <c r="AC4" i="2"/>
  <c r="AI11" i="2"/>
  <c r="AE17" i="2"/>
  <c r="AG11" i="2"/>
  <c r="AI32" i="2"/>
  <c r="AC10" i="2"/>
  <c r="AC5" i="2"/>
  <c r="AC18" i="2"/>
  <c r="AC24" i="2"/>
  <c r="AG5" i="2"/>
  <c r="AI30" i="2"/>
  <c r="AI13" i="2"/>
  <c r="AC20" i="2"/>
  <c r="AC7" i="2"/>
  <c r="AC13" i="2"/>
  <c r="AG20" i="2"/>
  <c r="AG15" i="2"/>
  <c r="AI25" i="2"/>
  <c r="AC12" i="2"/>
  <c r="AE19" i="2"/>
  <c r="AG18" i="2"/>
  <c r="AG14" i="2"/>
  <c r="AG29" i="2"/>
  <c r="AC3" i="2"/>
  <c r="AC6" i="2"/>
  <c r="AG19" i="2"/>
  <c r="AE28" i="2"/>
  <c r="AG3" i="2"/>
  <c r="AE20" i="2"/>
  <c r="AG22" i="2"/>
  <c r="AG7" i="2"/>
  <c r="AG23" i="2"/>
  <c r="AC2" i="2"/>
  <c r="AC25" i="2"/>
  <c r="AC27" i="2"/>
  <c r="AC16" i="2"/>
  <c r="AE2" i="2"/>
  <c r="AG9" i="2"/>
  <c r="AG25" i="2"/>
  <c r="AG24" i="2"/>
  <c r="AE7" i="2"/>
  <c r="AH10" i="2"/>
  <c r="AG32" i="2"/>
  <c r="AC31" i="2"/>
  <c r="AC15" i="2"/>
  <c r="AC23" i="2"/>
  <c r="AJ5" i="2"/>
  <c r="AG10" i="2"/>
  <c r="AG17" i="2"/>
  <c r="AG4" i="2"/>
  <c r="AI7" i="2"/>
  <c r="AG13" i="2"/>
  <c r="AE13" i="2"/>
  <c r="AH23" i="2"/>
  <c r="BX27" i="2"/>
  <c r="J14" i="2"/>
  <c r="G14" i="2"/>
  <c r="J15" i="2"/>
  <c r="G15" i="2"/>
  <c r="J32" i="2"/>
  <c r="BX21" i="2"/>
  <c r="J21" i="2"/>
  <c r="BV29" i="2"/>
  <c r="X21" i="2"/>
  <c r="BX29" i="2"/>
  <c r="BX31" i="2"/>
  <c r="J25" i="2"/>
  <c r="X25" i="2"/>
  <c r="X15" i="2"/>
  <c r="X12" i="2"/>
  <c r="BV31" i="2"/>
  <c r="J5" i="2"/>
  <c r="BV12" i="2"/>
  <c r="BX12" i="2"/>
  <c r="X9" i="2"/>
  <c r="BV6" i="2"/>
  <c r="X18" i="2"/>
  <c r="X20" i="2"/>
  <c r="BX4" i="2"/>
  <c r="BW27" i="2"/>
  <c r="AH3" i="2"/>
  <c r="BX24" i="2"/>
  <c r="X24" i="2"/>
  <c r="BW7" i="2"/>
  <c r="X23" i="2"/>
  <c r="BV7" i="2"/>
  <c r="BX23" i="2"/>
  <c r="BX20" i="2"/>
  <c r="BX6" i="2"/>
  <c r="X14" i="2"/>
  <c r="X13" i="2"/>
  <c r="BO8" i="2"/>
  <c r="X16" i="2"/>
  <c r="BX30" i="2"/>
  <c r="BX8" i="2"/>
  <c r="BX7" i="2"/>
  <c r="X33" i="2"/>
  <c r="BX22" i="2"/>
  <c r="BX33" i="2"/>
  <c r="BX14" i="2"/>
  <c r="X8" i="2"/>
  <c r="J31" i="2"/>
  <c r="X27" i="2"/>
  <c r="X6" i="2"/>
  <c r="BV13" i="2"/>
  <c r="BX13" i="2"/>
  <c r="BW12" i="2"/>
  <c r="BV18" i="2"/>
  <c r="BV30" i="2"/>
  <c r="BW30" i="2"/>
  <c r="BV24" i="2"/>
  <c r="BV22" i="2"/>
  <c r="BV20" i="2"/>
  <c r="X2" i="2"/>
  <c r="BX18" i="2"/>
  <c r="BV14" i="2"/>
  <c r="X30" i="2"/>
  <c r="X29" i="2"/>
  <c r="BW8" i="2"/>
  <c r="BX16" i="2"/>
  <c r="BX3" i="2"/>
  <c r="BX25" i="2"/>
  <c r="BV25" i="2"/>
  <c r="BV5" i="2"/>
  <c r="X22" i="2"/>
  <c r="BX32" i="2"/>
  <c r="X32" i="2"/>
  <c r="BX15" i="2"/>
  <c r="BX11" i="2"/>
  <c r="J3" i="2"/>
  <c r="E3" i="2" s="1"/>
  <c r="X28" i="2"/>
  <c r="BV8" i="2"/>
  <c r="AF23" i="2"/>
  <c r="AF7" i="2"/>
  <c r="AJ21" i="2"/>
  <c r="AF21" i="2"/>
  <c r="AF16" i="2"/>
  <c r="BN20" i="2"/>
  <c r="AF19" i="2"/>
  <c r="AH9" i="2"/>
  <c r="BV27" i="2"/>
  <c r="P16" i="2"/>
  <c r="BV33" i="2"/>
  <c r="BV11" i="2"/>
  <c r="X26" i="2"/>
  <c r="BX26" i="2"/>
  <c r="J7" i="2"/>
  <c r="X7" i="2"/>
  <c r="J10" i="2"/>
  <c r="X17" i="2"/>
  <c r="BX17" i="2"/>
  <c r="X10" i="2"/>
  <c r="P7" i="2"/>
  <c r="BW21" i="2"/>
  <c r="BX10" i="2"/>
  <c r="P15" i="2"/>
  <c r="X3" i="2"/>
  <c r="P13" i="2"/>
  <c r="X31" i="2"/>
  <c r="P24" i="2"/>
  <c r="P33" i="2"/>
  <c r="P18" i="2"/>
  <c r="X5" i="2"/>
  <c r="P9" i="2"/>
  <c r="P11" i="2"/>
  <c r="X11" i="2"/>
  <c r="P26" i="2"/>
  <c r="P20" i="2"/>
  <c r="BV3" i="2"/>
  <c r="BV21" i="2"/>
  <c r="BV17" i="2"/>
  <c r="BV16" i="2"/>
  <c r="BV10" i="2"/>
  <c r="BV28" i="2"/>
  <c r="BX5" i="2"/>
  <c r="BW15" i="2"/>
  <c r="BV9" i="2"/>
  <c r="BV32" i="2"/>
  <c r="BV23" i="2"/>
  <c r="BW22" i="2"/>
  <c r="BW29" i="2"/>
  <c r="BV15" i="2"/>
  <c r="BW2" i="2"/>
  <c r="BV2" i="2"/>
  <c r="BV26" i="2"/>
  <c r="BW6" i="2"/>
  <c r="BW23" i="2"/>
  <c r="BW4" i="2"/>
  <c r="BV4" i="2"/>
  <c r="BX2" i="2"/>
  <c r="AH24" i="2"/>
  <c r="X4" i="2"/>
  <c r="AH21" i="2"/>
  <c r="P17" i="2"/>
  <c r="BX9" i="2"/>
  <c r="J18" i="2"/>
  <c r="BW16" i="2"/>
  <c r="J12" i="2"/>
  <c r="P23" i="2"/>
  <c r="BX28" i="2"/>
  <c r="BW25" i="2"/>
  <c r="P25" i="2"/>
  <c r="J26" i="2"/>
  <c r="BW26" i="2"/>
  <c r="BW13" i="2"/>
  <c r="J2" i="2"/>
  <c r="P2" i="2"/>
  <c r="BW32" i="2"/>
  <c r="P32" i="2"/>
  <c r="J23" i="2"/>
  <c r="J27" i="2"/>
  <c r="J33" i="2"/>
  <c r="BW31" i="2"/>
  <c r="J6" i="2"/>
  <c r="P6" i="2"/>
  <c r="P21" i="2"/>
  <c r="BW11" i="2"/>
  <c r="BW33" i="2"/>
  <c r="J8" i="2"/>
  <c r="J9" i="2"/>
  <c r="J13" i="2"/>
  <c r="P27" i="2"/>
  <c r="P31" i="2"/>
  <c r="BW18" i="2"/>
  <c r="J28" i="2"/>
  <c r="BW17" i="2"/>
  <c r="J24" i="2"/>
  <c r="P8" i="2"/>
  <c r="BW14" i="2"/>
  <c r="P3" i="2"/>
  <c r="J4" i="2"/>
  <c r="J17" i="2"/>
  <c r="J11" i="2"/>
  <c r="P4" i="2"/>
  <c r="J20" i="2"/>
  <c r="J30" i="2"/>
  <c r="J22" i="2"/>
  <c r="BW3" i="2"/>
  <c r="P12" i="2"/>
  <c r="BW20" i="2"/>
  <c r="P14" i="2"/>
  <c r="J16" i="2"/>
  <c r="P29" i="2"/>
  <c r="P22" i="2"/>
  <c r="P10" i="2"/>
  <c r="P5" i="2"/>
  <c r="BW5" i="2"/>
  <c r="J29" i="2"/>
  <c r="BW9" i="2"/>
  <c r="BW10" i="2"/>
  <c r="P28" i="2"/>
  <c r="BW24" i="2"/>
  <c r="BW28" i="2"/>
  <c r="P30" i="2"/>
  <c r="BH14" i="2"/>
  <c r="BH9" i="2"/>
  <c r="BH17" i="2"/>
  <c r="BH7" i="2"/>
  <c r="BH26" i="2"/>
  <c r="BH3" i="2"/>
  <c r="BH4" i="2"/>
  <c r="BH33" i="2"/>
  <c r="BH27" i="2"/>
  <c r="BH32" i="2"/>
  <c r="BH16" i="2"/>
  <c r="BH8" i="2"/>
  <c r="BH2" i="2"/>
  <c r="BH23" i="2"/>
  <c r="BH25" i="2"/>
  <c r="BH5" i="2"/>
  <c r="BH18" i="2"/>
  <c r="BH29" i="2"/>
  <c r="BH22" i="2"/>
  <c r="BH21" i="2"/>
  <c r="BH12" i="2"/>
  <c r="BH20" i="2"/>
  <c r="BH31" i="2"/>
  <c r="BH10" i="2"/>
  <c r="BH15" i="2"/>
  <c r="BH11" i="2"/>
  <c r="BH6" i="2"/>
  <c r="BH24" i="2"/>
  <c r="BH28" i="2"/>
  <c r="BH30" i="2"/>
  <c r="BH13" i="2"/>
  <c r="AJ19" i="2"/>
  <c r="AH19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102" i="1" l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9" i="2"/>
  <c r="AL5" i="2"/>
  <c r="AL21" i="2"/>
  <c r="AL25" i="2"/>
  <c r="AL30" i="2"/>
  <c r="AL31" i="2"/>
  <c r="AP1009" i="1"/>
  <c r="AP990" i="1"/>
  <c r="AP855" i="1"/>
  <c r="AP989" i="1"/>
  <c r="AP1012" i="1"/>
  <c r="BZ24" i="2"/>
  <c r="AO1113" i="1"/>
  <c r="BZ25" i="2"/>
  <c r="BZ4" i="2"/>
  <c r="BZ10" i="2"/>
  <c r="BZ14" i="2"/>
  <c r="BZ17" i="2"/>
  <c r="BZ22" i="2"/>
  <c r="CJ16" i="2"/>
  <c r="CJ13" i="2"/>
  <c r="CJ30" i="2"/>
  <c r="BZ21" i="2"/>
  <c r="BZ5" i="2"/>
  <c r="BZ32" i="2"/>
  <c r="CI21" i="2"/>
  <c r="CI15" i="2"/>
  <c r="CJ6" i="2"/>
  <c r="BZ9" i="2"/>
  <c r="BZ13" i="2"/>
  <c r="BZ2" i="2"/>
  <c r="BZ29" i="2"/>
  <c r="BZ16" i="2"/>
  <c r="BZ31" i="2"/>
  <c r="BZ27" i="2"/>
  <c r="BZ15" i="2"/>
  <c r="BZ3" i="2"/>
  <c r="BZ30" i="2"/>
  <c r="BZ12" i="2"/>
  <c r="BZ28" i="2"/>
  <c r="BZ8" i="2"/>
  <c r="BZ18" i="2"/>
  <c r="BZ26" i="2"/>
  <c r="BZ23" i="2"/>
  <c r="BZ33" i="2"/>
  <c r="BZ20" i="2"/>
  <c r="BZ11" i="2"/>
  <c r="BZ6" i="2"/>
  <c r="BZ7" i="2"/>
  <c r="AO958" i="1"/>
  <c r="CJ32" i="2"/>
  <c r="CI25" i="2"/>
  <c r="CI10" i="2"/>
  <c r="CJ22" i="2"/>
  <c r="CI11" i="2"/>
  <c r="CJ14" i="2"/>
  <c r="CJ24" i="2"/>
  <c r="CI16" i="2"/>
  <c r="CI14" i="2"/>
  <c r="CI19" i="2"/>
  <c r="CI32" i="2"/>
  <c r="CJ23" i="2"/>
  <c r="CJ25" i="2"/>
  <c r="CJ21" i="2"/>
  <c r="CI29" i="2"/>
  <c r="CI3" i="2"/>
  <c r="CI31" i="2"/>
  <c r="CJ8" i="2"/>
  <c r="CJ4" i="2"/>
  <c r="CJ10" i="2"/>
  <c r="AP762" i="1"/>
  <c r="CI2" i="2"/>
  <c r="CI33" i="2"/>
  <c r="CJ5" i="2"/>
  <c r="CJ31" i="2"/>
  <c r="CI17" i="2"/>
  <c r="CI24" i="2"/>
  <c r="CJ17" i="2"/>
  <c r="CI23" i="2"/>
  <c r="CI12" i="2"/>
  <c r="CJ7" i="2"/>
  <c r="CI4" i="2"/>
  <c r="CI28" i="2"/>
  <c r="CI26" i="2"/>
  <c r="CJ15" i="2"/>
  <c r="CI18" i="2"/>
  <c r="CJ20" i="2"/>
  <c r="CJ26" i="2"/>
  <c r="CI30" i="2"/>
  <c r="CI5" i="2"/>
  <c r="CJ2" i="2"/>
  <c r="CI27" i="2"/>
  <c r="CI9" i="2"/>
  <c r="CJ9" i="2"/>
  <c r="CI8" i="2"/>
  <c r="CJ28" i="2"/>
  <c r="CJ12" i="2"/>
  <c r="CI22" i="2"/>
  <c r="CJ11" i="2"/>
  <c r="CI20" i="2"/>
  <c r="CJ18" i="2"/>
  <c r="CJ29" i="2"/>
  <c r="CJ33" i="2"/>
  <c r="CI6" i="2"/>
  <c r="CI7" i="2"/>
  <c r="CI13" i="2"/>
  <c r="CJ19" i="2"/>
  <c r="CJ3" i="2"/>
  <c r="CJ27" i="2"/>
  <c r="E6" i="2"/>
  <c r="BK32" i="2"/>
  <c r="E31" i="2"/>
  <c r="E20" i="2"/>
  <c r="E27" i="2"/>
  <c r="BK15" i="2"/>
  <c r="E17" i="2"/>
  <c r="E9" i="2"/>
  <c r="E23" i="2"/>
  <c r="E12" i="2"/>
  <c r="E22" i="2"/>
  <c r="E4" i="2"/>
  <c r="E8" i="2"/>
  <c r="E18" i="2"/>
  <c r="E5" i="2"/>
  <c r="E29" i="2"/>
  <c r="E16" i="2"/>
  <c r="E30" i="2"/>
  <c r="E33" i="2"/>
  <c r="E2" i="2"/>
  <c r="E11" i="2"/>
  <c r="E24" i="2"/>
  <c r="E13" i="2"/>
  <c r="E26" i="2"/>
  <c r="E21" i="2"/>
  <c r="BK14" i="2"/>
  <c r="BK25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5" i="2"/>
  <c r="AK21" i="2"/>
  <c r="AK31" i="2"/>
  <c r="AK5" i="2"/>
  <c r="AK30" i="2"/>
  <c r="AK19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28" i="2"/>
  <c r="BN14" i="2"/>
  <c r="BN4" i="2"/>
  <c r="BO4" i="2"/>
  <c r="BN27" i="2"/>
  <c r="BN2" i="2"/>
  <c r="BN15" i="2"/>
  <c r="BO12" i="2"/>
  <c r="BN13" i="2"/>
  <c r="BO32" i="2"/>
  <c r="BN26" i="2"/>
  <c r="BN22" i="2"/>
  <c r="BO16" i="2"/>
  <c r="BO6" i="2"/>
  <c r="BN6" i="2"/>
  <c r="BN28" i="2"/>
  <c r="BO14" i="2"/>
  <c r="BN7" i="2"/>
  <c r="BN12" i="2"/>
  <c r="BN18" i="2"/>
  <c r="BO27" i="2"/>
  <c r="BO33" i="2"/>
  <c r="BO26" i="2"/>
  <c r="BO7" i="2"/>
  <c r="BN17" i="2"/>
  <c r="BN33" i="2"/>
  <c r="BO13" i="2"/>
  <c r="BO20" i="2"/>
  <c r="BN29" i="2"/>
  <c r="BO21" i="2"/>
  <c r="BO19" i="2"/>
  <c r="BN8" i="2"/>
  <c r="BO23" i="2"/>
  <c r="BN11" i="2"/>
  <c r="BN9" i="2"/>
  <c r="BN24" i="2"/>
  <c r="BO5" i="2"/>
  <c r="BO31" i="2"/>
  <c r="BO25" i="2"/>
  <c r="BO30" i="2"/>
  <c r="BN3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10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10" i="2"/>
  <c r="BM10" i="2"/>
  <c r="AP22" i="2"/>
  <c r="BL22" i="2"/>
  <c r="BM32" i="2"/>
  <c r="BL17" i="2"/>
  <c r="BL3" i="2"/>
  <c r="BM22" i="2"/>
  <c r="BM24" i="2"/>
  <c r="BM17" i="2"/>
  <c r="BL8" i="2"/>
  <c r="BL33" i="2"/>
  <c r="BM6" i="2"/>
  <c r="BL20" i="2"/>
  <c r="BM9" i="2"/>
  <c r="BM11" i="2"/>
  <c r="BL29" i="2"/>
  <c r="BM12" i="2"/>
  <c r="BM20" i="2"/>
  <c r="BM15" i="2"/>
  <c r="BL4" i="2"/>
  <c r="BM8" i="2"/>
  <c r="BM13" i="2"/>
  <c r="BM2" i="2"/>
  <c r="BL6" i="2"/>
  <c r="BM7" i="2"/>
  <c r="BL11" i="2"/>
  <c r="BL26" i="2"/>
  <c r="BL24" i="2"/>
  <c r="BM33" i="2"/>
  <c r="BM14" i="2"/>
  <c r="BM18" i="2"/>
  <c r="BM27" i="2"/>
  <c r="BM3" i="2"/>
  <c r="BL12" i="2"/>
  <c r="BL18" i="2"/>
  <c r="BM4" i="2"/>
  <c r="BL9" i="2"/>
  <c r="BM28" i="2"/>
  <c r="BL28" i="2"/>
  <c r="BL14" i="2"/>
  <c r="BM29" i="2"/>
  <c r="BL15" i="2"/>
  <c r="BL2" i="2"/>
  <c r="BM26" i="2"/>
  <c r="BM16" i="2"/>
  <c r="BM23" i="2"/>
  <c r="BL10" i="2"/>
  <c r="BL7" i="2"/>
  <c r="BM21" i="2"/>
  <c r="BL13" i="2"/>
  <c r="BM31" i="2"/>
  <c r="BM19" i="2"/>
  <c r="BM5" i="2"/>
  <c r="BM25" i="2"/>
  <c r="BL32" i="2"/>
  <c r="BL27" i="2"/>
  <c r="BM30" i="2"/>
  <c r="AP10" i="2"/>
  <c r="BD18" i="1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1" i="2"/>
  <c r="AF2" i="2"/>
  <c r="AH7" i="2"/>
  <c r="AP31" i="2"/>
  <c r="AF18" i="2"/>
  <c r="AO22" i="2"/>
  <c r="AF15" i="2"/>
  <c r="AH18" i="2"/>
  <c r="AK18" i="2" s="1"/>
  <c r="AF26" i="2"/>
  <c r="AP25" i="2"/>
  <c r="AH2" i="2"/>
  <c r="AK2" i="2" s="1"/>
  <c r="AF3" i="2"/>
  <c r="AO25" i="2"/>
  <c r="AJ24" i="2"/>
  <c r="AK24" i="2" s="1"/>
  <c r="AJ3" i="2"/>
  <c r="AK3" i="2" s="1"/>
  <c r="AP30" i="2"/>
  <c r="AF22" i="2"/>
  <c r="AO7" i="2"/>
  <c r="AP20" i="2"/>
  <c r="AO15" i="2"/>
  <c r="AJ15" i="2"/>
  <c r="AO30" i="2"/>
  <c r="AH22" i="2"/>
  <c r="AK22" i="2" s="1"/>
  <c r="AH14" i="2"/>
  <c r="AF20" i="2"/>
  <c r="AO18" i="2"/>
  <c r="AO2" i="2"/>
  <c r="AP2" i="2"/>
  <c r="AP18" i="2"/>
  <c r="AJ27" i="2"/>
  <c r="BP47" i="5"/>
  <c r="BP13" i="5"/>
  <c r="AO27" i="2"/>
  <c r="BP45" i="5"/>
  <c r="BP53" i="5"/>
  <c r="AF6" i="2"/>
  <c r="AF4" i="2"/>
  <c r="AJ13" i="2"/>
  <c r="AJ6" i="2"/>
  <c r="AW25" i="2"/>
  <c r="AW30" i="2"/>
  <c r="AW31" i="2"/>
  <c r="AW5" i="2"/>
  <c r="AW21" i="2"/>
  <c r="AW19" i="2"/>
  <c r="AH6" i="2"/>
  <c r="AF11" i="2"/>
  <c r="AP32" i="2"/>
  <c r="BP61" i="5"/>
  <c r="BP7" i="5"/>
  <c r="BP19" i="5"/>
  <c r="BP35" i="5"/>
  <c r="BP33" i="5"/>
  <c r="BP29" i="5"/>
  <c r="AO5" i="2"/>
  <c r="BP15" i="5"/>
  <c r="BP59" i="5"/>
  <c r="AP27" i="2"/>
  <c r="BP57" i="5"/>
  <c r="AH4" i="2"/>
  <c r="AF14" i="2"/>
  <c r="AJ10" i="2"/>
  <c r="AK10" i="2" s="1"/>
  <c r="BP21" i="5"/>
  <c r="E28" i="2"/>
  <c r="CY2" i="2"/>
  <c r="CZ5" i="2" s="1"/>
  <c r="AO10" i="2"/>
  <c r="AH27" i="2"/>
  <c r="AD9" i="2"/>
  <c r="BP9" i="2" s="1"/>
  <c r="AJ33" i="2"/>
  <c r="AH15" i="2"/>
  <c r="AP15" i="2"/>
  <c r="AH17" i="2"/>
  <c r="AP13" i="2"/>
  <c r="AJ9" i="2"/>
  <c r="AK9" i="2" s="1"/>
  <c r="DA5" i="2"/>
  <c r="DA6" i="2"/>
  <c r="AF24" i="2"/>
  <c r="AF33" i="2"/>
  <c r="CY3" i="2"/>
  <c r="DA3" i="2" s="1"/>
  <c r="AP5" i="2"/>
  <c r="AJ26" i="2"/>
  <c r="AF12" i="2"/>
  <c r="AJ29" i="2"/>
  <c r="AK29" i="2" s="1"/>
  <c r="AF9" i="2"/>
  <c r="AO11" i="2"/>
  <c r="AO26" i="2"/>
  <c r="AH26" i="2"/>
  <c r="AP26" i="2"/>
  <c r="AO29" i="2"/>
  <c r="AH33" i="2"/>
  <c r="AP29" i="2"/>
  <c r="AJ11" i="2"/>
  <c r="AK11" i="2" s="1"/>
  <c r="BP27" i="5"/>
  <c r="BP3" i="5"/>
  <c r="BP11" i="5"/>
  <c r="BP25" i="5"/>
  <c r="AD26" i="2"/>
  <c r="BP26" i="2" s="1"/>
  <c r="AF8" i="2"/>
  <c r="AF17" i="2"/>
  <c r="AO13" i="2"/>
  <c r="AO32" i="2"/>
  <c r="AH32" i="2"/>
  <c r="AW32" i="2" s="1"/>
  <c r="CS8" i="2"/>
  <c r="CS7" i="2"/>
  <c r="AF29" i="2"/>
  <c r="AJ14" i="2"/>
  <c r="AJ4" i="2"/>
  <c r="BP5" i="5"/>
  <c r="BP17" i="5"/>
  <c r="BP37" i="5"/>
  <c r="BP9" i="5"/>
  <c r="AH12" i="2"/>
  <c r="BP55" i="5"/>
  <c r="BP23" i="5"/>
  <c r="BP63" i="5"/>
  <c r="BP51" i="5"/>
  <c r="BP65" i="5"/>
  <c r="BP31" i="5"/>
  <c r="BP41" i="5"/>
  <c r="AO17" i="2"/>
  <c r="BP43" i="5"/>
  <c r="BP49" i="5"/>
  <c r="AH13" i="2"/>
  <c r="BP39" i="5"/>
  <c r="AP11" i="2"/>
  <c r="E7" i="2"/>
  <c r="BK2" i="2"/>
  <c r="BK7" i="2"/>
  <c r="BK23" i="2"/>
  <c r="BK18" i="2"/>
  <c r="BK17" i="2"/>
  <c r="BK21" i="2"/>
  <c r="BK11" i="2"/>
  <c r="BK4" i="2"/>
  <c r="BK9" i="2"/>
  <c r="BK20" i="2"/>
  <c r="BK24" i="2"/>
  <c r="BK27" i="2"/>
  <c r="BK28" i="2"/>
  <c r="BK13" i="2"/>
  <c r="BK8" i="2"/>
  <c r="BK5" i="2"/>
  <c r="BK16" i="2"/>
  <c r="BK12" i="2"/>
  <c r="BK22" i="2"/>
  <c r="BK33" i="2"/>
  <c r="BK30" i="2"/>
  <c r="BK10" i="2"/>
  <c r="BK26" i="2"/>
  <c r="BK29" i="2"/>
  <c r="BK3" i="2"/>
  <c r="BK6" i="2"/>
  <c r="BK31" i="2"/>
  <c r="K14" i="2"/>
  <c r="E14" i="2"/>
  <c r="BI25" i="2"/>
  <c r="E25" i="2"/>
  <c r="K32" i="2"/>
  <c r="E32" i="2"/>
  <c r="K15" i="2"/>
  <c r="E15" i="2"/>
  <c r="BJ15" i="2"/>
  <c r="AD32" i="2"/>
  <c r="BP32" i="2" s="1"/>
  <c r="BI14" i="2"/>
  <c r="BJ14" i="2"/>
  <c r="AD28" i="2"/>
  <c r="BP28" i="2" s="1"/>
  <c r="AD29" i="2"/>
  <c r="BP29" i="2" s="1"/>
  <c r="AF28" i="2"/>
  <c r="AD30" i="2"/>
  <c r="BP30" i="2" s="1"/>
  <c r="AD6" i="2"/>
  <c r="BP6" i="2" s="1"/>
  <c r="AD22" i="2"/>
  <c r="BP22" i="2" s="1"/>
  <c r="AO12" i="2"/>
  <c r="AD15" i="2"/>
  <c r="BP15" i="2" s="1"/>
  <c r="AD7" i="2"/>
  <c r="BP7" i="2" s="1"/>
  <c r="AD24" i="2"/>
  <c r="BP24" i="2" s="1"/>
  <c r="AH28" i="2"/>
  <c r="AD18" i="2"/>
  <c r="BP18" i="2" s="1"/>
  <c r="AD25" i="2"/>
  <c r="BP25" i="2" s="1"/>
  <c r="AD3" i="2"/>
  <c r="BP3" i="2" s="1"/>
  <c r="AD2" i="2"/>
  <c r="BP2" i="2" s="1"/>
  <c r="AD13" i="2"/>
  <c r="BP13" i="2" s="1"/>
  <c r="AD14" i="2"/>
  <c r="BP14" i="2" s="1"/>
  <c r="AD31" i="2"/>
  <c r="BP31" i="2" s="1"/>
  <c r="AD5" i="2"/>
  <c r="BP5" i="2" s="1"/>
  <c r="AD4" i="2"/>
  <c r="BP4" i="2" s="1"/>
  <c r="AD27" i="2"/>
  <c r="BP27" i="2" s="1"/>
  <c r="AD23" i="2"/>
  <c r="BP23" i="2" s="1"/>
  <c r="AD20" i="2"/>
  <c r="BP20" i="2" s="1"/>
  <c r="AD33" i="2"/>
  <c r="BP33" i="2" s="1"/>
  <c r="AD8" i="2"/>
  <c r="BP8" i="2" s="1"/>
  <c r="AD21" i="2"/>
  <c r="BP21" i="2" s="1"/>
  <c r="AD12" i="2"/>
  <c r="BP12" i="2" s="1"/>
  <c r="AD16" i="2"/>
  <c r="BP16" i="2" s="1"/>
  <c r="AJ28" i="2"/>
  <c r="AP16" i="2"/>
  <c r="AH16" i="2"/>
  <c r="AW16" i="2" s="1"/>
  <c r="AJ7" i="2"/>
  <c r="AO23" i="2"/>
  <c r="AJ23" i="2"/>
  <c r="AW23" i="2" s="1"/>
  <c r="AD11" i="2"/>
  <c r="BP11" i="2" s="1"/>
  <c r="AO8" i="2"/>
  <c r="AJ8" i="2"/>
  <c r="AK8" i="2" s="1"/>
  <c r="AJ17" i="2"/>
  <c r="AD17" i="2"/>
  <c r="BP17" i="2" s="1"/>
  <c r="AJ12" i="2"/>
  <c r="AD10" i="2"/>
  <c r="BP10" i="2" s="1"/>
  <c r="AH20" i="2"/>
  <c r="AK20" i="2" s="1"/>
  <c r="BI15" i="2"/>
  <c r="BY21" i="2"/>
  <c r="BY27" i="2"/>
  <c r="BJ32" i="2"/>
  <c r="BI32" i="2"/>
  <c r="BI33" i="2"/>
  <c r="K33" i="2"/>
  <c r="BI2" i="2"/>
  <c r="K2" i="2"/>
  <c r="BJ11" i="2"/>
  <c r="K11" i="2"/>
  <c r="BJ24" i="2"/>
  <c r="K24" i="2"/>
  <c r="BJ27" i="2"/>
  <c r="K27" i="2"/>
  <c r="BI10" i="2"/>
  <c r="K10" i="2"/>
  <c r="BI20" i="2"/>
  <c r="K20" i="2"/>
  <c r="BI18" i="2"/>
  <c r="K18" i="2"/>
  <c r="BI21" i="2"/>
  <c r="K21" i="2"/>
  <c r="BJ21" i="2"/>
  <c r="BI29" i="2"/>
  <c r="K29" i="2"/>
  <c r="BJ22" i="2"/>
  <c r="K22" i="2"/>
  <c r="BI4" i="2"/>
  <c r="K4" i="2"/>
  <c r="BJ9" i="2"/>
  <c r="K9" i="2"/>
  <c r="BI6" i="2"/>
  <c r="K6" i="2"/>
  <c r="BJ26" i="2"/>
  <c r="K26" i="2"/>
  <c r="BJ7" i="2"/>
  <c r="K7" i="2"/>
  <c r="BJ31" i="2"/>
  <c r="K31" i="2"/>
  <c r="BJ25" i="2"/>
  <c r="K25" i="2"/>
  <c r="BJ17" i="2"/>
  <c r="K17" i="2"/>
  <c r="BI13" i="2"/>
  <c r="K13" i="2"/>
  <c r="BJ23" i="2"/>
  <c r="K23" i="2"/>
  <c r="BJ12" i="2"/>
  <c r="K12" i="2"/>
  <c r="BJ16" i="2"/>
  <c r="K16" i="2"/>
  <c r="BI30" i="2"/>
  <c r="K30" i="2"/>
  <c r="BJ28" i="2"/>
  <c r="K28" i="2"/>
  <c r="BJ8" i="2"/>
  <c r="K8" i="2"/>
  <c r="BI3" i="2"/>
  <c r="K3" i="2"/>
  <c r="BJ5" i="2"/>
  <c r="K5" i="2"/>
  <c r="BI5" i="2"/>
  <c r="BY29" i="2"/>
  <c r="BY31" i="2"/>
  <c r="BY12" i="2"/>
  <c r="BI31" i="2"/>
  <c r="BY23" i="2"/>
  <c r="AP4" i="2"/>
  <c r="BY30" i="2"/>
  <c r="BY20" i="2"/>
  <c r="BY4" i="2"/>
  <c r="AP3" i="2"/>
  <c r="AO3" i="2"/>
  <c r="BY22" i="2"/>
  <c r="AP17" i="2"/>
  <c r="BY24" i="2"/>
  <c r="BJ3" i="2"/>
  <c r="AP14" i="2"/>
  <c r="BY11" i="2"/>
  <c r="AO6" i="2"/>
  <c r="AO14" i="2"/>
  <c r="BY33" i="2"/>
  <c r="AP23" i="2"/>
  <c r="BY14" i="2"/>
  <c r="BY6" i="2"/>
  <c r="BY7" i="2"/>
  <c r="AP8" i="2"/>
  <c r="BY8" i="2"/>
  <c r="BY13" i="2"/>
  <c r="BY32" i="2"/>
  <c r="BY25" i="2"/>
  <c r="BY18" i="2"/>
  <c r="BY3" i="2"/>
  <c r="BY15" i="2"/>
  <c r="BY16" i="2"/>
  <c r="BI7" i="2"/>
  <c r="BY26" i="2"/>
  <c r="AO33" i="2"/>
  <c r="AP7" i="2"/>
  <c r="AO28" i="2"/>
  <c r="AP9" i="2"/>
  <c r="AO9" i="2"/>
  <c r="AO21" i="2"/>
  <c r="BY17" i="2"/>
  <c r="AP33" i="2"/>
  <c r="BY10" i="2"/>
  <c r="AP6" i="2"/>
  <c r="AO20" i="2"/>
  <c r="AO4" i="2"/>
  <c r="AO16" i="2"/>
  <c r="AP24" i="2"/>
  <c r="AP19" i="2"/>
  <c r="AP12" i="2"/>
  <c r="AP21" i="2"/>
  <c r="AP28" i="2"/>
  <c r="BJ18" i="2"/>
  <c r="BJ10" i="2"/>
  <c r="BY5" i="2"/>
  <c r="BJ13" i="2"/>
  <c r="AO24" i="2"/>
  <c r="BY2" i="2"/>
  <c r="BY9" i="2"/>
  <c r="BI12" i="2"/>
  <c r="BI26" i="2"/>
  <c r="BI28" i="2"/>
  <c r="BI9" i="2"/>
  <c r="BJ2" i="2"/>
  <c r="BJ33" i="2"/>
  <c r="BY28" i="2"/>
  <c r="BI23" i="2"/>
  <c r="AO19" i="2"/>
  <c r="D2" i="9" s="1"/>
  <c r="U7" i="9" s="1"/>
  <c r="BI27" i="2"/>
  <c r="BJ6" i="2"/>
  <c r="BJ20" i="2"/>
  <c r="BI8" i="2"/>
  <c r="BI22" i="2"/>
  <c r="BI24" i="2"/>
  <c r="BJ29" i="2"/>
  <c r="BJ30" i="2"/>
  <c r="BJ4" i="2"/>
  <c r="BI17" i="2"/>
  <c r="BI11" i="2"/>
  <c r="BI16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9" i="2"/>
  <c r="BA19" i="2"/>
  <c r="BE19" i="2"/>
  <c r="P19" i="2"/>
  <c r="P36" i="2" s="1"/>
  <c r="J19" i="2"/>
  <c r="BG19" i="2"/>
  <c r="X19" i="2"/>
  <c r="X36" i="2" s="1"/>
  <c r="BW19" i="2"/>
  <c r="BV19" i="2"/>
  <c r="BX19" i="2"/>
  <c r="BX36" i="2" s="1"/>
  <c r="AM31" i="2" l="1"/>
  <c r="AN31" i="2"/>
  <c r="AM30" i="2"/>
  <c r="AN30" i="2"/>
  <c r="AM25" i="2"/>
  <c r="AN25" i="2"/>
  <c r="AM21" i="2"/>
  <c r="AN21" i="2"/>
  <c r="AM5" i="2"/>
  <c r="AN5" i="2"/>
  <c r="AM19" i="2"/>
  <c r="AN19" i="2"/>
  <c r="AB14" i="2"/>
  <c r="AB32" i="2"/>
  <c r="AB27" i="2"/>
  <c r="AB33" i="2"/>
  <c r="AB26" i="2"/>
  <c r="AB10" i="2"/>
  <c r="AB25" i="2"/>
  <c r="AB28" i="2"/>
  <c r="AB21" i="2"/>
  <c r="AB24" i="2"/>
  <c r="AB3" i="2"/>
  <c r="AB23" i="2"/>
  <c r="AB11" i="2"/>
  <c r="AB18" i="2"/>
  <c r="AB13" i="2"/>
  <c r="AB16" i="2"/>
  <c r="AB6" i="2"/>
  <c r="AB4" i="2"/>
  <c r="AB7" i="2"/>
  <c r="AB29" i="2"/>
  <c r="AB17" i="2"/>
  <c r="AB2" i="2"/>
  <c r="AB30" i="2"/>
  <c r="AB9" i="2"/>
  <c r="AB5" i="2"/>
  <c r="AB31" i="2"/>
  <c r="AB22" i="2"/>
  <c r="AB15" i="2"/>
  <c r="AB8" i="2"/>
  <c r="AB12" i="2"/>
  <c r="AB20" i="2"/>
  <c r="CW11" i="2"/>
  <c r="AL13" i="2"/>
  <c r="AL33" i="2"/>
  <c r="AL15" i="2"/>
  <c r="AL28" i="2"/>
  <c r="AL27" i="2"/>
  <c r="AL7" i="2"/>
  <c r="AL6" i="2"/>
  <c r="AL17" i="2"/>
  <c r="AL14" i="2"/>
  <c r="AL26" i="2"/>
  <c r="AL12" i="2"/>
  <c r="AL4" i="2"/>
  <c r="AL24" i="2"/>
  <c r="AL18" i="2"/>
  <c r="AL16" i="2"/>
  <c r="AL3" i="2"/>
  <c r="AL8" i="2"/>
  <c r="AL29" i="2"/>
  <c r="AL22" i="2"/>
  <c r="AL2" i="2"/>
  <c r="AL9" i="2"/>
  <c r="AL32" i="2"/>
  <c r="AL20" i="2"/>
  <c r="AL11" i="2"/>
  <c r="AL23" i="2"/>
  <c r="AL10" i="2"/>
  <c r="BO36" i="2"/>
  <c r="BN35" i="2"/>
  <c r="BO35" i="2"/>
  <c r="BR29" i="2"/>
  <c r="BS29" i="2" s="1"/>
  <c r="BR17" i="2"/>
  <c r="BS17" i="2" s="1"/>
  <c r="BR2" i="2"/>
  <c r="BS2" i="2" s="1"/>
  <c r="BR28" i="2"/>
  <c r="BS28" i="2" s="1"/>
  <c r="BR6" i="2"/>
  <c r="BS6" i="2" s="1"/>
  <c r="BN37" i="2"/>
  <c r="BR25" i="2"/>
  <c r="BS25" i="2" s="1"/>
  <c r="BR22" i="2"/>
  <c r="BS22" i="2" s="1"/>
  <c r="BR15" i="2"/>
  <c r="BS15" i="2" s="1"/>
  <c r="BR11" i="2"/>
  <c r="BS11" i="2" s="1"/>
  <c r="BR33" i="2"/>
  <c r="BS33" i="2" s="1"/>
  <c r="BN36" i="2"/>
  <c r="BR23" i="2"/>
  <c r="BS23" i="2" s="1"/>
  <c r="BR14" i="2"/>
  <c r="BS14" i="2" s="1"/>
  <c r="BR32" i="2"/>
  <c r="BS32" i="2" s="1"/>
  <c r="BR4" i="2"/>
  <c r="BS4" i="2" s="1"/>
  <c r="BR21" i="2"/>
  <c r="BS21" i="2" s="1"/>
  <c r="BR9" i="2"/>
  <c r="BS9" i="2" s="1"/>
  <c r="BR26" i="2"/>
  <c r="BS26" i="2" s="1"/>
  <c r="BR10" i="2"/>
  <c r="BS10" i="2" s="1"/>
  <c r="BR5" i="2"/>
  <c r="BR18" i="2"/>
  <c r="BS18" i="2" s="1"/>
  <c r="BO37" i="2"/>
  <c r="BR30" i="2"/>
  <c r="BS30" i="2" s="1"/>
  <c r="BR24" i="2"/>
  <c r="BS24" i="2" s="1"/>
  <c r="BR3" i="2"/>
  <c r="BS3" i="2" s="1"/>
  <c r="BR20" i="2"/>
  <c r="BS20" i="2" s="1"/>
  <c r="BR7" i="2"/>
  <c r="BS7" i="2" s="1"/>
  <c r="BR8" i="2"/>
  <c r="BS8" i="2" s="1"/>
  <c r="BR27" i="2"/>
  <c r="BS27" i="2" s="1"/>
  <c r="BR13" i="2"/>
  <c r="BS13" i="2" s="1"/>
  <c r="BR16" i="2"/>
  <c r="BS16" i="2" s="1"/>
  <c r="BR12" i="2"/>
  <c r="BS12" i="2" s="1"/>
  <c r="BR31" i="2"/>
  <c r="BS31" i="2" s="1"/>
  <c r="BL35" i="2"/>
  <c r="BL36" i="2"/>
  <c r="BL37" i="2"/>
  <c r="BM35" i="2"/>
  <c r="BM36" i="2"/>
  <c r="BM37" i="2"/>
  <c r="CK13" i="2"/>
  <c r="CL13" i="2" s="1"/>
  <c r="CK16" i="2"/>
  <c r="CL16" i="2" s="1"/>
  <c r="CK15" i="2"/>
  <c r="CL15" i="2" s="1"/>
  <c r="CK30" i="2"/>
  <c r="CL30" i="2" s="1"/>
  <c r="CK11" i="2"/>
  <c r="CL11" i="2" s="1"/>
  <c r="CK21" i="2"/>
  <c r="CL21" i="2" s="1"/>
  <c r="CK6" i="2"/>
  <c r="CL6" i="2" s="1"/>
  <c r="CK5" i="2"/>
  <c r="CL5" i="2" s="1"/>
  <c r="BV37" i="2"/>
  <c r="BZ19" i="2"/>
  <c r="BZ37" i="2" s="1"/>
  <c r="CK22" i="2"/>
  <c r="CL22" i="2" s="1"/>
  <c r="CK23" i="2"/>
  <c r="CL23" i="2" s="1"/>
  <c r="CK24" i="2"/>
  <c r="CL24" i="2" s="1"/>
  <c r="CK25" i="2"/>
  <c r="CL25" i="2" s="1"/>
  <c r="CK10" i="2"/>
  <c r="CL10" i="2" s="1"/>
  <c r="CK31" i="2"/>
  <c r="CL31" i="2" s="1"/>
  <c r="CK32" i="2"/>
  <c r="CL32" i="2" s="1"/>
  <c r="CK14" i="2"/>
  <c r="CL14" i="2" s="1"/>
  <c r="CK3" i="2"/>
  <c r="CL3" i="2" s="1"/>
  <c r="CK19" i="2"/>
  <c r="CL19" i="2" s="1"/>
  <c r="CK29" i="2"/>
  <c r="CL29" i="2" s="1"/>
  <c r="CK18" i="2"/>
  <c r="CL18" i="2" s="1"/>
  <c r="CK17" i="2"/>
  <c r="CL17" i="2" s="1"/>
  <c r="CK9" i="2"/>
  <c r="CL9" i="2" s="1"/>
  <c r="CK26" i="2"/>
  <c r="CL26" i="2" s="1"/>
  <c r="CK12" i="2"/>
  <c r="CL12" i="2" s="1"/>
  <c r="CK8" i="2"/>
  <c r="CL8" i="2" s="1"/>
  <c r="CK28" i="2"/>
  <c r="CL28" i="2" s="1"/>
  <c r="CK4" i="2"/>
  <c r="CL4" i="2" s="1"/>
  <c r="CK7" i="2"/>
  <c r="CL7" i="2" s="1"/>
  <c r="CK27" i="2"/>
  <c r="CL27" i="2" s="1"/>
  <c r="CK2" i="2"/>
  <c r="CL2" i="2" s="1"/>
  <c r="CK20" i="2"/>
  <c r="CL20" i="2" s="1"/>
  <c r="CK33" i="2"/>
  <c r="CL33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26" i="2"/>
  <c r="AK13" i="2"/>
  <c r="AK27" i="2"/>
  <c r="AK7" i="2"/>
  <c r="AK33" i="2"/>
  <c r="AK17" i="2"/>
  <c r="AK4" i="2"/>
  <c r="AK14" i="2"/>
  <c r="AK12" i="2"/>
  <c r="AK15" i="2"/>
  <c r="AK6" i="2"/>
  <c r="AK28" i="2"/>
  <c r="AK32" i="2"/>
  <c r="AK23" i="2"/>
  <c r="AK16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17" i="2"/>
  <c r="AV17" i="2" s="1"/>
  <c r="AR29" i="2"/>
  <c r="AV29" i="2" s="1"/>
  <c r="AQ2" i="2"/>
  <c r="AQ20" i="2"/>
  <c r="AR27" i="2"/>
  <c r="AV27" i="2" s="1"/>
  <c r="AQ18" i="2"/>
  <c r="AR25" i="2"/>
  <c r="AV25" i="2" s="1"/>
  <c r="AR33" i="2"/>
  <c r="AV33" i="2" s="1"/>
  <c r="AQ3" i="2"/>
  <c r="AQ8" i="2"/>
  <c r="AQ29" i="2"/>
  <c r="AR13" i="2"/>
  <c r="AV13" i="2" s="1"/>
  <c r="AQ12" i="2"/>
  <c r="AR2" i="2"/>
  <c r="AV2" i="2" s="1"/>
  <c r="AR6" i="2"/>
  <c r="AV6" i="2" s="1"/>
  <c r="AR3" i="2"/>
  <c r="AV3" i="2" s="1"/>
  <c r="AQ17" i="2"/>
  <c r="AR26" i="2"/>
  <c r="AV26" i="2" s="1"/>
  <c r="AR10" i="2"/>
  <c r="AQ24" i="2"/>
  <c r="AQ21" i="2"/>
  <c r="AR8" i="2"/>
  <c r="AV8" i="2" s="1"/>
  <c r="AR15" i="2"/>
  <c r="AV15" i="2" s="1"/>
  <c r="AQ5" i="2"/>
  <c r="AQ26" i="2"/>
  <c r="AQ30" i="2"/>
  <c r="AQ22" i="2"/>
  <c r="AQ32" i="2"/>
  <c r="AQ11" i="2"/>
  <c r="AQ23" i="2"/>
  <c r="AQ13" i="2"/>
  <c r="AQ15" i="2"/>
  <c r="AR31" i="2"/>
  <c r="AV31" i="2" s="1"/>
  <c r="AR28" i="2"/>
  <c r="AV28" i="2" s="1"/>
  <c r="AR7" i="2"/>
  <c r="AV7" i="2" s="1"/>
  <c r="AR23" i="2"/>
  <c r="AV23" i="2" s="1"/>
  <c r="AR16" i="2"/>
  <c r="AV16" i="2" s="1"/>
  <c r="AR20" i="2"/>
  <c r="AV20" i="2" s="1"/>
  <c r="AQ28" i="2"/>
  <c r="AQ33" i="2"/>
  <c r="AQ7" i="2"/>
  <c r="AR12" i="2"/>
  <c r="AV12" i="2" s="1"/>
  <c r="AQ27" i="2"/>
  <c r="AQ31" i="2"/>
  <c r="AR5" i="2"/>
  <c r="AV5" i="2" s="1"/>
  <c r="AR32" i="2"/>
  <c r="AV32" i="2" s="1"/>
  <c r="AR30" i="2"/>
  <c r="AV30" i="2" s="1"/>
  <c r="AQ9" i="2"/>
  <c r="AR9" i="2"/>
  <c r="AV9" i="2" s="1"/>
  <c r="AR4" i="2"/>
  <c r="AV4" i="2" s="1"/>
  <c r="AR21" i="2"/>
  <c r="AV21" i="2" s="1"/>
  <c r="AQ10" i="2"/>
  <c r="BQ10" i="2" s="1"/>
  <c r="AQ14" i="2"/>
  <c r="AQ6" i="2"/>
  <c r="AR24" i="2"/>
  <c r="AV24" i="2" s="1"/>
  <c r="AR22" i="2"/>
  <c r="AV22" i="2" s="1"/>
  <c r="AQ16" i="2"/>
  <c r="AR14" i="2"/>
  <c r="AV14" i="2" s="1"/>
  <c r="AQ4" i="2"/>
  <c r="AR11" i="2"/>
  <c r="AV11" i="2" s="1"/>
  <c r="AR18" i="2"/>
  <c r="AV18" i="2" s="1"/>
  <c r="AQ25" i="2"/>
  <c r="AW10" i="2"/>
  <c r="AR19" i="2"/>
  <c r="AW24" i="2"/>
  <c r="AW18" i="2"/>
  <c r="AW2" i="2"/>
  <c r="AW7" i="2"/>
  <c r="AW22" i="2"/>
  <c r="AW15" i="2"/>
  <c r="AW3" i="2"/>
  <c r="AT20" i="2"/>
  <c r="AS15" i="2"/>
  <c r="AW20" i="2"/>
  <c r="AW27" i="2"/>
  <c r="AW13" i="2"/>
  <c r="AW26" i="2"/>
  <c r="AW6" i="2"/>
  <c r="AW4" i="2"/>
  <c r="AW28" i="2"/>
  <c r="AW14" i="2"/>
  <c r="AW11" i="2"/>
  <c r="AW12" i="2"/>
  <c r="AW29" i="2"/>
  <c r="AW17" i="2"/>
  <c r="AW8" i="2"/>
  <c r="AW9" i="2"/>
  <c r="AW33" i="2"/>
  <c r="CR18" i="2"/>
  <c r="CZ6" i="2"/>
  <c r="CY4" i="2"/>
  <c r="DA4" i="2" s="1"/>
  <c r="AS32" i="2"/>
  <c r="BP67" i="5"/>
  <c r="AT14" i="2"/>
  <c r="AT15" i="2"/>
  <c r="BK19" i="2"/>
  <c r="BK36" i="2" s="1"/>
  <c r="AT32" i="2"/>
  <c r="K19" i="2"/>
  <c r="E19" i="2"/>
  <c r="E35" i="2" s="1"/>
  <c r="AT16" i="2"/>
  <c r="AD19" i="2"/>
  <c r="AS14" i="2"/>
  <c r="AQ19" i="2"/>
  <c r="AT9" i="2"/>
  <c r="AT24" i="2"/>
  <c r="AT33" i="2"/>
  <c r="AS27" i="2"/>
  <c r="AT27" i="2"/>
  <c r="AS5" i="2"/>
  <c r="AT5" i="2"/>
  <c r="AS12" i="2"/>
  <c r="AT12" i="2"/>
  <c r="AS7" i="2"/>
  <c r="AT7" i="2"/>
  <c r="AS29" i="2"/>
  <c r="AT29" i="2"/>
  <c r="AS30" i="2"/>
  <c r="AT30" i="2"/>
  <c r="AS25" i="2"/>
  <c r="AT25" i="2"/>
  <c r="AT4" i="2"/>
  <c r="AT21" i="2"/>
  <c r="AS10" i="2"/>
  <c r="AT10" i="2"/>
  <c r="AS11" i="2"/>
  <c r="AT11" i="2"/>
  <c r="AS18" i="2"/>
  <c r="AT18" i="2"/>
  <c r="AS2" i="2"/>
  <c r="AT2" i="2"/>
  <c r="AT28" i="2"/>
  <c r="AS17" i="2"/>
  <c r="AT17" i="2"/>
  <c r="AT3" i="2"/>
  <c r="AS23" i="2"/>
  <c r="AT23" i="2"/>
  <c r="AS26" i="2"/>
  <c r="AT26" i="2"/>
  <c r="AS8" i="2"/>
  <c r="AT8" i="2"/>
  <c r="AS13" i="2"/>
  <c r="AT13" i="2"/>
  <c r="AS31" i="2"/>
  <c r="AT31" i="2"/>
  <c r="AT6" i="2"/>
  <c r="AS22" i="2"/>
  <c r="AT22" i="2"/>
  <c r="AS24" i="2"/>
  <c r="AS33" i="2"/>
  <c r="AS3" i="2"/>
  <c r="AS4" i="2"/>
  <c r="AS21" i="2"/>
  <c r="AS20" i="2"/>
  <c r="AS16" i="2"/>
  <c r="AS6" i="2"/>
  <c r="AS28" i="2"/>
  <c r="AS9" i="2"/>
  <c r="BI19" i="2"/>
  <c r="BI35" i="2" s="1"/>
  <c r="BJ19" i="2"/>
  <c r="BJ36" i="2" s="1"/>
  <c r="BQ67" i="4"/>
  <c r="BQ68" i="4" s="1"/>
  <c r="BP67" i="4"/>
  <c r="BP68" i="4" s="1"/>
  <c r="BY19" i="2"/>
  <c r="BY37" i="2" s="1"/>
  <c r="BH19" i="2"/>
  <c r="AM2" i="2" l="1"/>
  <c r="AN2" i="2"/>
  <c r="AM28" i="2"/>
  <c r="AN28" i="2"/>
  <c r="AM29" i="2"/>
  <c r="AN29" i="2"/>
  <c r="AM33" i="2"/>
  <c r="AN33" i="2"/>
  <c r="AM8" i="2"/>
  <c r="AN8" i="2"/>
  <c r="AM13" i="2"/>
  <c r="AN13" i="2"/>
  <c r="AM3" i="2"/>
  <c r="AN3" i="2"/>
  <c r="AM15" i="2"/>
  <c r="AN15" i="2"/>
  <c r="AM16" i="2"/>
  <c r="AN16" i="2"/>
  <c r="AM18" i="2"/>
  <c r="AN18" i="2"/>
  <c r="AM24" i="2"/>
  <c r="AN24" i="2"/>
  <c r="AM4" i="2"/>
  <c r="AN4" i="2"/>
  <c r="AM12" i="2"/>
  <c r="AN12" i="2"/>
  <c r="AM22" i="2"/>
  <c r="AN22" i="2"/>
  <c r="AM10" i="2"/>
  <c r="AN10" i="2"/>
  <c r="AM26" i="2"/>
  <c r="AN26" i="2"/>
  <c r="AM23" i="2"/>
  <c r="AN23" i="2"/>
  <c r="AM14" i="2"/>
  <c r="AN14" i="2"/>
  <c r="AM11" i="2"/>
  <c r="AN11" i="2"/>
  <c r="AM17" i="2"/>
  <c r="AN17" i="2"/>
  <c r="AM20" i="2"/>
  <c r="AN20" i="2"/>
  <c r="AM6" i="2"/>
  <c r="AN6" i="2"/>
  <c r="AM32" i="2"/>
  <c r="AN32" i="2"/>
  <c r="AM7" i="2"/>
  <c r="AN7" i="2"/>
  <c r="AM9" i="2"/>
  <c r="AN9" i="2"/>
  <c r="AM27" i="2"/>
  <c r="AN27" i="2"/>
  <c r="BR19" i="2"/>
  <c r="BR37" i="2" s="1"/>
  <c r="AB19" i="2"/>
  <c r="CX7" i="2"/>
  <c r="CW9" i="2" s="1"/>
  <c r="CX10" i="2" s="1"/>
  <c r="BS5" i="2"/>
  <c r="BP19" i="2"/>
  <c r="BZ35" i="2"/>
  <c r="BZ36" i="2"/>
  <c r="CS11" i="2"/>
  <c r="CS15" i="2"/>
  <c r="CS13" i="2"/>
  <c r="AT19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9" i="2"/>
  <c r="AU9" i="2"/>
  <c r="BQ9" i="2"/>
  <c r="AU15" i="2"/>
  <c r="BQ15" i="2"/>
  <c r="AU25" i="2"/>
  <c r="BQ25" i="2"/>
  <c r="AU23" i="2"/>
  <c r="BQ23" i="2"/>
  <c r="AU31" i="2"/>
  <c r="BQ31" i="2"/>
  <c r="AU32" i="2"/>
  <c r="BQ32" i="2"/>
  <c r="AU4" i="2"/>
  <c r="BQ4" i="2"/>
  <c r="AU27" i="2"/>
  <c r="BQ27" i="2"/>
  <c r="AU22" i="2"/>
  <c r="BQ22" i="2"/>
  <c r="AU29" i="2"/>
  <c r="BQ29" i="2"/>
  <c r="AU30" i="2"/>
  <c r="BQ30" i="2"/>
  <c r="AU8" i="2"/>
  <c r="BQ8" i="2"/>
  <c r="AU16" i="2"/>
  <c r="BQ16" i="2"/>
  <c r="AU7" i="2"/>
  <c r="BQ7" i="2"/>
  <c r="AU26" i="2"/>
  <c r="BQ26" i="2"/>
  <c r="AU3" i="2"/>
  <c r="BQ3" i="2"/>
  <c r="AU33" i="2"/>
  <c r="BQ33" i="2"/>
  <c r="AU5" i="2"/>
  <c r="BQ5" i="2"/>
  <c r="AU28" i="2"/>
  <c r="BQ28" i="2"/>
  <c r="AU12" i="2"/>
  <c r="BQ12" i="2"/>
  <c r="AU6" i="2"/>
  <c r="BQ6" i="2"/>
  <c r="AU18" i="2"/>
  <c r="BQ18" i="2"/>
  <c r="AU14" i="2"/>
  <c r="BQ14" i="2"/>
  <c r="AU21" i="2"/>
  <c r="BQ21" i="2"/>
  <c r="AU24" i="2"/>
  <c r="BQ24" i="2"/>
  <c r="AU20" i="2"/>
  <c r="BQ20" i="2"/>
  <c r="AU11" i="2"/>
  <c r="BQ11" i="2"/>
  <c r="AU2" i="2"/>
  <c r="BQ2" i="2"/>
  <c r="AU13" i="2"/>
  <c r="BQ13" i="2"/>
  <c r="AU17" i="2"/>
  <c r="BQ17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10" i="2"/>
  <c r="AR35" i="2"/>
  <c r="AR37" i="2"/>
  <c r="AR36" i="2"/>
  <c r="AU10" i="2"/>
  <c r="AQ35" i="2"/>
  <c r="AQ37" i="2"/>
  <c r="AQ36" i="2"/>
  <c r="K35" i="2"/>
  <c r="AV19" i="2"/>
  <c r="AU19" i="2"/>
  <c r="DA7" i="2"/>
  <c r="DB4" i="2" s="1"/>
  <c r="AS19" i="2"/>
  <c r="AS37" i="2" s="1"/>
  <c r="BS19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<sst xmlns="http://schemas.openxmlformats.org/spreadsheetml/2006/main" count="5247" uniqueCount="752">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</sst>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-3</c:v>
                </c:pt>
                <c:pt idx="50">
                  <c:v>-2</c:v>
                </c:pt>
                <c:pt idx="51">
                  <c:v>-4</c:v>
                </c:pt>
                <c:pt idx="52">
                  <c:v>-2</c:v>
                </c:pt>
                <c:pt idx="53">
                  <c:v>-1</c:v>
                </c:pt>
                <c:pt idx="54">
                  <c:v>-2</c:v>
                </c:pt>
                <c:pt idx="55">
                  <c:v>-4</c:v>
                </c:pt>
                <c:pt idx="56">
                  <c:v>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-4</c:v>
                </c:pt>
                <c:pt idx="50">
                  <c:v>-5</c:v>
                </c:pt>
                <c:pt idx="51">
                  <c:v>-2</c:v>
                </c:pt>
                <c:pt idx="52">
                  <c:v>-4</c:v>
                </c:pt>
                <c:pt idx="53">
                  <c:v>-3</c:v>
                </c:pt>
                <c:pt idx="54">
                  <c:v>-5</c:v>
                </c:pt>
                <c:pt idx="55">
                  <c:v>-3</c:v>
                </c:pt>
                <c:pt idx="56">
                  <c:v>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5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-22</c:v>
                </c:pt>
                <c:pt idx="50">
                  <c:v>-22</c:v>
                </c:pt>
                <c:pt idx="51">
                  <c:v>-22</c:v>
                </c:pt>
                <c:pt idx="52">
                  <c:v>-22</c:v>
                </c:pt>
                <c:pt idx="53">
                  <c:v>-22</c:v>
                </c:pt>
                <c:pt idx="54">
                  <c:v>-22</c:v>
                </c:pt>
                <c:pt idx="55">
                  <c:v>-22</c:v>
                </c:pt>
                <c:pt idx="56">
                  <c:v>-22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5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-29</c:v>
                </c:pt>
                <c:pt idx="50">
                  <c:v>-29</c:v>
                </c:pt>
                <c:pt idx="51">
                  <c:v>-29</c:v>
                </c:pt>
                <c:pt idx="52">
                  <c:v>-29</c:v>
                </c:pt>
                <c:pt idx="53">
                  <c:v>-29</c:v>
                </c:pt>
                <c:pt idx="54">
                  <c:v>-29</c:v>
                </c:pt>
                <c:pt idx="55">
                  <c:v>-29</c:v>
                </c:pt>
                <c:pt idx="56">
                  <c:v>-29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O2:O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S2:AS33"/>
    <sortCondition descending="1" ref="AQ2:AQ33"/>
    <sortCondition ref="K2:K33"/>
    <sortCondition descending="1" ref="BH2:BH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25" workbookViewId="0">
      <selection activeCell="Y47" sqref="Y47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48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23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29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15</v>
      </c>
      <c r="BP5" s="57"/>
      <c r="BR5" s="2">
        <v>0</v>
      </c>
      <c r="BS5" s="110" cm="1">
        <f t="array" ref="BS5">SUM(--(ABS($F$3:$F$1315 - $J$3:$J$1315) = 0)) -(((32*82)/2) - $BD$4)</f>
        <v>-1</v>
      </c>
      <c r="BT5" s="111">
        <f>$BS5/$BD$4</f>
        <v>-2.0833333333333332E-2</v>
      </c>
      <c r="BU5" s="112" cm="1">
        <f t="array" ref="BU5">SUM(--(ABS($G$3:$G$1315 - $K$3:$K$1315) = 0)) -(((32*82)/2) - $BD$4)</f>
        <v>1</v>
      </c>
      <c r="BV5" s="113">
        <f>$BU5/$BD$4</f>
        <v>2.0833333333333332E-2</v>
      </c>
      <c r="BW5" s="109">
        <f t="shared" ref="BW5:BW15" si="5">BS5+BU5</f>
        <v>0</v>
      </c>
      <c r="BX5" s="114">
        <f t="shared" ref="BX5:BX15" si="6">(BS5+BU5)/($BD$4*2)</f>
        <v>0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19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5</v>
      </c>
      <c r="BP6" s="57"/>
      <c r="BR6" s="2">
        <v>1</v>
      </c>
      <c r="BS6" s="110" cm="1">
        <f t="array" ref="BS6">SUM(--(ABS($F$3:$F$1315 - $J$3:$J$1315) = $BR6))</f>
        <v>20</v>
      </c>
      <c r="BT6" s="111">
        <f t="shared" ref="BT6:BT15" si="7">$BS6/$BD$4</f>
        <v>0.41666666666666669</v>
      </c>
      <c r="BU6" s="112" cm="1">
        <f t="array" ref="BU6">SUM(--(ABS($G$3:$G$1315 - $K$3:$K$1315) = $BR6))</f>
        <v>16</v>
      </c>
      <c r="BV6" s="113">
        <f t="shared" ref="BV6:BV15" si="8">$BU6/$BD$4</f>
        <v>0.33333333333333331</v>
      </c>
      <c r="BW6" s="109">
        <f t="shared" si="5"/>
        <v>36</v>
      </c>
      <c r="BX6" s="114">
        <f t="shared" si="6"/>
        <v>0.375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0.60416666666666663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</v>
      </c>
      <c r="BP7" s="57"/>
      <c r="BR7" s="2">
        <v>2</v>
      </c>
      <c r="BS7" s="110" cm="1">
        <f t="array" ref="BS7">SUM(--(ABS($F$3:$F$1315 - $J$3:$J$1315) = $BR7))</f>
        <v>13</v>
      </c>
      <c r="BT7" s="111">
        <f t="shared" si="7"/>
        <v>0.27083333333333331</v>
      </c>
      <c r="BU7" s="112" cm="1">
        <f t="array" ref="BU7">SUM(--(ABS($G$3:$G$1315 - $K$3:$K$1315) = $BR7))</f>
        <v>13</v>
      </c>
      <c r="BV7" s="113">
        <f t="shared" si="8"/>
        <v>0.27083333333333331</v>
      </c>
      <c r="BW7" s="109">
        <f t="shared" si="5"/>
        <v>26</v>
      </c>
      <c r="BX7" s="114">
        <f t="shared" si="6"/>
        <v>0.27083333333333331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1</v>
      </c>
      <c r="BP8" s="57"/>
      <c r="BR8" s="2">
        <v>3</v>
      </c>
      <c r="BS8" s="110" cm="1">
        <f t="array" ref="BS8">SUM(--(ABS($F$3:$F$1315 - $J$3:$J$1315) = $BR8))</f>
        <v>10</v>
      </c>
      <c r="BT8" s="111">
        <f t="shared" si="7"/>
        <v>0.20833333333333334</v>
      </c>
      <c r="BU8" s="112" cm="1">
        <f t="array" ref="BU8">SUM(--(ABS($G$3:$G$1315 - $K$3:$K$1315) = $BR8))</f>
        <v>8</v>
      </c>
      <c r="BV8" s="113">
        <f t="shared" si="8"/>
        <v>0.16666666666666666</v>
      </c>
      <c r="BW8" s="109">
        <f t="shared" si="5"/>
        <v>18</v>
      </c>
      <c r="BX8" s="114">
        <f t="shared" si="6"/>
        <v>0.1875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24.600000000000012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3</v>
      </c>
      <c r="BP9" s="57"/>
      <c r="BR9" s="2">
        <v>4</v>
      </c>
      <c r="BS9" s="110" cm="1">
        <f t="array" ref="BS9">SUM(--(ABS($F$3:$F$1315 - $J$3:$J$1315) = $BR9))</f>
        <v>6</v>
      </c>
      <c r="BT9" s="111">
        <f t="shared" si="7"/>
        <v>0.125</v>
      </c>
      <c r="BU9" s="112" cm="1">
        <f t="array" ref="BU9">SUM(--(ABS($G$3:$G$1315 - $K$3:$K$1315) = $BR9))</f>
        <v>8</v>
      </c>
      <c r="BV9" s="113">
        <f t="shared" si="8"/>
        <v>0.16666666666666666</v>
      </c>
      <c r="BW9" s="109">
        <f t="shared" si="5"/>
        <v>14</v>
      </c>
      <c r="BX9" s="114">
        <f t="shared" si="6"/>
        <v>0.14583333333333334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0.51250000000000029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2.0833333333333332E-2</v>
      </c>
      <c r="BU10" s="112" cm="1">
        <f t="array" ref="BU10">SUM(--(ABS($G$3:$G$1315 - $K$3:$K$1315) = $BR10))</f>
        <v>2</v>
      </c>
      <c r="BV10" s="113">
        <f t="shared" si="8"/>
        <v>4.1666666666666664E-2</v>
      </c>
      <c r="BW10" s="109">
        <f t="shared" si="5"/>
        <v>3</v>
      </c>
      <c r="BX10" s="114">
        <f t="shared" si="6"/>
        <v>3.125E-2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23.200000000000003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29-15-4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>
        <f t="shared" si="7"/>
        <v>0</v>
      </c>
      <c r="BU11" s="112" cm="1">
        <f t="array" ref="BU11">SUM(--(ABS($G$3:$G$1315 - $K$3:$K$1315) = $BR11))</f>
        <v>1</v>
      </c>
      <c r="BV11" s="113">
        <f t="shared" si="8"/>
        <v>2.0833333333333332E-2</v>
      </c>
      <c r="BW11" s="109">
        <f t="shared" si="5"/>
        <v>1</v>
      </c>
      <c r="BX11" s="114">
        <f t="shared" si="6"/>
        <v>1.0416666666666666E-2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6</v>
      </c>
      <c r="BF12">
        <f>10/100</f>
        <v>0.1</v>
      </c>
      <c r="BK12" s="57"/>
      <c r="BL12" s="157" t="str">
        <f>_xlfn.CONCAT(TEXT(BM4, "0"),"-",TEXT(BM5, "0"),"-",TEXT(BM7+BM9+BM6+BM8, "0"))</f>
        <v>23-15-10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0.8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2.1874999999999996</v>
      </c>
      <c r="BT16" s="156"/>
      <c r="BU16" s="156">
        <f>((BR5*BV5)+(BV6*BR6)+(BV7*BR7)+(BV8*BR8)+(BV9*BR9)+(BV10*BR10)+(BV11*BR11)+(BV12*BR12)+(BV13*BR13)+(BV14*BR14)+(BV15*BR15))</f>
        <v>2.375</v>
      </c>
      <c r="BV16" s="156"/>
      <c r="BX16">
        <f>((BR5*BX5)+(BX6*BR6)+(BX7*BR7)+(BX8*BR8)+(BX9*BR9)+(BX10*BR10)+(BX11*BR11)+(BX12*BR12)+(BX13*BR13)+(BX14*BR14)+(BX15*BR15))</f>
        <v>2.28125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26.880000000000017</v>
      </c>
      <c r="BH17" t="s">
        <v>486</v>
      </c>
      <c r="BI17">
        <f>COUNTIFS($N$3:$N$1315,1,$AC$3:$AC$1315,1)</f>
        <v>3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0.56000000000000039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8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14.4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719</v>
      </c>
      <c r="J40" s="153">
        <v>1</v>
      </c>
      <c r="K40" s="153">
        <v>0</v>
      </c>
      <c r="L40" s="153" t="str">
        <f t="shared" si="1"/>
        <v>WSH</v>
      </c>
      <c r="M40" s="153" t="s">
        <v>719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751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751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721</v>
      </c>
      <c r="J51" s="2"/>
      <c r="K51" s="2"/>
      <c r="L51" s="2" t="str">
        <f t="shared" si="1"/>
        <v>_</v>
      </c>
      <c r="M51" s="2"/>
      <c r="N51" s="2">
        <f>IF(ISBLANK(Table2[[#This Row],[ActualResult]]), 0, 1)</f>
        <v>0</v>
      </c>
      <c r="O51" s="2" t="str">
        <f>IF(ISBLANK(Table2[[#This Row],[ActualResult]]), "_", IF(Table2[[#This Row],[ActualWinner]]=Table2[[#This Row],[PredictedWinner]], "Y", "N"))</f>
        <v>_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" s="2"/>
      <c r="S51" s="2" t="str">
        <f t="shared" si="2"/>
        <v>_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-3</v>
      </c>
      <c r="AG51" s="2">
        <f>Table2[[#This Row],[ActualHomeScore]]-Table2[[#This Row],[PredictedHomeScore]]</f>
        <v>-4</v>
      </c>
      <c r="AH51" s="2">
        <f t="shared" si="3"/>
        <v>-22</v>
      </c>
      <c r="AI51" s="2">
        <f t="shared" si="4"/>
        <v>-29</v>
      </c>
      <c r="AJ51" s="2"/>
      <c r="AK51" s="2"/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0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0-0-0</v>
      </c>
      <c r="AP51" s="2" t="str">
        <f>INDEX(Sheet5!$B$2:$AG$33, MATCH(Table2[[#This Row],[HomeTeam]],Sheet5!$A$2:$A$33, 0), MATCH(Table2[[#This Row],[AwayTeam]],Sheet5!$A$2:$A$33, 0))</f>
        <v>0-0-0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0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1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719</v>
      </c>
      <c r="J52" s="2"/>
      <c r="K52" s="2"/>
      <c r="L52" s="2" t="str">
        <f t="shared" si="1"/>
        <v>_</v>
      </c>
      <c r="M52" s="2"/>
      <c r="N52" s="2">
        <f>IF(ISBLANK(Table2[[#This Row],[ActualResult]]), 0, 1)</f>
        <v>0</v>
      </c>
      <c r="O52" s="2" t="str">
        <f>IF(ISBLANK(Table2[[#This Row],[ActualResult]]), "_", IF(Table2[[#This Row],[ActualWinner]]=Table2[[#This Row],[PredictedWinner]], "Y", "N"))</f>
        <v>_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" s="2"/>
      <c r="S52" s="2" t="str">
        <f t="shared" si="2"/>
        <v>_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-2</v>
      </c>
      <c r="AG52" s="2">
        <f>Table2[[#This Row],[ActualHomeScore]]-Table2[[#This Row],[PredictedHomeScore]]</f>
        <v>-5</v>
      </c>
      <c r="AH52" s="2">
        <f t="shared" si="3"/>
        <v>-22</v>
      </c>
      <c r="AI52" s="2">
        <f t="shared" si="4"/>
        <v>-29</v>
      </c>
      <c r="AJ52" s="2"/>
      <c r="AK52" s="2"/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0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0-0-0</v>
      </c>
      <c r="AP52" s="2" t="str">
        <f>INDEX(Sheet5!$B$2:$AG$33, MATCH(Table2[[#This Row],[HomeTeam]],Sheet5!$A$2:$A$33, 0), MATCH(Table2[[#This Row],[AwayTeam]],Sheet5!$A$2:$A$33, 0))</f>
        <v>0-0-0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1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719</v>
      </c>
      <c r="J53" s="2"/>
      <c r="K53" s="2"/>
      <c r="L53" s="2" t="str">
        <f t="shared" si="1"/>
        <v>_</v>
      </c>
      <c r="M53" s="2"/>
      <c r="N53" s="2">
        <f>IF(ISBLANK(Table2[[#This Row],[ActualResult]]), 0, 1)</f>
        <v>0</v>
      </c>
      <c r="O53" s="2" t="str">
        <f>IF(ISBLANK(Table2[[#This Row],[ActualResult]]), "_", IF(Table2[[#This Row],[ActualWinner]]=Table2[[#This Row],[PredictedWinner]], "Y", "N"))</f>
        <v>_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" s="2"/>
      <c r="S53" s="2" t="str">
        <f t="shared" si="2"/>
        <v>_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0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-4</v>
      </c>
      <c r="AG53" s="2">
        <f>Table2[[#This Row],[ActualHomeScore]]-Table2[[#This Row],[PredictedHomeScore]]</f>
        <v>-2</v>
      </c>
      <c r="AH53" s="2">
        <f t="shared" si="3"/>
        <v>-22</v>
      </c>
      <c r="AI53" s="2">
        <f t="shared" si="4"/>
        <v>-29</v>
      </c>
      <c r="AJ53" s="2"/>
      <c r="AK53" s="2"/>
      <c r="AL53" s="2">
        <f>IF(Table2[[#This Row],[GameIsOver]]=0,0,IF(Table2[[#This Row],[ActualWinner]]=Table2[[#This Row],[AwayTeam]], 1, 0))</f>
        <v>0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0-0-0</v>
      </c>
      <c r="AP53" s="2" t="str">
        <f>INDEX(Sheet5!$B$2:$AG$33, MATCH(Table2[[#This Row],[HomeTeam]],Sheet5!$A$2:$A$33, 0), MATCH(Table2[[#This Row],[AwayTeam]],Sheet5!$A$2:$A$33, 0))</f>
        <v>0-0-0</v>
      </c>
      <c r="AQ53" s="2">
        <f>IF(Table2[[#This Row],[GameHasShutOut]], 1, 0)</f>
        <v>0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719</v>
      </c>
      <c r="J54" s="2"/>
      <c r="K54" s="2"/>
      <c r="L54" s="2" t="str">
        <f t="shared" si="1"/>
        <v>_</v>
      </c>
      <c r="M54" s="2"/>
      <c r="N54" s="2">
        <f>IF(ISBLANK(Table2[[#This Row],[ActualResult]]), 0, 1)</f>
        <v>0</v>
      </c>
      <c r="O54" s="2" t="str">
        <f>IF(ISBLANK(Table2[[#This Row],[ActualResult]]), "_", IF(Table2[[#This Row],[ActualWinner]]=Table2[[#This Row],[PredictedWinner]], "Y", "N"))</f>
        <v>_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" s="2"/>
      <c r="S54" s="2" t="str">
        <f t="shared" si="2"/>
        <v>_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-2</v>
      </c>
      <c r="AG54" s="2">
        <f>Table2[[#This Row],[ActualHomeScore]]-Table2[[#This Row],[PredictedHomeScore]]</f>
        <v>-4</v>
      </c>
      <c r="AH54" s="2">
        <f t="shared" si="3"/>
        <v>-22</v>
      </c>
      <c r="AI54" s="2">
        <f t="shared" si="4"/>
        <v>-29</v>
      </c>
      <c r="AJ54" s="2"/>
      <c r="AK54" s="2"/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0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0-0-0</v>
      </c>
      <c r="AP54" s="2" t="str">
        <f>INDEX(Sheet5!$B$2:$AG$33, MATCH(Table2[[#This Row],[HomeTeam]],Sheet5!$A$2:$A$33, 0), MATCH(Table2[[#This Row],[AwayTeam]],Sheet5!$A$2:$A$33, 0))</f>
        <v>0-0-0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1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719</v>
      </c>
      <c r="J55" s="2"/>
      <c r="K55" s="2"/>
      <c r="L55" s="2" t="str">
        <f t="shared" si="1"/>
        <v>_</v>
      </c>
      <c r="M55" s="2"/>
      <c r="N55" s="2">
        <f>IF(ISBLANK(Table2[[#This Row],[ActualResult]]), 0, 1)</f>
        <v>0</v>
      </c>
      <c r="O55" s="2" t="str">
        <f>IF(ISBLANK(Table2[[#This Row],[ActualResult]]), "_", IF(Table2[[#This Row],[ActualWinner]]=Table2[[#This Row],[PredictedWinner]], "Y", "N"))</f>
        <v>_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" s="2"/>
      <c r="S55" s="2" t="str">
        <f t="shared" si="2"/>
        <v>_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-1</v>
      </c>
      <c r="AG55" s="2">
        <f>Table2[[#This Row],[ActualHomeScore]]-Table2[[#This Row],[PredictedHomeScore]]</f>
        <v>-3</v>
      </c>
      <c r="AH55" s="2">
        <f t="shared" si="3"/>
        <v>-22</v>
      </c>
      <c r="AI55" s="2">
        <f t="shared" si="4"/>
        <v>-29</v>
      </c>
      <c r="AJ55" s="2"/>
      <c r="AK55" s="2"/>
      <c r="AL55" s="2">
        <f>IF(Table2[[#This Row],[GameIsOver]]=0,0,IF(Table2[[#This Row],[ActualWinner]]=Table2[[#This Row],[AwayTeam]], 1, 0))</f>
        <v>0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0-0-0</v>
      </c>
      <c r="AP55" s="2" t="str">
        <f>INDEX(Sheet5!$B$2:$AG$33, MATCH(Table2[[#This Row],[HomeTeam]],Sheet5!$A$2:$A$33, 0), MATCH(Table2[[#This Row],[AwayTeam]],Sheet5!$A$2:$A$33, 0))</f>
        <v>0-0-0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1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719</v>
      </c>
      <c r="J56" s="2"/>
      <c r="K56" s="2"/>
      <c r="L56" s="2" t="str">
        <f t="shared" si="1"/>
        <v>_</v>
      </c>
      <c r="M56" s="2"/>
      <c r="N56" s="2">
        <f>IF(ISBLANK(Table2[[#This Row],[ActualResult]]), 0, 1)</f>
        <v>0</v>
      </c>
      <c r="O56" s="2" t="str">
        <f>IF(ISBLANK(Table2[[#This Row],[ActualResult]]), "_", IF(Table2[[#This Row],[ActualWinner]]=Table2[[#This Row],[PredictedWinner]], "Y", "N"))</f>
        <v>_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" s="2"/>
      <c r="S56" s="2" t="str">
        <f t="shared" si="2"/>
        <v>_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-2</v>
      </c>
      <c r="AG56" s="2">
        <f>Table2[[#This Row],[ActualHomeScore]]-Table2[[#This Row],[PredictedHomeScore]]</f>
        <v>-5</v>
      </c>
      <c r="AH56" s="2">
        <f t="shared" si="3"/>
        <v>-22</v>
      </c>
      <c r="AI56" s="2">
        <f t="shared" si="4"/>
        <v>-29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0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0-0-0</v>
      </c>
      <c r="AP56" s="2" t="str">
        <f>INDEX(Sheet5!$B$2:$AG$33, MATCH(Table2[[#This Row],[HomeTeam]],Sheet5!$A$2:$A$33, 0), MATCH(Table2[[#This Row],[AwayTeam]],Sheet5!$A$2:$A$33, 0))</f>
        <v>0-0-0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1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720</v>
      </c>
      <c r="J57" s="2"/>
      <c r="K57" s="2"/>
      <c r="L57" s="2" t="str">
        <f t="shared" si="1"/>
        <v>_</v>
      </c>
      <c r="M57" s="2"/>
      <c r="N57" s="2">
        <f>IF(ISBLANK(Table2[[#This Row],[ActualResult]]), 0, 1)</f>
        <v>0</v>
      </c>
      <c r="O57" s="2" t="str">
        <f>IF(ISBLANK(Table2[[#This Row],[ActualResult]]), "_", IF(Table2[[#This Row],[ActualWinner]]=Table2[[#This Row],[PredictedWinner]], "Y", "N"))</f>
        <v>_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" s="2"/>
      <c r="S57" s="2" t="str">
        <f t="shared" si="2"/>
        <v>_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-4</v>
      </c>
      <c r="AG57" s="2">
        <f>Table2[[#This Row],[ActualHomeScore]]-Table2[[#This Row],[PredictedHomeScore]]</f>
        <v>-3</v>
      </c>
      <c r="AH57" s="2">
        <f t="shared" si="3"/>
        <v>-22</v>
      </c>
      <c r="AI57" s="2">
        <f t="shared" si="4"/>
        <v>-29</v>
      </c>
      <c r="AJ57" s="2"/>
      <c r="AK57" s="2"/>
      <c r="AL57" s="2">
        <f>IF(Table2[[#This Row],[GameIsOver]]=0,0,IF(Table2[[#This Row],[ActualWinner]]=Table2[[#This Row],[AwayTeam]], 1, 0))</f>
        <v>0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0-0-0</v>
      </c>
      <c r="AP57" s="2" t="str">
        <f>INDEX(Sheet5!$B$2:$AG$33, MATCH(Table2[[#This Row],[HomeTeam]],Sheet5!$A$2:$A$33, 0), MATCH(Table2[[#This Row],[AwayTeam]],Sheet5!$A$2:$A$33, 0))</f>
        <v>0-0-0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1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720</v>
      </c>
      <c r="J58" s="143"/>
      <c r="K58" s="143"/>
      <c r="L58" s="143" t="str">
        <f t="shared" si="1"/>
        <v>_</v>
      </c>
      <c r="M58" s="143"/>
      <c r="N58" s="143">
        <f>IF(ISBLANK(Table2[[#This Row],[ActualResult]]), 0, 1)</f>
        <v>0</v>
      </c>
      <c r="O58" s="143" t="str">
        <f>IF(ISBLANK(Table2[[#This Row],[ActualResult]]), "_", IF(Table2[[#This Row],[ActualWinner]]=Table2[[#This Row],[PredictedWinner]], "Y", "N"))</f>
        <v>_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" s="143"/>
      <c r="S58" s="143" t="str">
        <f t="shared" si="2"/>
        <v>_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-4</v>
      </c>
      <c r="AG58" s="143">
        <f>Table2[[#This Row],[ActualHomeScore]]-Table2[[#This Row],[PredictedHomeScore]]</f>
        <v>-3</v>
      </c>
      <c r="AH58" s="143">
        <f t="shared" si="3"/>
        <v>-22</v>
      </c>
      <c r="AI58" s="143">
        <f t="shared" si="4"/>
        <v>-29</v>
      </c>
      <c r="AJ58" s="143"/>
      <c r="AK58" s="143"/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0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0-0-0</v>
      </c>
      <c r="AP58" s="143" t="str">
        <f>INDEX(Sheet5!$B$2:$AG$33, MATCH(Table2[[#This Row],[HomeTeam]],Sheet5!$A$2:$A$33, 0), MATCH(Table2[[#This Row],[AwayTeam]],Sheet5!$A$2:$A$33, 0))</f>
        <v>0-0-0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1</v>
      </c>
      <c r="AU58" s="2"/>
      <c r="AV58" s="2"/>
    </row>
    <row r="59" spans="1:58" x14ac:dyDescent="0.25">
      <c r="A59" s="3"/>
      <c r="B59" s="3">
        <v>45945</v>
      </c>
      <c r="C59" s="5">
        <v>2025020057</v>
      </c>
      <c r="D59" s="2" t="s">
        <v>29</v>
      </c>
      <c r="E59" s="2" t="s">
        <v>28</v>
      </c>
      <c r="F59" s="2"/>
      <c r="G59" s="2"/>
      <c r="H59" s="2" t="str">
        <f t="shared" si="0"/>
        <v>_</v>
      </c>
      <c r="I59" s="2"/>
      <c r="J59" s="2"/>
      <c r="K59" s="2"/>
      <c r="L59" s="2" t="str">
        <f t="shared" si="1"/>
        <v>_</v>
      </c>
      <c r="M59" s="2"/>
      <c r="N59" s="2">
        <f>IF(ISBLANK(Table2[[#This Row],[ActualResult]]), 0, 1)</f>
        <v>0</v>
      </c>
      <c r="O59" s="2" t="str">
        <f>IF(ISBLANK(Table2[[#This Row],[ActualResult]]), "_", IF(Table2[[#This Row],[ActualWinner]]=Table2[[#This Row],[PredictedWinner]], "Y", "N"))</f>
        <v>_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2"/>
      <c r="S59" s="2" t="str">
        <f t="shared" si="2"/>
        <v>_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0</v>
      </c>
      <c r="AH59" s="2">
        <f t="shared" si="3"/>
        <v>0</v>
      </c>
      <c r="AI59" s="2">
        <f t="shared" si="4"/>
        <v>0</v>
      </c>
      <c r="AJ59" s="2"/>
      <c r="AK59" s="2"/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0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0-0-0</v>
      </c>
      <c r="AP59" s="2" t="str">
        <f>INDEX(Sheet5!$B$2:$AG$33, MATCH(Table2[[#This Row],[HomeTeam]],Sheet5!$A$2:$A$33, 0), MATCH(Table2[[#This Row],[AwayTeam]],Sheet5!$A$2:$A$33, 0))</f>
        <v>0-0-0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0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1</v>
      </c>
      <c r="AU59" s="2"/>
      <c r="AV59" s="2"/>
    </row>
    <row r="60" spans="1:58" x14ac:dyDescent="0.25">
      <c r="A60" s="3"/>
      <c r="B60" s="3">
        <v>45945</v>
      </c>
      <c r="C60" s="5">
        <v>2025020058</v>
      </c>
      <c r="D60" s="2" t="s">
        <v>13</v>
      </c>
      <c r="E60" s="2" t="s">
        <v>30</v>
      </c>
      <c r="F60" s="2"/>
      <c r="G60" s="2"/>
      <c r="H60" s="2" t="str">
        <f t="shared" si="0"/>
        <v>_</v>
      </c>
      <c r="I60" s="2"/>
      <c r="J60" s="2"/>
      <c r="K60" s="2"/>
      <c r="L60" s="2" t="str">
        <f t="shared" si="1"/>
        <v>_</v>
      </c>
      <c r="M60" s="2"/>
      <c r="N60" s="2">
        <f>IF(ISBLANK(Table2[[#This Row],[ActualResult]]), 0, 1)</f>
        <v>0</v>
      </c>
      <c r="O60" s="2" t="str">
        <f>IF(ISBLANK(Table2[[#This Row],[ActualResult]]), "_", IF(Table2[[#This Row],[ActualWinner]]=Table2[[#This Row],[PredictedWinner]], "Y", "N"))</f>
        <v>_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2"/>
      <c r="S60" s="2" t="str">
        <f t="shared" si="2"/>
        <v>_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0</v>
      </c>
      <c r="AG60" s="2">
        <f>Table2[[#This Row],[ActualHomeScore]]-Table2[[#This Row],[PredictedHomeScore]]</f>
        <v>0</v>
      </c>
      <c r="AH60" s="2">
        <f t="shared" si="3"/>
        <v>0</v>
      </c>
      <c r="AI60" s="2">
        <f t="shared" si="4"/>
        <v>0</v>
      </c>
      <c r="AJ60" s="2"/>
      <c r="AK60" s="2"/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0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0-0-0</v>
      </c>
      <c r="AP60" s="2" t="str">
        <f>INDEX(Sheet5!$B$2:$AG$33, MATCH(Table2[[#This Row],[HomeTeam]],Sheet5!$A$2:$A$33, 0), MATCH(Table2[[#This Row],[AwayTeam]],Sheet5!$A$2:$A$33, 0))</f>
        <v>0-0-0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1</v>
      </c>
      <c r="AU60" s="2"/>
      <c r="AV60" s="2"/>
    </row>
    <row r="61" spans="1:58" x14ac:dyDescent="0.25">
      <c r="A61" s="3"/>
      <c r="B61" s="3">
        <v>45946</v>
      </c>
      <c r="C61" s="5">
        <v>2025020059</v>
      </c>
      <c r="D61" s="2" t="s">
        <v>16</v>
      </c>
      <c r="E61" s="2" t="s">
        <v>12</v>
      </c>
      <c r="F61" s="2"/>
      <c r="G61" s="2"/>
      <c r="H61" s="2" t="str">
        <f t="shared" si="0"/>
        <v>_</v>
      </c>
      <c r="I61" s="2"/>
      <c r="J61" s="2"/>
      <c r="K61" s="2"/>
      <c r="L61" s="2" t="str">
        <f t="shared" si="1"/>
        <v>_</v>
      </c>
      <c r="M61" s="2"/>
      <c r="N61" s="2">
        <f>IF(ISBLANK(Table2[[#This Row],[ActualResult]]), 0, 1)</f>
        <v>0</v>
      </c>
      <c r="O61" s="2" t="str">
        <f>IF(ISBLANK(Table2[[#This Row],[ActualResult]]), "_", IF(Table2[[#This Row],[ActualWinner]]=Table2[[#This Row],[PredictedWinner]], "Y", "N"))</f>
        <v>_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2"/>
      <c r="S61" s="2" t="str">
        <f t="shared" si="2"/>
        <v>_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1" s="2">
        <f>Table2[[#This Row],[ActualAwayScore]]-Table2[[#This Row],[PredictedAwayScore]]</f>
        <v>0</v>
      </c>
      <c r="AG61" s="2">
        <f>Table2[[#This Row],[ActualHomeScore]]-Table2[[#This Row],[PredictedHomeScore]]</f>
        <v>0</v>
      </c>
      <c r="AH61" s="2">
        <f t="shared" si="3"/>
        <v>0</v>
      </c>
      <c r="AI61" s="2">
        <f t="shared" si="4"/>
        <v>0</v>
      </c>
      <c r="AJ61" s="2"/>
      <c r="AK61" s="2"/>
      <c r="AL61" s="2">
        <f>IF(Table2[[#This Row],[GameIsOver]]=0,0,IF(Table2[[#This Row],[ActualWinner]]=Table2[[#This Row],[AwayTeam]], 1, 0))</f>
        <v>0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0-0-0</v>
      </c>
      <c r="AP61" s="2" t="str">
        <f>INDEX(Sheet5!$B$2:$AG$33, MATCH(Table2[[#This Row],[HomeTeam]],Sheet5!$A$2:$A$33, 0), MATCH(Table2[[#This Row],[AwayTeam]],Sheet5!$A$2:$A$33, 0))</f>
        <v>0-0-0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0</v>
      </c>
      <c r="AS61" s="2">
        <f>IF(ABS(Table2[[#This Row],[ActualAwayScore]]-Table2[[#This Row],[ActualHomeScore]])&gt;=5, 1, 0)</f>
        <v>0</v>
      </c>
      <c r="AT61" s="2">
        <f>IF(Table2[[#This Row],[ActualAwayScore]] + Table2[[#This Row],[ActualHomeScore]] &lt;= 3, 1, 0)</f>
        <v>1</v>
      </c>
      <c r="AU61" s="2"/>
      <c r="AV61" s="2"/>
    </row>
    <row r="62" spans="1:58" x14ac:dyDescent="0.25">
      <c r="A62" s="3"/>
      <c r="B62" s="3">
        <v>45946</v>
      </c>
      <c r="C62" s="5">
        <v>2025020060</v>
      </c>
      <c r="D62" s="2" t="s">
        <v>23</v>
      </c>
      <c r="E62" s="2" t="s">
        <v>14</v>
      </c>
      <c r="F62" s="2"/>
      <c r="G62" s="2"/>
      <c r="H62" s="2" t="str">
        <f t="shared" si="0"/>
        <v>_</v>
      </c>
      <c r="I62" s="2"/>
      <c r="J62" s="2"/>
      <c r="K62" s="2"/>
      <c r="L62" s="2" t="str">
        <f t="shared" si="1"/>
        <v>_</v>
      </c>
      <c r="M62" s="2"/>
      <c r="N62" s="2">
        <f>IF(ISBLANK(Table2[[#This Row],[ActualResult]]), 0, 1)</f>
        <v>0</v>
      </c>
      <c r="O62" s="2" t="str">
        <f>IF(ISBLANK(Table2[[#This Row],[ActualResult]]), "_", IF(Table2[[#This Row],[ActualWinner]]=Table2[[#This Row],[PredictedWinner]], "Y", "N"))</f>
        <v>_</v>
      </c>
      <c r="P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2"/>
      <c r="S62" s="2" t="str">
        <f t="shared" si="2"/>
        <v>_</v>
      </c>
      <c r="T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2">
        <f>IF(Table2[[#This Row],[InterConf]]=1,IF(Table2[[#This Row],[InterDiv]]=0, 1, 0), 0)</f>
        <v>1</v>
      </c>
      <c r="W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2"/>
      <c r="Y62" s="2"/>
      <c r="Z62" s="145">
        <f>IF(AND(Table2[[#This Row],[GameIsOver]]=1,Table2[[#This Row],[ActualHomeScore]]*Table2[[#This Row],[ActualAwayScore]]=0), 1,0)</f>
        <v>0</v>
      </c>
      <c r="AA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" s="2">
        <f>Table2[[#This Row],[ActualAwayScore]]-Table2[[#This Row],[PredictedAwayScore]]</f>
        <v>0</v>
      </c>
      <c r="AG62" s="2">
        <f>Table2[[#This Row],[ActualHomeScore]]-Table2[[#This Row],[PredictedHomeScore]]</f>
        <v>0</v>
      </c>
      <c r="AH62" s="2">
        <f t="shared" si="3"/>
        <v>0</v>
      </c>
      <c r="AI62" s="2">
        <f t="shared" si="4"/>
        <v>0</v>
      </c>
      <c r="AJ62" s="2"/>
      <c r="AK62" s="2"/>
      <c r="AL62" s="2">
        <f>IF(Table2[[#This Row],[GameIsOver]]=0,0,IF(Table2[[#This Row],[ActualWinner]]=Table2[[#This Row],[AwayTeam]], 1, 0))</f>
        <v>0</v>
      </c>
      <c r="AM62" s="2">
        <f>IF(Table2[[#This Row],[GameIsOver]]=0,0,IF(Table2[[#This Row],[ActualWinner]]=Table2[[#This Row],[HomeTeam]], 1, 0))</f>
        <v>0</v>
      </c>
      <c r="AN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2" s="2" t="str">
        <f>INDEX(Sheet5!$B$2:$AG$33, MATCH(Table2[[#This Row],[AwayTeam]],Sheet5!$A$2:$A$33, 0), MATCH(Table2[[#This Row],[HomeTeam]],Sheet5!$A$2:$A$33, 0))</f>
        <v>0-0-0</v>
      </c>
      <c r="AP62" s="2" t="str">
        <f>INDEX(Sheet5!$B$2:$AG$33, MATCH(Table2[[#This Row],[HomeTeam]],Sheet5!$A$2:$A$33, 0), MATCH(Table2[[#This Row],[AwayTeam]],Sheet5!$A$2:$A$33, 0))</f>
        <v>0-0-0</v>
      </c>
      <c r="AQ62" s="2">
        <f>IF(Table2[[#This Row],[GameHasShutOut]], 1, 0)</f>
        <v>0</v>
      </c>
      <c r="AR62" s="2">
        <f>IF(Table2[[#This Row],[ActualAwayScore]] + Table2[[#This Row],[ActualHomeScore]] &gt;= 10, 1, 0)</f>
        <v>0</v>
      </c>
      <c r="AS62" s="2">
        <f>IF(ABS(Table2[[#This Row],[ActualAwayScore]]-Table2[[#This Row],[ActualHomeScore]])&gt;=5, 1, 0)</f>
        <v>0</v>
      </c>
      <c r="AT62" s="2">
        <f>IF(Table2[[#This Row],[ActualAwayScore]] + Table2[[#This Row],[ActualHomeScore]] &lt;= 3, 1, 0)</f>
        <v>1</v>
      </c>
      <c r="AU62" s="2"/>
      <c r="AV62" s="2"/>
    </row>
    <row r="63" spans="1:58" x14ac:dyDescent="0.25">
      <c r="A63" s="3"/>
      <c r="B63" s="3">
        <v>45946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 t="shared" si="3"/>
        <v>0</v>
      </c>
      <c r="AI63" s="2">
        <f t="shared" si="4"/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>
        <v>45946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 t="shared" si="3"/>
        <v>0</v>
      </c>
      <c r="AI64" s="2">
        <f t="shared" si="4"/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>
        <v>45946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 t="shared" si="3"/>
        <v>0</v>
      </c>
      <c r="AI65" s="2">
        <f t="shared" si="4"/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>
        <v>45946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 t="shared" si="3"/>
        <v>0</v>
      </c>
      <c r="AI66" s="2">
        <f t="shared" si="4"/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>
        <v>45946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9">IF(AND(ISBLANK($F67),ISBLANK($G67)),"_",IF($F67&gt;$G67,$D67,$E67))</f>
        <v>_</v>
      </c>
      <c r="I67" s="2"/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 t="shared" ref="AH67:AH130" si="12">SUMIF($B$3:$B$1315, $B67, $AF$3:$AF$1315)</f>
        <v>0</v>
      </c>
      <c r="AI67" s="2">
        <f t="shared" ref="AI67:AI130" si="13"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>
        <v>45946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9"/>
        <v>_</v>
      </c>
      <c r="I68" s="2"/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0</v>
      </c>
      <c r="AI68" s="2">
        <f t="shared" si="13"/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>
        <v>45946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9"/>
        <v>_</v>
      </c>
      <c r="I69" s="2"/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 t="shared" si="12"/>
        <v>0</v>
      </c>
      <c r="AI69" s="2">
        <f t="shared" si="13"/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>
        <v>45947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9"/>
        <v>_</v>
      </c>
      <c r="I70" s="2"/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 t="shared" si="12"/>
        <v>0</v>
      </c>
      <c r="AI70" s="2">
        <f t="shared" si="13"/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>
        <v>45947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9"/>
        <v>_</v>
      </c>
      <c r="I71" s="2"/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 t="shared" si="12"/>
        <v>0</v>
      </c>
      <c r="AI71" s="2">
        <f t="shared" si="13"/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>
        <v>45947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9"/>
        <v>_</v>
      </c>
      <c r="I72" s="2"/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 t="shared" si="12"/>
        <v>0</v>
      </c>
      <c r="AI72" s="2">
        <f t="shared" si="13"/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>
        <v>45947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9"/>
        <v>_</v>
      </c>
      <c r="I73" s="2"/>
      <c r="J73" s="2"/>
      <c r="K73" s="2"/>
      <c r="L73" s="2" t="str">
        <f t="shared" si="10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11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145">
        <f>IF(AND(Table2[[#This Row],[GameIsOver]]=1,Table2[[#This Row],[ActualHomeScore]]*Table2[[#This Row],[ActualAwayScore]]=0), 1,0)</f>
        <v>0</v>
      </c>
      <c r="AA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 t="shared" si="12"/>
        <v>0</v>
      </c>
      <c r="AI73" s="2">
        <f t="shared" si="13"/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45">
        <f>IF(AND(Table2[[#This Row],[GameIsOver]]=1,Table2[[#This Row],[ActualHomeScore]]*Table2[[#This Row],[ActualAwayScore]]=0), 1,0)</f>
        <v>0</v>
      </c>
      <c r="AA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0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0-0-0</v>
      </c>
      <c r="AP89" s="2" t="str">
        <f>INDEX(Sheet5!$B$2:$AG$33, MATCH(Table2[[#This Row],[HomeTeam]],Sheet5!$A$2:$A$33, 0), MATCH(Table2[[#This Row],[AwayTeam]],Sheet5!$A$2:$A$33, 0))</f>
        <v>0-0-0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45">
        <f>IF(AND(Table2[[#This Row],[GameIsOver]]=1,Table2[[#This Row],[ActualHomeScore]]*Table2[[#This Row],[ActualAwayScore]]=0), 1,0)</f>
        <v>0</v>
      </c>
      <c r="AA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45">
        <f>IF(AND(Table2[[#This Row],[GameIsOver]]=1,Table2[[#This Row],[ActualHomeScore]]*Table2[[#This Row],[ActualAwayScore]]=0), 1,0)</f>
        <v>0</v>
      </c>
      <c r="AA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0-0-0</v>
      </c>
      <c r="AP166" s="2" t="str">
        <f>INDEX(Sheet5!$B$2:$AG$33, MATCH(Table2[[#This Row],[HomeTeam]],Sheet5!$A$2:$A$33, 0), MATCH(Table2[[#This Row],[AwayTeam]],Sheet5!$A$2:$A$33, 0))</f>
        <v>0-0-0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0-0-0</v>
      </c>
      <c r="AP177" s="2" t="str">
        <f>INDEX(Sheet5!$B$2:$AG$33, MATCH(Table2[[#This Row],[HomeTeam]],Sheet5!$A$2:$A$33, 0), MATCH(Table2[[#This Row],[AwayTeam]],Sheet5!$A$2:$A$33, 0))</f>
        <v>0-0-0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0-0-0</v>
      </c>
      <c r="AP238" s="2" t="str">
        <f>INDEX(Sheet5!$B$2:$AG$33, MATCH(Table2[[#This Row],[HomeTeam]],Sheet5!$A$2:$A$33, 0), MATCH(Table2[[#This Row],[AwayTeam]],Sheet5!$A$2:$A$33, 0))</f>
        <v>0-0-0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0-0-0</v>
      </c>
      <c r="AP343" s="2" t="str">
        <f>INDEX(Sheet5!$B$2:$AG$33, MATCH(Table2[[#This Row],[HomeTeam]],Sheet5!$A$2:$A$33, 0), MATCH(Table2[[#This Row],[AwayTeam]],Sheet5!$A$2:$A$33, 0))</f>
        <v>0-0-0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0-0-0</v>
      </c>
      <c r="AP450" s="2" t="str">
        <f>INDEX(Sheet5!$B$2:$AG$33, MATCH(Table2[[#This Row],[HomeTeam]],Sheet5!$A$2:$A$33, 0), MATCH(Table2[[#This Row],[AwayTeam]],Sheet5!$A$2:$A$33, 0))</f>
        <v>0-0-0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0-0-0</v>
      </c>
      <c r="AP457" s="2" t="str">
        <f>INDEX(Sheet5!$B$2:$AG$33, MATCH(Table2[[#This Row],[HomeTeam]],Sheet5!$A$2:$A$33, 0), MATCH(Table2[[#This Row],[AwayTeam]],Sheet5!$A$2:$A$33, 0))</f>
        <v>0-0-0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0-0-0</v>
      </c>
      <c r="AP472" s="2" t="str">
        <f>INDEX(Sheet5!$B$2:$AG$33, MATCH(Table2[[#This Row],[HomeTeam]],Sheet5!$A$2:$A$33, 0), MATCH(Table2[[#This Row],[AwayTeam]],Sheet5!$A$2:$A$33, 0))</f>
        <v>0-0-0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0-0-0</v>
      </c>
      <c r="AP490" s="2" t="str">
        <f>INDEX(Sheet5!$B$2:$AG$33, MATCH(Table2[[#This Row],[HomeTeam]],Sheet5!$A$2:$A$33, 0), MATCH(Table2[[#This Row],[AwayTeam]],Sheet5!$A$2:$A$33, 0))</f>
        <v>0-0-0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0-0-0</v>
      </c>
      <c r="AP495" s="2" t="str">
        <f>INDEX(Sheet5!$B$2:$AG$33, MATCH(Table2[[#This Row],[HomeTeam]],Sheet5!$A$2:$A$33, 0), MATCH(Table2[[#This Row],[AwayTeam]],Sheet5!$A$2:$A$33, 0))</f>
        <v>0-0-0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0-0-0</v>
      </c>
      <c r="AP560" s="2" t="str">
        <f>INDEX(Sheet5!$B$2:$AG$33, MATCH(Table2[[#This Row],[HomeTeam]],Sheet5!$A$2:$A$33, 0), MATCH(Table2[[#This Row],[AwayTeam]],Sheet5!$A$2:$A$33, 0))</f>
        <v>0-0-0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0-0-0</v>
      </c>
      <c r="AP561" s="2" t="str">
        <f>INDEX(Sheet5!$B$2:$AG$33, MATCH(Table2[[#This Row],[HomeTeam]],Sheet5!$A$2:$A$33, 0), MATCH(Table2[[#This Row],[AwayTeam]],Sheet5!$A$2:$A$33, 0))</f>
        <v>0-0-0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0-0-0</v>
      </c>
      <c r="AP580" s="2" t="str">
        <f>INDEX(Sheet5!$B$2:$AG$33, MATCH(Table2[[#This Row],[HomeTeam]],Sheet5!$A$2:$A$33, 0), MATCH(Table2[[#This Row],[AwayTeam]],Sheet5!$A$2:$A$33, 0))</f>
        <v>0-0-0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0-0-0</v>
      </c>
      <c r="AP681" s="2" t="str">
        <f>INDEX(Sheet5!$B$2:$AG$33, MATCH(Table2[[#This Row],[HomeTeam]],Sheet5!$A$2:$A$33, 0), MATCH(Table2[[#This Row],[AwayTeam]],Sheet5!$A$2:$A$33, 0))</f>
        <v>0-0-0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0-0-0</v>
      </c>
      <c r="AP985" s="2" t="str">
        <f>INDEX(Sheet5!$B$2:$AG$33, MATCH(Table2[[#This Row],[HomeTeam]],Sheet5!$A$2:$A$33, 0), MATCH(Table2[[#This Row],[AwayTeam]],Sheet5!$A$2:$A$33, 0))</f>
        <v>0-0-0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0-0-0</v>
      </c>
      <c r="AP1018" s="2" t="str">
        <f>INDEX(Sheet5!$B$2:$AG$33, MATCH(Table2[[#This Row],[HomeTeam]],Sheet5!$A$2:$A$33, 0), MATCH(Table2[[#This Row],[AwayTeam]],Sheet5!$A$2:$A$33, 0))</f>
        <v>0-0-0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0-0-0</v>
      </c>
      <c r="AP1103" s="2" t="str">
        <f>INDEX(Sheet5!$B$2:$AG$33, MATCH(Table2[[#This Row],[HomeTeam]],Sheet5!$A$2:$A$33, 0), MATCH(Table2[[#This Row],[AwayTeam]],Sheet5!$A$2:$A$33, 0))</f>
        <v>0-0-0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0-0-0</v>
      </c>
      <c r="AP1193" s="2" t="str">
        <f>INDEX(Sheet5!$B$2:$AG$33, MATCH(Table2[[#This Row],[HomeTeam]],Sheet5!$A$2:$A$33, 0), MATCH(Table2[[#This Row],[AwayTeam]],Sheet5!$A$2:$A$33, 0))</f>
        <v>0-0-0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0-0-0</v>
      </c>
      <c r="AP1203" s="2" t="str">
        <f>INDEX(Sheet5!$B$2:$AG$33, MATCH(Table2[[#This Row],[HomeTeam]],Sheet5!$A$2:$A$33, 0), MATCH(Table2[[#This Row],[AwayTeam]],Sheet5!$A$2:$A$33, 0))</f>
        <v>0-0-0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0-0-0</v>
      </c>
      <c r="AP1256" s="2" t="str">
        <f>INDEX(Sheet5!$B$2:$AG$33, MATCH(Table2[[#This Row],[HomeTeam]],Sheet5!$A$2:$A$33, 0), MATCH(Table2[[#This Row],[AwayTeam]],Sheet5!$A$2:$A$33, 0))</f>
        <v>0-0-0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0-0-0</v>
      </c>
      <c r="AP1268" s="2" t="str">
        <f>INDEX(Sheet5!$B$2:$AG$33, MATCH(Table2[[#This Row],[HomeTeam]],Sheet5!$A$2:$A$33, 0), MATCH(Table2[[#This Row],[AwayTeam]],Sheet5!$A$2:$A$33, 0))</f>
        <v>0-0-0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0-0-0</v>
      </c>
      <c r="AP1283" s="2" t="str">
        <f>INDEX(Sheet5!$B$2:$AG$33, MATCH(Table2[[#This Row],[HomeTeam]],Sheet5!$A$2:$A$33, 0), MATCH(Table2[[#This Row],[AwayTeam]],Sheet5!$A$2:$A$33, 0))</f>
        <v>0-0-0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0-0-0</v>
      </c>
      <c r="AP1305" s="2" t="str">
        <f>INDEX(Sheet5!$B$2:$AG$33, MATCH(Table2[[#This Row],[HomeTeam]],Sheet5!$A$2:$A$33, 0), MATCH(Table2[[#This Row],[AwayTeam]],Sheet5!$A$2:$A$33, 0))</f>
        <v>0-0-0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2" sqref="A12:XFD12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2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4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4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3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4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4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2</v>
      </c>
      <c r="AB13" s="145">
        <f>SUMIFS(Table2[NewPointsAway],Table2[GameDate], "&lt;=" &amp; $A13, Table2[AwayTeam], AB$1)+SUMIFS(Table2[NewPointsHome],Table2[GameDate], "&lt;=" &amp; $A13, Table2[HomeTeam], AB$1)</f>
        <v>2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4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4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2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0</v>
      </c>
      <c r="E14" s="145">
        <f>SUMIFS(Table2[NewPointsAway],Table2[GameDate], "&lt;=" &amp; $A14, Table2[AwayTeam], E$1)+SUMIFS(Table2[NewPointsHome],Table2[GameDate], "&lt;=" &amp; $A14, Table2[HomeTeam], E$1)</f>
        <v>4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3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4</v>
      </c>
      <c r="K14" s="145">
        <f>SUMIFS(Table2[NewPointsAway],Table2[GameDate], "&lt;=" &amp; $A14, Table2[AwayTeam], K$1)+SUMIFS(Table2[NewPointsHome],Table2[GameDate], "&lt;=" &amp; $A14, Table2[HomeTeam], K$1)</f>
        <v>4</v>
      </c>
      <c r="L14" s="145">
        <f>SUMIFS(Table2[NewPointsAway],Table2[GameDate], "&lt;=" &amp; $A14, Table2[AwayTeam], L$1)+SUMIFS(Table2[NewPointsHome],Table2[GameDate], "&lt;=" &amp; $A14, Table2[HomeTeam], L$1)</f>
        <v>3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4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4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2</v>
      </c>
      <c r="AB14" s="145">
        <f>SUMIFS(Table2[NewPointsAway],Table2[GameDate], "&lt;=" &amp; $A14, Table2[AwayTeam], AB$1)+SUMIFS(Table2[NewPointsHome],Table2[GameDate], "&lt;=" &amp; $A14, Table2[HomeTeam], AB$1)</f>
        <v>2</v>
      </c>
      <c r="AC14" s="145">
        <f>SUMIFS(Table2[NewPointsAway],Table2[GameDate], "&lt;=" &amp; $A14, Table2[AwayTeam], AC$1)+SUMIFS(Table2[NewPointsHome],Table2[GameDate], "&lt;=" &amp; $A14, Table2[HomeTeam], AC$1)</f>
        <v>2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4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4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2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0</v>
      </c>
      <c r="E15" s="145">
        <f>SUMIFS(Table2[NewPointsAway],Table2[GameDate], "&lt;=" &amp; $A15, Table2[AwayTeam], E$1)+SUMIFS(Table2[NewPointsHome],Table2[GameDate], "&lt;=" &amp; $A15, Table2[HomeTeam], E$1)</f>
        <v>4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3</v>
      </c>
      <c r="I15" s="145">
        <f>SUMIFS(Table2[NewPointsAway],Table2[GameDate], "&lt;=" &amp; $A15, Table2[AwayTeam], I$1)+SUMIFS(Table2[NewPointsHome],Table2[GameDate], "&lt;=" &amp; $A15, Table2[HomeTeam], I$1)</f>
        <v>7</v>
      </c>
      <c r="J15" s="145">
        <f>SUMIFS(Table2[NewPointsAway],Table2[GameDate], "&lt;=" &amp; $A15, Table2[AwayTeam], J$1)+SUMIFS(Table2[NewPointsHome],Table2[GameDate], "&lt;=" &amp; $A15, Table2[HomeTeam], J$1)</f>
        <v>4</v>
      </c>
      <c r="K15" s="145">
        <f>SUMIFS(Table2[NewPointsAway],Table2[GameDate], "&lt;=" &amp; $A15, Table2[AwayTeam], K$1)+SUMIFS(Table2[NewPointsHome],Table2[GameDate], "&lt;=" &amp; $A15, Table2[HomeTeam], K$1)</f>
        <v>4</v>
      </c>
      <c r="L15" s="145">
        <f>SUMIFS(Table2[NewPointsAway],Table2[GameDate], "&lt;=" &amp; $A15, Table2[AwayTeam], L$1)+SUMIFS(Table2[NewPointsHome],Table2[GameDate], "&lt;=" &amp; $A15, Table2[HomeTeam], L$1)</f>
        <v>3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4</v>
      </c>
      <c r="Q15" s="145">
        <f>SUMIFS(Table2[NewPointsAway],Table2[GameDate], "&lt;=" &amp; $A15, Table2[AwayTeam], Q$1)+SUMIFS(Table2[NewPointsHome],Table2[GameDate], "&lt;=" &amp; $A15, Table2[HomeTeam], Q$1)</f>
        <v>4</v>
      </c>
      <c r="R15" s="145">
        <f>SUMIFS(Table2[NewPointsAway],Table2[GameDate], "&lt;=" &amp; $A15, Table2[AwayTeam], R$1)+SUMIFS(Table2[NewPointsHome],Table2[GameDate], "&lt;=" &amp; $A15, Table2[HomeTeam], R$1)</f>
        <v>5</v>
      </c>
      <c r="S15" s="145">
        <f>SUMIFS(Table2[NewPointsAway],Table2[GameDate], "&lt;=" &amp; $A15, Table2[AwayTeam], S$1)+SUMIFS(Table2[NewPointsHome],Table2[GameDate], "&lt;=" &amp; $A15, Table2[HomeTeam], S$1)</f>
        <v>0</v>
      </c>
      <c r="T15" s="145">
        <f>SUMIFS(Table2[NewPointsAway],Table2[GameDate], "&lt;=" &amp; $A15, Table2[AwayTeam], T$1)+SUMIFS(Table2[NewPointsHome],Table2[GameDate], "&lt;=" &amp; $A15, Table2[HomeTeam], T$1)</f>
        <v>4</v>
      </c>
      <c r="U15" s="145">
        <f>SUMIFS(Table2[NewPointsAway],Table2[GameDate], "&lt;=" &amp; $A15, Table2[AwayTeam], U$1)+SUMIFS(Table2[NewPointsHome],Table2[GameDate], "&lt;=" &amp; $A15, Table2[HomeTeam], U$1)</f>
        <v>2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4</v>
      </c>
      <c r="X15" s="145">
        <f>SUMIFS(Table2[NewPointsAway],Table2[GameDate], "&lt;=" &amp; $A15, Table2[AwayTeam], X$1)+SUMIFS(Table2[NewPointsHome],Table2[GameDate], "&lt;=" &amp; $A15, Table2[HomeTeam], X$1)</f>
        <v>4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2</v>
      </c>
      <c r="AB15" s="145">
        <f>SUMIFS(Table2[NewPointsAway],Table2[GameDate], "&lt;=" &amp; $A15, Table2[AwayTeam], AB$1)+SUMIFS(Table2[NewPointsHome],Table2[GameDate], "&lt;=" &amp; $A15, Table2[HomeTeam], AB$1)</f>
        <v>2</v>
      </c>
      <c r="AC15" s="145">
        <f>SUMIFS(Table2[NewPointsAway],Table2[GameDate], "&lt;=" &amp; $A15, Table2[AwayTeam], AC$1)+SUMIFS(Table2[NewPointsHome],Table2[GameDate], "&lt;=" &amp; $A15, Table2[HomeTeam], AC$1)</f>
        <v>2</v>
      </c>
      <c r="AD15" s="145">
        <f>SUMIFS(Table2[NewPointsAway],Table2[GameDate], "&lt;=" &amp; $A15, Table2[AwayTeam], AD$1)+SUMIFS(Table2[NewPointsHome],Table2[GameDate], "&lt;=" &amp; $A15, Table2[HomeTeam], AD$1)</f>
        <v>2</v>
      </c>
      <c r="AE15" s="145">
        <f>SUMIFS(Table2[NewPointsAway],Table2[GameDate], "&lt;=" &amp; $A15, Table2[AwayTeam], AE$1)+SUMIFS(Table2[NewPointsHome],Table2[GameDate], "&lt;=" &amp; $A15, Table2[HomeTeam], AE$1)</f>
        <v>4</v>
      </c>
      <c r="AF15" s="145">
        <f>SUMIFS(Table2[NewPointsAway],Table2[GameDate], "&lt;=" &amp; $A15, Table2[AwayTeam], AF$1)+SUMIFS(Table2[NewPointsHome],Table2[GameDate], "&lt;=" &amp; $A15, Table2[HomeTeam], AF$1)</f>
        <v>4</v>
      </c>
      <c r="AG15" s="145">
        <f>SUMIFS(Table2[NewPointsAway],Table2[GameDate], "&lt;=" &amp; $A15, Table2[AwayTeam], AG$1)+SUMIFS(Table2[NewPointsHome],Table2[GameDate], "&lt;=" &amp; $A15, Table2[HomeTeam], AG$1)</f>
        <v>4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2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0</v>
      </c>
      <c r="E16" s="145">
        <f>SUMIFS(Table2[NewPointsAway],Table2[GameDate], "&lt;=" &amp; $A16, Table2[AwayTeam], E$1)+SUMIFS(Table2[NewPointsHome],Table2[GameDate], "&lt;=" &amp; $A16, Table2[HomeTeam], E$1)</f>
        <v>4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3</v>
      </c>
      <c r="I16" s="145">
        <f>SUMIFS(Table2[NewPointsAway],Table2[GameDate], "&lt;=" &amp; $A16, Table2[AwayTeam], I$1)+SUMIFS(Table2[NewPointsHome],Table2[GameDate], "&lt;=" &amp; $A16, Table2[HomeTeam], I$1)</f>
        <v>7</v>
      </c>
      <c r="J16" s="145">
        <f>SUMIFS(Table2[NewPointsAway],Table2[GameDate], "&lt;=" &amp; $A16, Table2[AwayTeam], J$1)+SUMIFS(Table2[NewPointsHome],Table2[GameDate], "&lt;=" &amp; $A16, Table2[HomeTeam], J$1)</f>
        <v>4</v>
      </c>
      <c r="K16" s="145">
        <f>SUMIFS(Table2[NewPointsAway],Table2[GameDate], "&lt;=" &amp; $A16, Table2[AwayTeam], K$1)+SUMIFS(Table2[NewPointsHome],Table2[GameDate], "&lt;=" &amp; $A16, Table2[HomeTeam], K$1)</f>
        <v>4</v>
      </c>
      <c r="L16" s="145">
        <f>SUMIFS(Table2[NewPointsAway],Table2[GameDate], "&lt;=" &amp; $A16, Table2[AwayTeam], L$1)+SUMIFS(Table2[NewPointsHome],Table2[GameDate], "&lt;=" &amp; $A16, Table2[HomeTeam], L$1)</f>
        <v>3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4</v>
      </c>
      <c r="Q16" s="145">
        <f>SUMIFS(Table2[NewPointsAway],Table2[GameDate], "&lt;=" &amp; $A16, Table2[AwayTeam], Q$1)+SUMIFS(Table2[NewPointsHome],Table2[GameDate], "&lt;=" &amp; $A16, Table2[HomeTeam], Q$1)</f>
        <v>4</v>
      </c>
      <c r="R16" s="145">
        <f>SUMIFS(Table2[NewPointsAway],Table2[GameDate], "&lt;=" &amp; $A16, Table2[AwayTeam], R$1)+SUMIFS(Table2[NewPointsHome],Table2[GameDate], "&lt;=" &amp; $A16, Table2[HomeTeam], R$1)</f>
        <v>5</v>
      </c>
      <c r="S16" s="145">
        <f>SUMIFS(Table2[NewPointsAway],Table2[GameDate], "&lt;=" &amp; $A16, Table2[AwayTeam], S$1)+SUMIFS(Table2[NewPointsHome],Table2[GameDate], "&lt;=" &amp; $A16, Table2[HomeTeam], S$1)</f>
        <v>0</v>
      </c>
      <c r="T16" s="145">
        <f>SUMIFS(Table2[NewPointsAway],Table2[GameDate], "&lt;=" &amp; $A16, Table2[AwayTeam], T$1)+SUMIFS(Table2[NewPointsHome],Table2[GameDate], "&lt;=" &amp; $A16, Table2[HomeTeam], T$1)</f>
        <v>4</v>
      </c>
      <c r="U16" s="145">
        <f>SUMIFS(Table2[NewPointsAway],Table2[GameDate], "&lt;=" &amp; $A16, Table2[AwayTeam], U$1)+SUMIFS(Table2[NewPointsHome],Table2[GameDate], "&lt;=" &amp; $A16, Table2[HomeTeam], U$1)</f>
        <v>2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4</v>
      </c>
      <c r="X16" s="145">
        <f>SUMIFS(Table2[NewPointsAway],Table2[GameDate], "&lt;=" &amp; $A16, Table2[AwayTeam], X$1)+SUMIFS(Table2[NewPointsHome],Table2[GameDate], "&lt;=" &amp; $A16, Table2[HomeTeam], X$1)</f>
        <v>4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2</v>
      </c>
      <c r="AB16" s="145">
        <f>SUMIFS(Table2[NewPointsAway],Table2[GameDate], "&lt;=" &amp; $A16, Table2[AwayTeam], AB$1)+SUMIFS(Table2[NewPointsHome],Table2[GameDate], "&lt;=" &amp; $A16, Table2[HomeTeam], AB$1)</f>
        <v>2</v>
      </c>
      <c r="AC16" s="145">
        <f>SUMIFS(Table2[NewPointsAway],Table2[GameDate], "&lt;=" &amp; $A16, Table2[AwayTeam], AC$1)+SUMIFS(Table2[NewPointsHome],Table2[GameDate], "&lt;=" &amp; $A16, Table2[HomeTeam], AC$1)</f>
        <v>2</v>
      </c>
      <c r="AD16" s="145">
        <f>SUMIFS(Table2[NewPointsAway],Table2[GameDate], "&lt;=" &amp; $A16, Table2[AwayTeam], AD$1)+SUMIFS(Table2[NewPointsHome],Table2[GameDate], "&lt;=" &amp; $A16, Table2[HomeTeam], AD$1)</f>
        <v>2</v>
      </c>
      <c r="AE16" s="145">
        <f>SUMIFS(Table2[NewPointsAway],Table2[GameDate], "&lt;=" &amp; $A16, Table2[AwayTeam], AE$1)+SUMIFS(Table2[NewPointsHome],Table2[GameDate], "&lt;=" &amp; $A16, Table2[HomeTeam], AE$1)</f>
        <v>4</v>
      </c>
      <c r="AF16" s="145">
        <f>SUMIFS(Table2[NewPointsAway],Table2[GameDate], "&lt;=" &amp; $A16, Table2[AwayTeam], AF$1)+SUMIFS(Table2[NewPointsHome],Table2[GameDate], "&lt;=" &amp; $A16, Table2[HomeTeam], AF$1)</f>
        <v>4</v>
      </c>
      <c r="AG16" s="145">
        <f>SUMIFS(Table2[NewPointsAway],Table2[GameDate], "&lt;=" &amp; $A16, Table2[AwayTeam], AG$1)+SUMIFS(Table2[NewPointsHome],Table2[GameDate], "&lt;=" &amp; $A16, Table2[HomeTeam], AG$1)</f>
        <v>4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2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0</v>
      </c>
      <c r="E17" s="145">
        <f>SUMIFS(Table2[NewPointsAway],Table2[GameDate], "&lt;=" &amp; $A17, Table2[AwayTeam], E$1)+SUMIFS(Table2[NewPointsHome],Table2[GameDate], "&lt;=" &amp; $A17, Table2[HomeTeam], E$1)</f>
        <v>4</v>
      </c>
      <c r="F17" s="145">
        <f>SUMIFS(Table2[NewPointsAway],Table2[GameDate], "&lt;=" &amp; $A17, Table2[AwayTeam], F$1)+SUMIFS(Table2[NewPointsHome],Table2[GameDate], "&lt;=" &amp; $A17, Table2[HomeTeam], F$1)</f>
        <v>2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3</v>
      </c>
      <c r="I17" s="145">
        <f>SUMIFS(Table2[NewPointsAway],Table2[GameDate], "&lt;=" &amp; $A17, Table2[AwayTeam], I$1)+SUMIFS(Table2[NewPointsHome],Table2[GameDate], "&lt;=" &amp; $A17, Table2[HomeTeam], I$1)</f>
        <v>7</v>
      </c>
      <c r="J17" s="145">
        <f>SUMIFS(Table2[NewPointsAway],Table2[GameDate], "&lt;=" &amp; $A17, Table2[AwayTeam], J$1)+SUMIFS(Table2[NewPointsHome],Table2[GameDate], "&lt;=" &amp; $A17, Table2[HomeTeam], J$1)</f>
        <v>4</v>
      </c>
      <c r="K17" s="145">
        <f>SUMIFS(Table2[NewPointsAway],Table2[GameDate], "&lt;=" &amp; $A17, Table2[AwayTeam], K$1)+SUMIFS(Table2[NewPointsHome],Table2[GameDate], "&lt;=" &amp; $A17, Table2[HomeTeam], K$1)</f>
        <v>4</v>
      </c>
      <c r="L17" s="145">
        <f>SUMIFS(Table2[NewPointsAway],Table2[GameDate], "&lt;=" &amp; $A17, Table2[AwayTeam], L$1)+SUMIFS(Table2[NewPointsHome],Table2[GameDate], "&lt;=" &amp; $A17, Table2[HomeTeam], L$1)</f>
        <v>3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3</v>
      </c>
      <c r="O17" s="145">
        <f>SUMIFS(Table2[NewPointsAway],Table2[GameDate], "&lt;=" &amp; $A17, Table2[AwayTeam], O$1)+SUMIFS(Table2[NewPointsHome],Table2[GameDate], "&lt;=" &amp; $A17, Table2[HomeTeam], O$1)</f>
        <v>4</v>
      </c>
      <c r="P17" s="145">
        <f>SUMIFS(Table2[NewPointsAway],Table2[GameDate], "&lt;=" &amp; $A17, Table2[AwayTeam], P$1)+SUMIFS(Table2[NewPointsHome],Table2[GameDate], "&lt;=" &amp; $A17, Table2[HomeTeam], P$1)</f>
        <v>4</v>
      </c>
      <c r="Q17" s="145">
        <f>SUMIFS(Table2[NewPointsAway],Table2[GameDate], "&lt;=" &amp; $A17, Table2[AwayTeam], Q$1)+SUMIFS(Table2[NewPointsHome],Table2[GameDate], "&lt;=" &amp; $A17, Table2[HomeTeam], Q$1)</f>
        <v>4</v>
      </c>
      <c r="R17" s="145">
        <f>SUMIFS(Table2[NewPointsAway],Table2[GameDate], "&lt;=" &amp; $A17, Table2[AwayTeam], R$1)+SUMIFS(Table2[NewPointsHome],Table2[GameDate], "&lt;=" &amp; $A17, Table2[HomeTeam], R$1)</f>
        <v>5</v>
      </c>
      <c r="S17" s="145">
        <f>SUMIFS(Table2[NewPointsAway],Table2[GameDate], "&lt;=" &amp; $A17, Table2[AwayTeam], S$1)+SUMIFS(Table2[NewPointsHome],Table2[GameDate], "&lt;=" &amp; $A17, Table2[HomeTeam], S$1)</f>
        <v>0</v>
      </c>
      <c r="T17" s="145">
        <f>SUMIFS(Table2[NewPointsAway],Table2[GameDate], "&lt;=" &amp; $A17, Table2[AwayTeam], T$1)+SUMIFS(Table2[NewPointsHome],Table2[GameDate], "&lt;=" &amp; $A17, Table2[HomeTeam], T$1)</f>
        <v>4</v>
      </c>
      <c r="U17" s="145">
        <f>SUMIFS(Table2[NewPointsAway],Table2[GameDate], "&lt;=" &amp; $A17, Table2[AwayTeam], U$1)+SUMIFS(Table2[NewPointsHome],Table2[GameDate], "&lt;=" &amp; $A17, Table2[HomeTeam], U$1)</f>
        <v>2</v>
      </c>
      <c r="V17" s="145">
        <f>SUMIFS(Table2[NewPointsAway],Table2[GameDate], "&lt;=" &amp; $A17, Table2[AwayTeam], V$1)+SUMIFS(Table2[NewPointsHome],Table2[GameDate], "&lt;=" &amp; $A17, Table2[HomeTeam], V$1)</f>
        <v>3</v>
      </c>
      <c r="W17" s="145">
        <f>SUMIFS(Table2[NewPointsAway],Table2[GameDate], "&lt;=" &amp; $A17, Table2[AwayTeam], W$1)+SUMIFS(Table2[NewPointsHome],Table2[GameDate], "&lt;=" &amp; $A17, Table2[HomeTeam], W$1)</f>
        <v>4</v>
      </c>
      <c r="X17" s="145">
        <f>SUMIFS(Table2[NewPointsAway],Table2[GameDate], "&lt;=" &amp; $A17, Table2[AwayTeam], X$1)+SUMIFS(Table2[NewPointsHome],Table2[GameDate], "&lt;=" &amp; $A17, Table2[HomeTeam], X$1)</f>
        <v>4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4</v>
      </c>
      <c r="AA17" s="145">
        <f>SUMIFS(Table2[NewPointsAway],Table2[GameDate], "&lt;=" &amp; $A17, Table2[AwayTeam], AA$1)+SUMIFS(Table2[NewPointsHome],Table2[GameDate], "&lt;=" &amp; $A17, Table2[HomeTeam], AA$1)</f>
        <v>2</v>
      </c>
      <c r="AB17" s="145">
        <f>SUMIFS(Table2[NewPointsAway],Table2[GameDate], "&lt;=" &amp; $A17, Table2[AwayTeam], AB$1)+SUMIFS(Table2[NewPointsHome],Table2[GameDate], "&lt;=" &amp; $A17, Table2[HomeTeam], AB$1)</f>
        <v>2</v>
      </c>
      <c r="AC17" s="145">
        <f>SUMIFS(Table2[NewPointsAway],Table2[GameDate], "&lt;=" &amp; $A17, Table2[AwayTeam], AC$1)+SUMIFS(Table2[NewPointsHome],Table2[GameDate], "&lt;=" &amp; $A17, Table2[HomeTeam], AC$1)</f>
        <v>2</v>
      </c>
      <c r="AD17" s="145">
        <f>SUMIFS(Table2[NewPointsAway],Table2[GameDate], "&lt;=" &amp; $A17, Table2[AwayTeam], AD$1)+SUMIFS(Table2[NewPointsHome],Table2[GameDate], "&lt;=" &amp; $A17, Table2[HomeTeam], AD$1)</f>
        <v>2</v>
      </c>
      <c r="AE17" s="145">
        <f>SUMIFS(Table2[NewPointsAway],Table2[GameDate], "&lt;=" &amp; $A17, Table2[AwayTeam], AE$1)+SUMIFS(Table2[NewPointsHome],Table2[GameDate], "&lt;=" &amp; $A17, Table2[HomeTeam], AE$1)</f>
        <v>4</v>
      </c>
      <c r="AF17" s="145">
        <f>SUMIFS(Table2[NewPointsAway],Table2[GameDate], "&lt;=" &amp; $A17, Table2[AwayTeam], AF$1)+SUMIFS(Table2[NewPointsHome],Table2[GameDate], "&lt;=" &amp; $A17, Table2[HomeTeam], AF$1)</f>
        <v>4</v>
      </c>
      <c r="AG17" s="145">
        <f>SUMIFS(Table2[NewPointsAway],Table2[GameDate], "&lt;=" &amp; $A17, Table2[AwayTeam], AG$1)+SUMIFS(Table2[NewPointsHome],Table2[GameDate], "&lt;=" &amp; $A17, Table2[HomeTeam], AG$1)</f>
        <v>4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2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0</v>
      </c>
      <c r="E18" s="145">
        <f>SUMIFS(Table2[NewPointsAway],Table2[GameDate], "&lt;=" &amp; $A18, Table2[AwayTeam], E$1)+SUMIFS(Table2[NewPointsHome],Table2[GameDate], "&lt;=" &amp; $A18, Table2[HomeTeam], E$1)</f>
        <v>4</v>
      </c>
      <c r="F18" s="145">
        <f>SUMIFS(Table2[NewPointsAway],Table2[GameDate], "&lt;=" &amp; $A18, Table2[AwayTeam], F$1)+SUMIFS(Table2[NewPointsHome],Table2[GameDate], "&lt;=" &amp; $A18, Table2[HomeTeam], F$1)</f>
        <v>2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3</v>
      </c>
      <c r="I18" s="145">
        <f>SUMIFS(Table2[NewPointsAway],Table2[GameDate], "&lt;=" &amp; $A18, Table2[AwayTeam], I$1)+SUMIFS(Table2[NewPointsHome],Table2[GameDate], "&lt;=" &amp; $A18, Table2[HomeTeam], I$1)</f>
        <v>7</v>
      </c>
      <c r="J18" s="145">
        <f>SUMIFS(Table2[NewPointsAway],Table2[GameDate], "&lt;=" &amp; $A18, Table2[AwayTeam], J$1)+SUMIFS(Table2[NewPointsHome],Table2[GameDate], "&lt;=" &amp; $A18, Table2[HomeTeam], J$1)</f>
        <v>4</v>
      </c>
      <c r="K18" s="145">
        <f>SUMIFS(Table2[NewPointsAway],Table2[GameDate], "&lt;=" &amp; $A18, Table2[AwayTeam], K$1)+SUMIFS(Table2[NewPointsHome],Table2[GameDate], "&lt;=" &amp; $A18, Table2[HomeTeam], K$1)</f>
        <v>4</v>
      </c>
      <c r="L18" s="145">
        <f>SUMIFS(Table2[NewPointsAway],Table2[GameDate], "&lt;=" &amp; $A18, Table2[AwayTeam], L$1)+SUMIFS(Table2[NewPointsHome],Table2[GameDate], "&lt;=" &amp; $A18, Table2[HomeTeam], L$1)</f>
        <v>3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3</v>
      </c>
      <c r="O18" s="145">
        <f>SUMIFS(Table2[NewPointsAway],Table2[GameDate], "&lt;=" &amp; $A18, Table2[AwayTeam], O$1)+SUMIFS(Table2[NewPointsHome],Table2[GameDate], "&lt;=" &amp; $A18, Table2[HomeTeam], O$1)</f>
        <v>4</v>
      </c>
      <c r="P18" s="145">
        <f>SUMIFS(Table2[NewPointsAway],Table2[GameDate], "&lt;=" &amp; $A18, Table2[AwayTeam], P$1)+SUMIFS(Table2[NewPointsHome],Table2[GameDate], "&lt;=" &amp; $A18, Table2[HomeTeam], P$1)</f>
        <v>4</v>
      </c>
      <c r="Q18" s="145">
        <f>SUMIFS(Table2[NewPointsAway],Table2[GameDate], "&lt;=" &amp; $A18, Table2[AwayTeam], Q$1)+SUMIFS(Table2[NewPointsHome],Table2[GameDate], "&lt;=" &amp; $A18, Table2[HomeTeam], Q$1)</f>
        <v>4</v>
      </c>
      <c r="R18" s="145">
        <f>SUMIFS(Table2[NewPointsAway],Table2[GameDate], "&lt;=" &amp; $A18, Table2[AwayTeam], R$1)+SUMIFS(Table2[NewPointsHome],Table2[GameDate], "&lt;=" &amp; $A18, Table2[HomeTeam], R$1)</f>
        <v>5</v>
      </c>
      <c r="S18" s="145">
        <f>SUMIFS(Table2[NewPointsAway],Table2[GameDate], "&lt;=" &amp; $A18, Table2[AwayTeam], S$1)+SUMIFS(Table2[NewPointsHome],Table2[GameDate], "&lt;=" &amp; $A18, Table2[HomeTeam], S$1)</f>
        <v>0</v>
      </c>
      <c r="T18" s="145">
        <f>SUMIFS(Table2[NewPointsAway],Table2[GameDate], "&lt;=" &amp; $A18, Table2[AwayTeam], T$1)+SUMIFS(Table2[NewPointsHome],Table2[GameDate], "&lt;=" &amp; $A18, Table2[HomeTeam], T$1)</f>
        <v>4</v>
      </c>
      <c r="U18" s="145">
        <f>SUMIFS(Table2[NewPointsAway],Table2[GameDate], "&lt;=" &amp; $A18, Table2[AwayTeam], U$1)+SUMIFS(Table2[NewPointsHome],Table2[GameDate], "&lt;=" &amp; $A18, Table2[HomeTeam], U$1)</f>
        <v>2</v>
      </c>
      <c r="V18" s="145">
        <f>SUMIFS(Table2[NewPointsAway],Table2[GameDate], "&lt;=" &amp; $A18, Table2[AwayTeam], V$1)+SUMIFS(Table2[NewPointsHome],Table2[GameDate], "&lt;=" &amp; $A18, Table2[HomeTeam], V$1)</f>
        <v>3</v>
      </c>
      <c r="W18" s="145">
        <f>SUMIFS(Table2[NewPointsAway],Table2[GameDate], "&lt;=" &amp; $A18, Table2[AwayTeam], W$1)+SUMIFS(Table2[NewPointsHome],Table2[GameDate], "&lt;=" &amp; $A18, Table2[HomeTeam], W$1)</f>
        <v>4</v>
      </c>
      <c r="X18" s="145">
        <f>SUMIFS(Table2[NewPointsAway],Table2[GameDate], "&lt;=" &amp; $A18, Table2[AwayTeam], X$1)+SUMIFS(Table2[NewPointsHome],Table2[GameDate], "&lt;=" &amp; $A18, Table2[HomeTeam], X$1)</f>
        <v>4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4</v>
      </c>
      <c r="AA18" s="145">
        <f>SUMIFS(Table2[NewPointsAway],Table2[GameDate], "&lt;=" &amp; $A18, Table2[AwayTeam], AA$1)+SUMIFS(Table2[NewPointsHome],Table2[GameDate], "&lt;=" &amp; $A18, Table2[HomeTeam], AA$1)</f>
        <v>2</v>
      </c>
      <c r="AB18" s="145">
        <f>SUMIFS(Table2[NewPointsAway],Table2[GameDate], "&lt;=" &amp; $A18, Table2[AwayTeam], AB$1)+SUMIFS(Table2[NewPointsHome],Table2[GameDate], "&lt;=" &amp; $A18, Table2[HomeTeam], AB$1)</f>
        <v>2</v>
      </c>
      <c r="AC18" s="145">
        <f>SUMIFS(Table2[NewPointsAway],Table2[GameDate], "&lt;=" &amp; $A18, Table2[AwayTeam], AC$1)+SUMIFS(Table2[NewPointsHome],Table2[GameDate], "&lt;=" &amp; $A18, Table2[HomeTeam], AC$1)</f>
        <v>2</v>
      </c>
      <c r="AD18" s="145">
        <f>SUMIFS(Table2[NewPointsAway],Table2[GameDate], "&lt;=" &amp; $A18, Table2[AwayTeam], AD$1)+SUMIFS(Table2[NewPointsHome],Table2[GameDate], "&lt;=" &amp; $A18, Table2[HomeTeam], AD$1)</f>
        <v>2</v>
      </c>
      <c r="AE18" s="145">
        <f>SUMIFS(Table2[NewPointsAway],Table2[GameDate], "&lt;=" &amp; $A18, Table2[AwayTeam], AE$1)+SUMIFS(Table2[NewPointsHome],Table2[GameDate], "&lt;=" &amp; $A18, Table2[HomeTeam], AE$1)</f>
        <v>4</v>
      </c>
      <c r="AF18" s="145">
        <f>SUMIFS(Table2[NewPointsAway],Table2[GameDate], "&lt;=" &amp; $A18, Table2[AwayTeam], AF$1)+SUMIFS(Table2[NewPointsHome],Table2[GameDate], "&lt;=" &amp; $A18, Table2[HomeTeam], AF$1)</f>
        <v>4</v>
      </c>
      <c r="AG18" s="145">
        <f>SUMIFS(Table2[NewPointsAway],Table2[GameDate], "&lt;=" &amp; $A18, Table2[AwayTeam], AG$1)+SUMIFS(Table2[NewPointsHome],Table2[GameDate], "&lt;=" &amp; $A18, Table2[HomeTeam], AG$1)</f>
        <v>4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2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0</v>
      </c>
      <c r="E19" s="145">
        <f>SUMIFS(Table2[NewPointsAway],Table2[GameDate], "&lt;=" &amp; $A19, Table2[AwayTeam], E$1)+SUMIFS(Table2[NewPointsHome],Table2[GameDate], "&lt;=" &amp; $A19, Table2[HomeTeam], E$1)</f>
        <v>4</v>
      </c>
      <c r="F19" s="145">
        <f>SUMIFS(Table2[NewPointsAway],Table2[GameDate], "&lt;=" &amp; $A19, Table2[AwayTeam], F$1)+SUMIFS(Table2[NewPointsHome],Table2[GameDate], "&lt;=" &amp; $A19, Table2[HomeTeam], F$1)</f>
        <v>2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3</v>
      </c>
      <c r="I19" s="145">
        <f>SUMIFS(Table2[NewPointsAway],Table2[GameDate], "&lt;=" &amp; $A19, Table2[AwayTeam], I$1)+SUMIFS(Table2[NewPointsHome],Table2[GameDate], "&lt;=" &amp; $A19, Table2[HomeTeam], I$1)</f>
        <v>7</v>
      </c>
      <c r="J19" s="145">
        <f>SUMIFS(Table2[NewPointsAway],Table2[GameDate], "&lt;=" &amp; $A19, Table2[AwayTeam], J$1)+SUMIFS(Table2[NewPointsHome],Table2[GameDate], "&lt;=" &amp; $A19, Table2[HomeTeam], J$1)</f>
        <v>4</v>
      </c>
      <c r="K19" s="145">
        <f>SUMIFS(Table2[NewPointsAway],Table2[GameDate], "&lt;=" &amp; $A19, Table2[AwayTeam], K$1)+SUMIFS(Table2[NewPointsHome],Table2[GameDate], "&lt;=" &amp; $A19, Table2[HomeTeam], K$1)</f>
        <v>4</v>
      </c>
      <c r="L19" s="145">
        <f>SUMIFS(Table2[NewPointsAway],Table2[GameDate], "&lt;=" &amp; $A19, Table2[AwayTeam], L$1)+SUMIFS(Table2[NewPointsHome],Table2[GameDate], "&lt;=" &amp; $A19, Table2[HomeTeam], L$1)</f>
        <v>3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3</v>
      </c>
      <c r="O19" s="145">
        <f>SUMIFS(Table2[NewPointsAway],Table2[GameDate], "&lt;=" &amp; $A19, Table2[AwayTeam], O$1)+SUMIFS(Table2[NewPointsHome],Table2[GameDate], "&lt;=" &amp; $A19, Table2[HomeTeam], O$1)</f>
        <v>4</v>
      </c>
      <c r="P19" s="145">
        <f>SUMIFS(Table2[NewPointsAway],Table2[GameDate], "&lt;=" &amp; $A19, Table2[AwayTeam], P$1)+SUMIFS(Table2[NewPointsHome],Table2[GameDate], "&lt;=" &amp; $A19, Table2[HomeTeam], P$1)</f>
        <v>4</v>
      </c>
      <c r="Q19" s="145">
        <f>SUMIFS(Table2[NewPointsAway],Table2[GameDate], "&lt;=" &amp; $A19, Table2[AwayTeam], Q$1)+SUMIFS(Table2[NewPointsHome],Table2[GameDate], "&lt;=" &amp; $A19, Table2[HomeTeam], Q$1)</f>
        <v>4</v>
      </c>
      <c r="R19" s="145">
        <f>SUMIFS(Table2[NewPointsAway],Table2[GameDate], "&lt;=" &amp; $A19, Table2[AwayTeam], R$1)+SUMIFS(Table2[NewPointsHome],Table2[GameDate], "&lt;=" &amp; $A19, Table2[HomeTeam], R$1)</f>
        <v>5</v>
      </c>
      <c r="S19" s="145">
        <f>SUMIFS(Table2[NewPointsAway],Table2[GameDate], "&lt;=" &amp; $A19, Table2[AwayTeam], S$1)+SUMIFS(Table2[NewPointsHome],Table2[GameDate], "&lt;=" &amp; $A19, Table2[HomeTeam], S$1)</f>
        <v>0</v>
      </c>
      <c r="T19" s="145">
        <f>SUMIFS(Table2[NewPointsAway],Table2[GameDate], "&lt;=" &amp; $A19, Table2[AwayTeam], T$1)+SUMIFS(Table2[NewPointsHome],Table2[GameDate], "&lt;=" &amp; $A19, Table2[HomeTeam], T$1)</f>
        <v>4</v>
      </c>
      <c r="U19" s="145">
        <f>SUMIFS(Table2[NewPointsAway],Table2[GameDate], "&lt;=" &amp; $A19, Table2[AwayTeam], U$1)+SUMIFS(Table2[NewPointsHome],Table2[GameDate], "&lt;=" &amp; $A19, Table2[HomeTeam], U$1)</f>
        <v>2</v>
      </c>
      <c r="V19" s="145">
        <f>SUMIFS(Table2[NewPointsAway],Table2[GameDate], "&lt;=" &amp; $A19, Table2[AwayTeam], V$1)+SUMIFS(Table2[NewPointsHome],Table2[GameDate], "&lt;=" &amp; $A19, Table2[HomeTeam], V$1)</f>
        <v>3</v>
      </c>
      <c r="W19" s="145">
        <f>SUMIFS(Table2[NewPointsAway],Table2[GameDate], "&lt;=" &amp; $A19, Table2[AwayTeam], W$1)+SUMIFS(Table2[NewPointsHome],Table2[GameDate], "&lt;=" &amp; $A19, Table2[HomeTeam], W$1)</f>
        <v>4</v>
      </c>
      <c r="X19" s="145">
        <f>SUMIFS(Table2[NewPointsAway],Table2[GameDate], "&lt;=" &amp; $A19, Table2[AwayTeam], X$1)+SUMIFS(Table2[NewPointsHome],Table2[GameDate], "&lt;=" &amp; $A19, Table2[HomeTeam], X$1)</f>
        <v>4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4</v>
      </c>
      <c r="AA19" s="145">
        <f>SUMIFS(Table2[NewPointsAway],Table2[GameDate], "&lt;=" &amp; $A19, Table2[AwayTeam], AA$1)+SUMIFS(Table2[NewPointsHome],Table2[GameDate], "&lt;=" &amp; $A19, Table2[HomeTeam], AA$1)</f>
        <v>2</v>
      </c>
      <c r="AB19" s="145">
        <f>SUMIFS(Table2[NewPointsAway],Table2[GameDate], "&lt;=" &amp; $A19, Table2[AwayTeam], AB$1)+SUMIFS(Table2[NewPointsHome],Table2[GameDate], "&lt;=" &amp; $A19, Table2[HomeTeam], AB$1)</f>
        <v>2</v>
      </c>
      <c r="AC19" s="145">
        <f>SUMIFS(Table2[NewPointsAway],Table2[GameDate], "&lt;=" &amp; $A19, Table2[AwayTeam], AC$1)+SUMIFS(Table2[NewPointsHome],Table2[GameDate], "&lt;=" &amp; $A19, Table2[HomeTeam], AC$1)</f>
        <v>2</v>
      </c>
      <c r="AD19" s="145">
        <f>SUMIFS(Table2[NewPointsAway],Table2[GameDate], "&lt;=" &amp; $A19, Table2[AwayTeam], AD$1)+SUMIFS(Table2[NewPointsHome],Table2[GameDate], "&lt;=" &amp; $A19, Table2[HomeTeam], AD$1)</f>
        <v>2</v>
      </c>
      <c r="AE19" s="145">
        <f>SUMIFS(Table2[NewPointsAway],Table2[GameDate], "&lt;=" &amp; $A19, Table2[AwayTeam], AE$1)+SUMIFS(Table2[NewPointsHome],Table2[GameDate], "&lt;=" &amp; $A19, Table2[HomeTeam], AE$1)</f>
        <v>4</v>
      </c>
      <c r="AF19" s="145">
        <f>SUMIFS(Table2[NewPointsAway],Table2[GameDate], "&lt;=" &amp; $A19, Table2[AwayTeam], AF$1)+SUMIFS(Table2[NewPointsHome],Table2[GameDate], "&lt;=" &amp; $A19, Table2[HomeTeam], AF$1)</f>
        <v>4</v>
      </c>
      <c r="AG19" s="145">
        <f>SUMIFS(Table2[NewPointsAway],Table2[GameDate], "&lt;=" &amp; $A19, Table2[AwayTeam], AG$1)+SUMIFS(Table2[NewPointsHome],Table2[GameDate], "&lt;=" &amp; $A19, Table2[HomeTeam], AG$1)</f>
        <v>4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2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0</v>
      </c>
      <c r="E20" s="145">
        <f>SUMIFS(Table2[NewPointsAway],Table2[GameDate], "&lt;=" &amp; $A20, Table2[AwayTeam], E$1)+SUMIFS(Table2[NewPointsHome],Table2[GameDate], "&lt;=" &amp; $A20, Table2[HomeTeam], E$1)</f>
        <v>4</v>
      </c>
      <c r="F20" s="145">
        <f>SUMIFS(Table2[NewPointsAway],Table2[GameDate], "&lt;=" &amp; $A20, Table2[AwayTeam], F$1)+SUMIFS(Table2[NewPointsHome],Table2[GameDate], "&lt;=" &amp; $A20, Table2[HomeTeam], F$1)</f>
        <v>2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3</v>
      </c>
      <c r="I20" s="145">
        <f>SUMIFS(Table2[NewPointsAway],Table2[GameDate], "&lt;=" &amp; $A20, Table2[AwayTeam], I$1)+SUMIFS(Table2[NewPointsHome],Table2[GameDate], "&lt;=" &amp; $A20, Table2[HomeTeam], I$1)</f>
        <v>7</v>
      </c>
      <c r="J20" s="145">
        <f>SUMIFS(Table2[NewPointsAway],Table2[GameDate], "&lt;=" &amp; $A20, Table2[AwayTeam], J$1)+SUMIFS(Table2[NewPointsHome],Table2[GameDate], "&lt;=" &amp; $A20, Table2[HomeTeam], J$1)</f>
        <v>4</v>
      </c>
      <c r="K20" s="145">
        <f>SUMIFS(Table2[NewPointsAway],Table2[GameDate], "&lt;=" &amp; $A20, Table2[AwayTeam], K$1)+SUMIFS(Table2[NewPointsHome],Table2[GameDate], "&lt;=" &amp; $A20, Table2[HomeTeam], K$1)</f>
        <v>4</v>
      </c>
      <c r="L20" s="145">
        <f>SUMIFS(Table2[NewPointsAway],Table2[GameDate], "&lt;=" &amp; $A20, Table2[AwayTeam], L$1)+SUMIFS(Table2[NewPointsHome],Table2[GameDate], "&lt;=" &amp; $A20, Table2[HomeTeam], L$1)</f>
        <v>3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3</v>
      </c>
      <c r="O20" s="145">
        <f>SUMIFS(Table2[NewPointsAway],Table2[GameDate], "&lt;=" &amp; $A20, Table2[AwayTeam], O$1)+SUMIFS(Table2[NewPointsHome],Table2[GameDate], "&lt;=" &amp; $A20, Table2[HomeTeam], O$1)</f>
        <v>4</v>
      </c>
      <c r="P20" s="145">
        <f>SUMIFS(Table2[NewPointsAway],Table2[GameDate], "&lt;=" &amp; $A20, Table2[AwayTeam], P$1)+SUMIFS(Table2[NewPointsHome],Table2[GameDate], "&lt;=" &amp; $A20, Table2[HomeTeam], P$1)</f>
        <v>4</v>
      </c>
      <c r="Q20" s="145">
        <f>SUMIFS(Table2[NewPointsAway],Table2[GameDate], "&lt;=" &amp; $A20, Table2[AwayTeam], Q$1)+SUMIFS(Table2[NewPointsHome],Table2[GameDate], "&lt;=" &amp; $A20, Table2[HomeTeam], Q$1)</f>
        <v>4</v>
      </c>
      <c r="R20" s="145">
        <f>SUMIFS(Table2[NewPointsAway],Table2[GameDate], "&lt;=" &amp; $A20, Table2[AwayTeam], R$1)+SUMIFS(Table2[NewPointsHome],Table2[GameDate], "&lt;=" &amp; $A20, Table2[HomeTeam], R$1)</f>
        <v>5</v>
      </c>
      <c r="S20" s="145">
        <f>SUMIFS(Table2[NewPointsAway],Table2[GameDate], "&lt;=" &amp; $A20, Table2[AwayTeam], S$1)+SUMIFS(Table2[NewPointsHome],Table2[GameDate], "&lt;=" &amp; $A20, Table2[HomeTeam], S$1)</f>
        <v>0</v>
      </c>
      <c r="T20" s="145">
        <f>SUMIFS(Table2[NewPointsAway],Table2[GameDate], "&lt;=" &amp; $A20, Table2[AwayTeam], T$1)+SUMIFS(Table2[NewPointsHome],Table2[GameDate], "&lt;=" &amp; $A20, Table2[HomeTeam], T$1)</f>
        <v>4</v>
      </c>
      <c r="U20" s="145">
        <f>SUMIFS(Table2[NewPointsAway],Table2[GameDate], "&lt;=" &amp; $A20, Table2[AwayTeam], U$1)+SUMIFS(Table2[NewPointsHome],Table2[GameDate], "&lt;=" &amp; $A20, Table2[HomeTeam], U$1)</f>
        <v>2</v>
      </c>
      <c r="V20" s="145">
        <f>SUMIFS(Table2[NewPointsAway],Table2[GameDate], "&lt;=" &amp; $A20, Table2[AwayTeam], V$1)+SUMIFS(Table2[NewPointsHome],Table2[GameDate], "&lt;=" &amp; $A20, Table2[HomeTeam], V$1)</f>
        <v>3</v>
      </c>
      <c r="W20" s="145">
        <f>SUMIFS(Table2[NewPointsAway],Table2[GameDate], "&lt;=" &amp; $A20, Table2[AwayTeam], W$1)+SUMIFS(Table2[NewPointsHome],Table2[GameDate], "&lt;=" &amp; $A20, Table2[HomeTeam], W$1)</f>
        <v>4</v>
      </c>
      <c r="X20" s="145">
        <f>SUMIFS(Table2[NewPointsAway],Table2[GameDate], "&lt;=" &amp; $A20, Table2[AwayTeam], X$1)+SUMIFS(Table2[NewPointsHome],Table2[GameDate], "&lt;=" &amp; $A20, Table2[HomeTeam], X$1)</f>
        <v>4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4</v>
      </c>
      <c r="AA20" s="145">
        <f>SUMIFS(Table2[NewPointsAway],Table2[GameDate], "&lt;=" &amp; $A20, Table2[AwayTeam], AA$1)+SUMIFS(Table2[NewPointsHome],Table2[GameDate], "&lt;=" &amp; $A20, Table2[HomeTeam], AA$1)</f>
        <v>2</v>
      </c>
      <c r="AB20" s="145">
        <f>SUMIFS(Table2[NewPointsAway],Table2[GameDate], "&lt;=" &amp; $A20, Table2[AwayTeam], AB$1)+SUMIFS(Table2[NewPointsHome],Table2[GameDate], "&lt;=" &amp; $A20, Table2[HomeTeam], AB$1)</f>
        <v>2</v>
      </c>
      <c r="AC20" s="145">
        <f>SUMIFS(Table2[NewPointsAway],Table2[GameDate], "&lt;=" &amp; $A20, Table2[AwayTeam], AC$1)+SUMIFS(Table2[NewPointsHome],Table2[GameDate], "&lt;=" &amp; $A20, Table2[HomeTeam], AC$1)</f>
        <v>2</v>
      </c>
      <c r="AD20" s="145">
        <f>SUMIFS(Table2[NewPointsAway],Table2[GameDate], "&lt;=" &amp; $A20, Table2[AwayTeam], AD$1)+SUMIFS(Table2[NewPointsHome],Table2[GameDate], "&lt;=" &amp; $A20, Table2[HomeTeam], AD$1)</f>
        <v>2</v>
      </c>
      <c r="AE20" s="145">
        <f>SUMIFS(Table2[NewPointsAway],Table2[GameDate], "&lt;=" &amp; $A20, Table2[AwayTeam], AE$1)+SUMIFS(Table2[NewPointsHome],Table2[GameDate], "&lt;=" &amp; $A20, Table2[HomeTeam], AE$1)</f>
        <v>4</v>
      </c>
      <c r="AF20" s="145">
        <f>SUMIFS(Table2[NewPointsAway],Table2[GameDate], "&lt;=" &amp; $A20, Table2[AwayTeam], AF$1)+SUMIFS(Table2[NewPointsHome],Table2[GameDate], "&lt;=" &amp; $A20, Table2[HomeTeam], AF$1)</f>
        <v>4</v>
      </c>
      <c r="AG20" s="145">
        <f>SUMIFS(Table2[NewPointsAway],Table2[GameDate], "&lt;=" &amp; $A20, Table2[AwayTeam], AG$1)+SUMIFS(Table2[NewPointsHome],Table2[GameDate], "&lt;=" &amp; $A20, Table2[HomeTeam], AG$1)</f>
        <v>4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2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0</v>
      </c>
      <c r="E21" s="145">
        <f>SUMIFS(Table2[NewPointsAway],Table2[GameDate], "&lt;=" &amp; $A21, Table2[AwayTeam], E$1)+SUMIFS(Table2[NewPointsHome],Table2[GameDate], "&lt;=" &amp; $A21, Table2[HomeTeam], E$1)</f>
        <v>4</v>
      </c>
      <c r="F21" s="145">
        <f>SUMIFS(Table2[NewPointsAway],Table2[GameDate], "&lt;=" &amp; $A21, Table2[AwayTeam], F$1)+SUMIFS(Table2[NewPointsHome],Table2[GameDate], "&lt;=" &amp; $A21, Table2[HomeTeam], F$1)</f>
        <v>2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3</v>
      </c>
      <c r="I21" s="145">
        <f>SUMIFS(Table2[NewPointsAway],Table2[GameDate], "&lt;=" &amp; $A21, Table2[AwayTeam], I$1)+SUMIFS(Table2[NewPointsHome],Table2[GameDate], "&lt;=" &amp; $A21, Table2[HomeTeam], I$1)</f>
        <v>7</v>
      </c>
      <c r="J21" s="145">
        <f>SUMIFS(Table2[NewPointsAway],Table2[GameDate], "&lt;=" &amp; $A21, Table2[AwayTeam], J$1)+SUMIFS(Table2[NewPointsHome],Table2[GameDate], "&lt;=" &amp; $A21, Table2[HomeTeam], J$1)</f>
        <v>4</v>
      </c>
      <c r="K21" s="145">
        <f>SUMIFS(Table2[NewPointsAway],Table2[GameDate], "&lt;=" &amp; $A21, Table2[AwayTeam], K$1)+SUMIFS(Table2[NewPointsHome],Table2[GameDate], "&lt;=" &amp; $A21, Table2[HomeTeam], K$1)</f>
        <v>4</v>
      </c>
      <c r="L21" s="145">
        <f>SUMIFS(Table2[NewPointsAway],Table2[GameDate], "&lt;=" &amp; $A21, Table2[AwayTeam], L$1)+SUMIFS(Table2[NewPointsHome],Table2[GameDate], "&lt;=" &amp; $A21, Table2[HomeTeam], L$1)</f>
        <v>3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3</v>
      </c>
      <c r="O21" s="145">
        <f>SUMIFS(Table2[NewPointsAway],Table2[GameDate], "&lt;=" &amp; $A21, Table2[AwayTeam], O$1)+SUMIFS(Table2[NewPointsHome],Table2[GameDate], "&lt;=" &amp; $A21, Table2[HomeTeam], O$1)</f>
        <v>4</v>
      </c>
      <c r="P21" s="145">
        <f>SUMIFS(Table2[NewPointsAway],Table2[GameDate], "&lt;=" &amp; $A21, Table2[AwayTeam], P$1)+SUMIFS(Table2[NewPointsHome],Table2[GameDate], "&lt;=" &amp; $A21, Table2[HomeTeam], P$1)</f>
        <v>4</v>
      </c>
      <c r="Q21" s="145">
        <f>SUMIFS(Table2[NewPointsAway],Table2[GameDate], "&lt;=" &amp; $A21, Table2[AwayTeam], Q$1)+SUMIFS(Table2[NewPointsHome],Table2[GameDate], "&lt;=" &amp; $A21, Table2[HomeTeam], Q$1)</f>
        <v>4</v>
      </c>
      <c r="R21" s="145">
        <f>SUMIFS(Table2[NewPointsAway],Table2[GameDate], "&lt;=" &amp; $A21, Table2[AwayTeam], R$1)+SUMIFS(Table2[NewPointsHome],Table2[GameDate], "&lt;=" &amp; $A21, Table2[HomeTeam], R$1)</f>
        <v>5</v>
      </c>
      <c r="S21" s="145">
        <f>SUMIFS(Table2[NewPointsAway],Table2[GameDate], "&lt;=" &amp; $A21, Table2[AwayTeam], S$1)+SUMIFS(Table2[NewPointsHome],Table2[GameDate], "&lt;=" &amp; $A21, Table2[HomeTeam], S$1)</f>
        <v>0</v>
      </c>
      <c r="T21" s="145">
        <f>SUMIFS(Table2[NewPointsAway],Table2[GameDate], "&lt;=" &amp; $A21, Table2[AwayTeam], T$1)+SUMIFS(Table2[NewPointsHome],Table2[GameDate], "&lt;=" &amp; $A21, Table2[HomeTeam], T$1)</f>
        <v>4</v>
      </c>
      <c r="U21" s="145">
        <f>SUMIFS(Table2[NewPointsAway],Table2[GameDate], "&lt;=" &amp; $A21, Table2[AwayTeam], U$1)+SUMIFS(Table2[NewPointsHome],Table2[GameDate], "&lt;=" &amp; $A21, Table2[HomeTeam], U$1)</f>
        <v>2</v>
      </c>
      <c r="V21" s="145">
        <f>SUMIFS(Table2[NewPointsAway],Table2[GameDate], "&lt;=" &amp; $A21, Table2[AwayTeam], V$1)+SUMIFS(Table2[NewPointsHome],Table2[GameDate], "&lt;=" &amp; $A21, Table2[HomeTeam], V$1)</f>
        <v>3</v>
      </c>
      <c r="W21" s="145">
        <f>SUMIFS(Table2[NewPointsAway],Table2[GameDate], "&lt;=" &amp; $A21, Table2[AwayTeam], W$1)+SUMIFS(Table2[NewPointsHome],Table2[GameDate], "&lt;=" &amp; $A21, Table2[HomeTeam], W$1)</f>
        <v>4</v>
      </c>
      <c r="X21" s="145">
        <f>SUMIFS(Table2[NewPointsAway],Table2[GameDate], "&lt;=" &amp; $A21, Table2[AwayTeam], X$1)+SUMIFS(Table2[NewPointsHome],Table2[GameDate], "&lt;=" &amp; $A21, Table2[HomeTeam], X$1)</f>
        <v>4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4</v>
      </c>
      <c r="AA21" s="145">
        <f>SUMIFS(Table2[NewPointsAway],Table2[GameDate], "&lt;=" &amp; $A21, Table2[AwayTeam], AA$1)+SUMIFS(Table2[NewPointsHome],Table2[GameDate], "&lt;=" &amp; $A21, Table2[HomeTeam], AA$1)</f>
        <v>2</v>
      </c>
      <c r="AB21" s="145">
        <f>SUMIFS(Table2[NewPointsAway],Table2[GameDate], "&lt;=" &amp; $A21, Table2[AwayTeam], AB$1)+SUMIFS(Table2[NewPointsHome],Table2[GameDate], "&lt;=" &amp; $A21, Table2[HomeTeam], AB$1)</f>
        <v>2</v>
      </c>
      <c r="AC21" s="145">
        <f>SUMIFS(Table2[NewPointsAway],Table2[GameDate], "&lt;=" &amp; $A21, Table2[AwayTeam], AC$1)+SUMIFS(Table2[NewPointsHome],Table2[GameDate], "&lt;=" &amp; $A21, Table2[HomeTeam], AC$1)</f>
        <v>2</v>
      </c>
      <c r="AD21" s="145">
        <f>SUMIFS(Table2[NewPointsAway],Table2[GameDate], "&lt;=" &amp; $A21, Table2[AwayTeam], AD$1)+SUMIFS(Table2[NewPointsHome],Table2[GameDate], "&lt;=" &amp; $A21, Table2[HomeTeam], AD$1)</f>
        <v>2</v>
      </c>
      <c r="AE21" s="145">
        <f>SUMIFS(Table2[NewPointsAway],Table2[GameDate], "&lt;=" &amp; $A21, Table2[AwayTeam], AE$1)+SUMIFS(Table2[NewPointsHome],Table2[GameDate], "&lt;=" &amp; $A21, Table2[HomeTeam], AE$1)</f>
        <v>4</v>
      </c>
      <c r="AF21" s="145">
        <f>SUMIFS(Table2[NewPointsAway],Table2[GameDate], "&lt;=" &amp; $A21, Table2[AwayTeam], AF$1)+SUMIFS(Table2[NewPointsHome],Table2[GameDate], "&lt;=" &amp; $A21, Table2[HomeTeam], AF$1)</f>
        <v>4</v>
      </c>
      <c r="AG21" s="145">
        <f>SUMIFS(Table2[NewPointsAway],Table2[GameDate], "&lt;=" &amp; $A21, Table2[AwayTeam], AG$1)+SUMIFS(Table2[NewPointsHome],Table2[GameDate], "&lt;=" &amp; $A21, Table2[HomeTeam], AG$1)</f>
        <v>4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2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0</v>
      </c>
      <c r="E22" s="145">
        <f>SUMIFS(Table2[NewPointsAway],Table2[GameDate], "&lt;=" &amp; $A22, Table2[AwayTeam], E$1)+SUMIFS(Table2[NewPointsHome],Table2[GameDate], "&lt;=" &amp; $A22, Table2[HomeTeam], E$1)</f>
        <v>4</v>
      </c>
      <c r="F22" s="145">
        <f>SUMIFS(Table2[NewPointsAway],Table2[GameDate], "&lt;=" &amp; $A22, Table2[AwayTeam], F$1)+SUMIFS(Table2[NewPointsHome],Table2[GameDate], "&lt;=" &amp; $A22, Table2[HomeTeam], F$1)</f>
        <v>2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3</v>
      </c>
      <c r="I22" s="145">
        <f>SUMIFS(Table2[NewPointsAway],Table2[GameDate], "&lt;=" &amp; $A22, Table2[AwayTeam], I$1)+SUMIFS(Table2[NewPointsHome],Table2[GameDate], "&lt;=" &amp; $A22, Table2[HomeTeam], I$1)</f>
        <v>7</v>
      </c>
      <c r="J22" s="145">
        <f>SUMIFS(Table2[NewPointsAway],Table2[GameDate], "&lt;=" &amp; $A22, Table2[AwayTeam], J$1)+SUMIFS(Table2[NewPointsHome],Table2[GameDate], "&lt;=" &amp; $A22, Table2[HomeTeam], J$1)</f>
        <v>4</v>
      </c>
      <c r="K22" s="145">
        <f>SUMIFS(Table2[NewPointsAway],Table2[GameDate], "&lt;=" &amp; $A22, Table2[AwayTeam], K$1)+SUMIFS(Table2[NewPointsHome],Table2[GameDate], "&lt;=" &amp; $A22, Table2[HomeTeam], K$1)</f>
        <v>4</v>
      </c>
      <c r="L22" s="145">
        <f>SUMIFS(Table2[NewPointsAway],Table2[GameDate], "&lt;=" &amp; $A22, Table2[AwayTeam], L$1)+SUMIFS(Table2[NewPointsHome],Table2[GameDate], "&lt;=" &amp; $A22, Table2[HomeTeam], L$1)</f>
        <v>3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3</v>
      </c>
      <c r="O22" s="145">
        <f>SUMIFS(Table2[NewPointsAway],Table2[GameDate], "&lt;=" &amp; $A22, Table2[AwayTeam], O$1)+SUMIFS(Table2[NewPointsHome],Table2[GameDate], "&lt;=" &amp; $A22, Table2[HomeTeam], O$1)</f>
        <v>4</v>
      </c>
      <c r="P22" s="145">
        <f>SUMIFS(Table2[NewPointsAway],Table2[GameDate], "&lt;=" &amp; $A22, Table2[AwayTeam], P$1)+SUMIFS(Table2[NewPointsHome],Table2[GameDate], "&lt;=" &amp; $A22, Table2[HomeTeam], P$1)</f>
        <v>4</v>
      </c>
      <c r="Q22" s="145">
        <f>SUMIFS(Table2[NewPointsAway],Table2[GameDate], "&lt;=" &amp; $A22, Table2[AwayTeam], Q$1)+SUMIFS(Table2[NewPointsHome],Table2[GameDate], "&lt;=" &amp; $A22, Table2[HomeTeam], Q$1)</f>
        <v>4</v>
      </c>
      <c r="R22" s="145">
        <f>SUMIFS(Table2[NewPointsAway],Table2[GameDate], "&lt;=" &amp; $A22, Table2[AwayTeam], R$1)+SUMIFS(Table2[NewPointsHome],Table2[GameDate], "&lt;=" &amp; $A22, Table2[HomeTeam], R$1)</f>
        <v>5</v>
      </c>
      <c r="S22" s="145">
        <f>SUMIFS(Table2[NewPointsAway],Table2[GameDate], "&lt;=" &amp; $A22, Table2[AwayTeam], S$1)+SUMIFS(Table2[NewPointsHome],Table2[GameDate], "&lt;=" &amp; $A22, Table2[HomeTeam], S$1)</f>
        <v>0</v>
      </c>
      <c r="T22" s="145">
        <f>SUMIFS(Table2[NewPointsAway],Table2[GameDate], "&lt;=" &amp; $A22, Table2[AwayTeam], T$1)+SUMIFS(Table2[NewPointsHome],Table2[GameDate], "&lt;=" &amp; $A22, Table2[HomeTeam], T$1)</f>
        <v>4</v>
      </c>
      <c r="U22" s="145">
        <f>SUMIFS(Table2[NewPointsAway],Table2[GameDate], "&lt;=" &amp; $A22, Table2[AwayTeam], U$1)+SUMIFS(Table2[NewPointsHome],Table2[GameDate], "&lt;=" &amp; $A22, Table2[HomeTeam], U$1)</f>
        <v>2</v>
      </c>
      <c r="V22" s="145">
        <f>SUMIFS(Table2[NewPointsAway],Table2[GameDate], "&lt;=" &amp; $A22, Table2[AwayTeam], V$1)+SUMIFS(Table2[NewPointsHome],Table2[GameDate], "&lt;=" &amp; $A22, Table2[HomeTeam], V$1)</f>
        <v>3</v>
      </c>
      <c r="W22" s="145">
        <f>SUMIFS(Table2[NewPointsAway],Table2[GameDate], "&lt;=" &amp; $A22, Table2[AwayTeam], W$1)+SUMIFS(Table2[NewPointsHome],Table2[GameDate], "&lt;=" &amp; $A22, Table2[HomeTeam], W$1)</f>
        <v>4</v>
      </c>
      <c r="X22" s="145">
        <f>SUMIFS(Table2[NewPointsAway],Table2[GameDate], "&lt;=" &amp; $A22, Table2[AwayTeam], X$1)+SUMIFS(Table2[NewPointsHome],Table2[GameDate], "&lt;=" &amp; $A22, Table2[HomeTeam], X$1)</f>
        <v>4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4</v>
      </c>
      <c r="AA22" s="145">
        <f>SUMIFS(Table2[NewPointsAway],Table2[GameDate], "&lt;=" &amp; $A22, Table2[AwayTeam], AA$1)+SUMIFS(Table2[NewPointsHome],Table2[GameDate], "&lt;=" &amp; $A22, Table2[HomeTeam], AA$1)</f>
        <v>2</v>
      </c>
      <c r="AB22" s="145">
        <f>SUMIFS(Table2[NewPointsAway],Table2[GameDate], "&lt;=" &amp; $A22, Table2[AwayTeam], AB$1)+SUMIFS(Table2[NewPointsHome],Table2[GameDate], "&lt;=" &amp; $A22, Table2[HomeTeam], AB$1)</f>
        <v>2</v>
      </c>
      <c r="AC22" s="145">
        <f>SUMIFS(Table2[NewPointsAway],Table2[GameDate], "&lt;=" &amp; $A22, Table2[AwayTeam], AC$1)+SUMIFS(Table2[NewPointsHome],Table2[GameDate], "&lt;=" &amp; $A22, Table2[HomeTeam], AC$1)</f>
        <v>2</v>
      </c>
      <c r="AD22" s="145">
        <f>SUMIFS(Table2[NewPointsAway],Table2[GameDate], "&lt;=" &amp; $A22, Table2[AwayTeam], AD$1)+SUMIFS(Table2[NewPointsHome],Table2[GameDate], "&lt;=" &amp; $A22, Table2[HomeTeam], AD$1)</f>
        <v>2</v>
      </c>
      <c r="AE22" s="145">
        <f>SUMIFS(Table2[NewPointsAway],Table2[GameDate], "&lt;=" &amp; $A22, Table2[AwayTeam], AE$1)+SUMIFS(Table2[NewPointsHome],Table2[GameDate], "&lt;=" &amp; $A22, Table2[HomeTeam], AE$1)</f>
        <v>4</v>
      </c>
      <c r="AF22" s="145">
        <f>SUMIFS(Table2[NewPointsAway],Table2[GameDate], "&lt;=" &amp; $A22, Table2[AwayTeam], AF$1)+SUMIFS(Table2[NewPointsHome],Table2[GameDate], "&lt;=" &amp; $A22, Table2[HomeTeam], AF$1)</f>
        <v>4</v>
      </c>
      <c r="AG22" s="145">
        <f>SUMIFS(Table2[NewPointsAway],Table2[GameDate], "&lt;=" &amp; $A22, Table2[AwayTeam], AG$1)+SUMIFS(Table2[NewPointsHome],Table2[GameDate], "&lt;=" &amp; $A22, Table2[HomeTeam], AG$1)</f>
        <v>4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2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0</v>
      </c>
      <c r="E23" s="145">
        <f>SUMIFS(Table2[NewPointsAway],Table2[GameDate], "&lt;=" &amp; $A23, Table2[AwayTeam], E$1)+SUMIFS(Table2[NewPointsHome],Table2[GameDate], "&lt;=" &amp; $A23, Table2[HomeTeam], E$1)</f>
        <v>4</v>
      </c>
      <c r="F23" s="145">
        <f>SUMIFS(Table2[NewPointsAway],Table2[GameDate], "&lt;=" &amp; $A23, Table2[AwayTeam], F$1)+SUMIFS(Table2[NewPointsHome],Table2[GameDate], "&lt;=" &amp; $A23, Table2[HomeTeam], F$1)</f>
        <v>2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3</v>
      </c>
      <c r="I23" s="145">
        <f>SUMIFS(Table2[NewPointsAway],Table2[GameDate], "&lt;=" &amp; $A23, Table2[AwayTeam], I$1)+SUMIFS(Table2[NewPointsHome],Table2[GameDate], "&lt;=" &amp; $A23, Table2[HomeTeam], I$1)</f>
        <v>7</v>
      </c>
      <c r="J23" s="145">
        <f>SUMIFS(Table2[NewPointsAway],Table2[GameDate], "&lt;=" &amp; $A23, Table2[AwayTeam], J$1)+SUMIFS(Table2[NewPointsHome],Table2[GameDate], "&lt;=" &amp; $A23, Table2[HomeTeam], J$1)</f>
        <v>4</v>
      </c>
      <c r="K23" s="145">
        <f>SUMIFS(Table2[NewPointsAway],Table2[GameDate], "&lt;=" &amp; $A23, Table2[AwayTeam], K$1)+SUMIFS(Table2[NewPointsHome],Table2[GameDate], "&lt;=" &amp; $A23, Table2[HomeTeam], K$1)</f>
        <v>4</v>
      </c>
      <c r="L23" s="145">
        <f>SUMIFS(Table2[NewPointsAway],Table2[GameDate], "&lt;=" &amp; $A23, Table2[AwayTeam], L$1)+SUMIFS(Table2[NewPointsHome],Table2[GameDate], "&lt;=" &amp; $A23, Table2[HomeTeam], L$1)</f>
        <v>3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3</v>
      </c>
      <c r="O23" s="145">
        <f>SUMIFS(Table2[NewPointsAway],Table2[GameDate], "&lt;=" &amp; $A23, Table2[AwayTeam], O$1)+SUMIFS(Table2[NewPointsHome],Table2[GameDate], "&lt;=" &amp; $A23, Table2[HomeTeam], O$1)</f>
        <v>4</v>
      </c>
      <c r="P23" s="145">
        <f>SUMIFS(Table2[NewPointsAway],Table2[GameDate], "&lt;=" &amp; $A23, Table2[AwayTeam], P$1)+SUMIFS(Table2[NewPointsHome],Table2[GameDate], "&lt;=" &amp; $A23, Table2[HomeTeam], P$1)</f>
        <v>4</v>
      </c>
      <c r="Q23" s="145">
        <f>SUMIFS(Table2[NewPointsAway],Table2[GameDate], "&lt;=" &amp; $A23, Table2[AwayTeam], Q$1)+SUMIFS(Table2[NewPointsHome],Table2[GameDate], "&lt;=" &amp; $A23, Table2[HomeTeam], Q$1)</f>
        <v>4</v>
      </c>
      <c r="R23" s="145">
        <f>SUMIFS(Table2[NewPointsAway],Table2[GameDate], "&lt;=" &amp; $A23, Table2[AwayTeam], R$1)+SUMIFS(Table2[NewPointsHome],Table2[GameDate], "&lt;=" &amp; $A23, Table2[HomeTeam], R$1)</f>
        <v>5</v>
      </c>
      <c r="S23" s="145">
        <f>SUMIFS(Table2[NewPointsAway],Table2[GameDate], "&lt;=" &amp; $A23, Table2[AwayTeam], S$1)+SUMIFS(Table2[NewPointsHome],Table2[GameDate], "&lt;=" &amp; $A23, Table2[HomeTeam], S$1)</f>
        <v>0</v>
      </c>
      <c r="T23" s="145">
        <f>SUMIFS(Table2[NewPointsAway],Table2[GameDate], "&lt;=" &amp; $A23, Table2[AwayTeam], T$1)+SUMIFS(Table2[NewPointsHome],Table2[GameDate], "&lt;=" &amp; $A23, Table2[HomeTeam], T$1)</f>
        <v>4</v>
      </c>
      <c r="U23" s="145">
        <f>SUMIFS(Table2[NewPointsAway],Table2[GameDate], "&lt;=" &amp; $A23, Table2[AwayTeam], U$1)+SUMIFS(Table2[NewPointsHome],Table2[GameDate], "&lt;=" &amp; $A23, Table2[HomeTeam], U$1)</f>
        <v>2</v>
      </c>
      <c r="V23" s="145">
        <f>SUMIFS(Table2[NewPointsAway],Table2[GameDate], "&lt;=" &amp; $A23, Table2[AwayTeam], V$1)+SUMIFS(Table2[NewPointsHome],Table2[GameDate], "&lt;=" &amp; $A23, Table2[HomeTeam], V$1)</f>
        <v>3</v>
      </c>
      <c r="W23" s="145">
        <f>SUMIFS(Table2[NewPointsAway],Table2[GameDate], "&lt;=" &amp; $A23, Table2[AwayTeam], W$1)+SUMIFS(Table2[NewPointsHome],Table2[GameDate], "&lt;=" &amp; $A23, Table2[HomeTeam], W$1)</f>
        <v>4</v>
      </c>
      <c r="X23" s="145">
        <f>SUMIFS(Table2[NewPointsAway],Table2[GameDate], "&lt;=" &amp; $A23, Table2[AwayTeam], X$1)+SUMIFS(Table2[NewPointsHome],Table2[GameDate], "&lt;=" &amp; $A23, Table2[HomeTeam], X$1)</f>
        <v>4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4</v>
      </c>
      <c r="AA23" s="145">
        <f>SUMIFS(Table2[NewPointsAway],Table2[GameDate], "&lt;=" &amp; $A23, Table2[AwayTeam], AA$1)+SUMIFS(Table2[NewPointsHome],Table2[GameDate], "&lt;=" &amp; $A23, Table2[HomeTeam], AA$1)</f>
        <v>2</v>
      </c>
      <c r="AB23" s="145">
        <f>SUMIFS(Table2[NewPointsAway],Table2[GameDate], "&lt;=" &amp; $A23, Table2[AwayTeam], AB$1)+SUMIFS(Table2[NewPointsHome],Table2[GameDate], "&lt;=" &amp; $A23, Table2[HomeTeam], AB$1)</f>
        <v>2</v>
      </c>
      <c r="AC23" s="145">
        <f>SUMIFS(Table2[NewPointsAway],Table2[GameDate], "&lt;=" &amp; $A23, Table2[AwayTeam], AC$1)+SUMIFS(Table2[NewPointsHome],Table2[GameDate], "&lt;=" &amp; $A23, Table2[HomeTeam], AC$1)</f>
        <v>2</v>
      </c>
      <c r="AD23" s="145">
        <f>SUMIFS(Table2[NewPointsAway],Table2[GameDate], "&lt;=" &amp; $A23, Table2[AwayTeam], AD$1)+SUMIFS(Table2[NewPointsHome],Table2[GameDate], "&lt;=" &amp; $A23, Table2[HomeTeam], AD$1)</f>
        <v>2</v>
      </c>
      <c r="AE23" s="145">
        <f>SUMIFS(Table2[NewPointsAway],Table2[GameDate], "&lt;=" &amp; $A23, Table2[AwayTeam], AE$1)+SUMIFS(Table2[NewPointsHome],Table2[GameDate], "&lt;=" &amp; $A23, Table2[HomeTeam], AE$1)</f>
        <v>4</v>
      </c>
      <c r="AF23" s="145">
        <f>SUMIFS(Table2[NewPointsAway],Table2[GameDate], "&lt;=" &amp; $A23, Table2[AwayTeam], AF$1)+SUMIFS(Table2[NewPointsHome],Table2[GameDate], "&lt;=" &amp; $A23, Table2[HomeTeam], AF$1)</f>
        <v>4</v>
      </c>
      <c r="AG23" s="145">
        <f>SUMIFS(Table2[NewPointsAway],Table2[GameDate], "&lt;=" &amp; $A23, Table2[AwayTeam], AG$1)+SUMIFS(Table2[NewPointsHome],Table2[GameDate], "&lt;=" &amp; $A23, Table2[HomeTeam], AG$1)</f>
        <v>4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2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0</v>
      </c>
      <c r="E24" s="145">
        <f>SUMIFS(Table2[NewPointsAway],Table2[GameDate], "&lt;=" &amp; $A24, Table2[AwayTeam], E$1)+SUMIFS(Table2[NewPointsHome],Table2[GameDate], "&lt;=" &amp; $A24, Table2[HomeTeam], E$1)</f>
        <v>4</v>
      </c>
      <c r="F24" s="145">
        <f>SUMIFS(Table2[NewPointsAway],Table2[GameDate], "&lt;=" &amp; $A24, Table2[AwayTeam], F$1)+SUMIFS(Table2[NewPointsHome],Table2[GameDate], "&lt;=" &amp; $A24, Table2[HomeTeam], F$1)</f>
        <v>2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3</v>
      </c>
      <c r="I24" s="145">
        <f>SUMIFS(Table2[NewPointsAway],Table2[GameDate], "&lt;=" &amp; $A24, Table2[AwayTeam], I$1)+SUMIFS(Table2[NewPointsHome],Table2[GameDate], "&lt;=" &amp; $A24, Table2[HomeTeam], I$1)</f>
        <v>7</v>
      </c>
      <c r="J24" s="145">
        <f>SUMIFS(Table2[NewPointsAway],Table2[GameDate], "&lt;=" &amp; $A24, Table2[AwayTeam], J$1)+SUMIFS(Table2[NewPointsHome],Table2[GameDate], "&lt;=" &amp; $A24, Table2[HomeTeam], J$1)</f>
        <v>4</v>
      </c>
      <c r="K24" s="145">
        <f>SUMIFS(Table2[NewPointsAway],Table2[GameDate], "&lt;=" &amp; $A24, Table2[AwayTeam], K$1)+SUMIFS(Table2[NewPointsHome],Table2[GameDate], "&lt;=" &amp; $A24, Table2[HomeTeam], K$1)</f>
        <v>4</v>
      </c>
      <c r="L24" s="145">
        <f>SUMIFS(Table2[NewPointsAway],Table2[GameDate], "&lt;=" &amp; $A24, Table2[AwayTeam], L$1)+SUMIFS(Table2[NewPointsHome],Table2[GameDate], "&lt;=" &amp; $A24, Table2[HomeTeam], L$1)</f>
        <v>3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3</v>
      </c>
      <c r="O24" s="145">
        <f>SUMIFS(Table2[NewPointsAway],Table2[GameDate], "&lt;=" &amp; $A24, Table2[AwayTeam], O$1)+SUMIFS(Table2[NewPointsHome],Table2[GameDate], "&lt;=" &amp; $A24, Table2[HomeTeam], O$1)</f>
        <v>4</v>
      </c>
      <c r="P24" s="145">
        <f>SUMIFS(Table2[NewPointsAway],Table2[GameDate], "&lt;=" &amp; $A24, Table2[AwayTeam], P$1)+SUMIFS(Table2[NewPointsHome],Table2[GameDate], "&lt;=" &amp; $A24, Table2[HomeTeam], P$1)</f>
        <v>4</v>
      </c>
      <c r="Q24" s="145">
        <f>SUMIFS(Table2[NewPointsAway],Table2[GameDate], "&lt;=" &amp; $A24, Table2[AwayTeam], Q$1)+SUMIFS(Table2[NewPointsHome],Table2[GameDate], "&lt;=" &amp; $A24, Table2[HomeTeam], Q$1)</f>
        <v>4</v>
      </c>
      <c r="R24" s="145">
        <f>SUMIFS(Table2[NewPointsAway],Table2[GameDate], "&lt;=" &amp; $A24, Table2[AwayTeam], R$1)+SUMIFS(Table2[NewPointsHome],Table2[GameDate], "&lt;=" &amp; $A24, Table2[HomeTeam], R$1)</f>
        <v>5</v>
      </c>
      <c r="S24" s="145">
        <f>SUMIFS(Table2[NewPointsAway],Table2[GameDate], "&lt;=" &amp; $A24, Table2[AwayTeam], S$1)+SUMIFS(Table2[NewPointsHome],Table2[GameDate], "&lt;=" &amp; $A24, Table2[HomeTeam], S$1)</f>
        <v>0</v>
      </c>
      <c r="T24" s="145">
        <f>SUMIFS(Table2[NewPointsAway],Table2[GameDate], "&lt;=" &amp; $A24, Table2[AwayTeam], T$1)+SUMIFS(Table2[NewPointsHome],Table2[GameDate], "&lt;=" &amp; $A24, Table2[HomeTeam], T$1)</f>
        <v>4</v>
      </c>
      <c r="U24" s="145">
        <f>SUMIFS(Table2[NewPointsAway],Table2[GameDate], "&lt;=" &amp; $A24, Table2[AwayTeam], U$1)+SUMIFS(Table2[NewPointsHome],Table2[GameDate], "&lt;=" &amp; $A24, Table2[HomeTeam], U$1)</f>
        <v>2</v>
      </c>
      <c r="V24" s="145">
        <f>SUMIFS(Table2[NewPointsAway],Table2[GameDate], "&lt;=" &amp; $A24, Table2[AwayTeam], V$1)+SUMIFS(Table2[NewPointsHome],Table2[GameDate], "&lt;=" &amp; $A24, Table2[HomeTeam], V$1)</f>
        <v>3</v>
      </c>
      <c r="W24" s="145">
        <f>SUMIFS(Table2[NewPointsAway],Table2[GameDate], "&lt;=" &amp; $A24, Table2[AwayTeam], W$1)+SUMIFS(Table2[NewPointsHome],Table2[GameDate], "&lt;=" &amp; $A24, Table2[HomeTeam], W$1)</f>
        <v>4</v>
      </c>
      <c r="X24" s="145">
        <f>SUMIFS(Table2[NewPointsAway],Table2[GameDate], "&lt;=" &amp; $A24, Table2[AwayTeam], X$1)+SUMIFS(Table2[NewPointsHome],Table2[GameDate], "&lt;=" &amp; $A24, Table2[HomeTeam], X$1)</f>
        <v>4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4</v>
      </c>
      <c r="AA24" s="145">
        <f>SUMIFS(Table2[NewPointsAway],Table2[GameDate], "&lt;=" &amp; $A24, Table2[AwayTeam], AA$1)+SUMIFS(Table2[NewPointsHome],Table2[GameDate], "&lt;=" &amp; $A24, Table2[HomeTeam], AA$1)</f>
        <v>2</v>
      </c>
      <c r="AB24" s="145">
        <f>SUMIFS(Table2[NewPointsAway],Table2[GameDate], "&lt;=" &amp; $A24, Table2[AwayTeam], AB$1)+SUMIFS(Table2[NewPointsHome],Table2[GameDate], "&lt;=" &amp; $A24, Table2[HomeTeam], AB$1)</f>
        <v>2</v>
      </c>
      <c r="AC24" s="145">
        <f>SUMIFS(Table2[NewPointsAway],Table2[GameDate], "&lt;=" &amp; $A24, Table2[AwayTeam], AC$1)+SUMIFS(Table2[NewPointsHome],Table2[GameDate], "&lt;=" &amp; $A24, Table2[HomeTeam], AC$1)</f>
        <v>2</v>
      </c>
      <c r="AD24" s="145">
        <f>SUMIFS(Table2[NewPointsAway],Table2[GameDate], "&lt;=" &amp; $A24, Table2[AwayTeam], AD$1)+SUMIFS(Table2[NewPointsHome],Table2[GameDate], "&lt;=" &amp; $A24, Table2[HomeTeam], AD$1)</f>
        <v>2</v>
      </c>
      <c r="AE24" s="145">
        <f>SUMIFS(Table2[NewPointsAway],Table2[GameDate], "&lt;=" &amp; $A24, Table2[AwayTeam], AE$1)+SUMIFS(Table2[NewPointsHome],Table2[GameDate], "&lt;=" &amp; $A24, Table2[HomeTeam], AE$1)</f>
        <v>4</v>
      </c>
      <c r="AF24" s="145">
        <f>SUMIFS(Table2[NewPointsAway],Table2[GameDate], "&lt;=" &amp; $A24, Table2[AwayTeam], AF$1)+SUMIFS(Table2[NewPointsHome],Table2[GameDate], "&lt;=" &amp; $A24, Table2[HomeTeam], AF$1)</f>
        <v>4</v>
      </c>
      <c r="AG24" s="145">
        <f>SUMIFS(Table2[NewPointsAway],Table2[GameDate], "&lt;=" &amp; $A24, Table2[AwayTeam], AG$1)+SUMIFS(Table2[NewPointsHome],Table2[GameDate], "&lt;=" &amp; $A24, Table2[HomeTeam], AG$1)</f>
        <v>4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2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0</v>
      </c>
      <c r="E25" s="145">
        <f>SUMIFS(Table2[NewPointsAway],Table2[GameDate], "&lt;=" &amp; $A25, Table2[AwayTeam], E$1)+SUMIFS(Table2[NewPointsHome],Table2[GameDate], "&lt;=" &amp; $A25, Table2[HomeTeam], E$1)</f>
        <v>4</v>
      </c>
      <c r="F25" s="145">
        <f>SUMIFS(Table2[NewPointsAway],Table2[GameDate], "&lt;=" &amp; $A25, Table2[AwayTeam], F$1)+SUMIFS(Table2[NewPointsHome],Table2[GameDate], "&lt;=" &amp; $A25, Table2[HomeTeam], F$1)</f>
        <v>2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3</v>
      </c>
      <c r="I25" s="145">
        <f>SUMIFS(Table2[NewPointsAway],Table2[GameDate], "&lt;=" &amp; $A25, Table2[AwayTeam], I$1)+SUMIFS(Table2[NewPointsHome],Table2[GameDate], "&lt;=" &amp; $A25, Table2[HomeTeam], I$1)</f>
        <v>7</v>
      </c>
      <c r="J25" s="145">
        <f>SUMIFS(Table2[NewPointsAway],Table2[GameDate], "&lt;=" &amp; $A25, Table2[AwayTeam], J$1)+SUMIFS(Table2[NewPointsHome],Table2[GameDate], "&lt;=" &amp; $A25, Table2[HomeTeam], J$1)</f>
        <v>4</v>
      </c>
      <c r="K25" s="145">
        <f>SUMIFS(Table2[NewPointsAway],Table2[GameDate], "&lt;=" &amp; $A25, Table2[AwayTeam], K$1)+SUMIFS(Table2[NewPointsHome],Table2[GameDate], "&lt;=" &amp; $A25, Table2[HomeTeam], K$1)</f>
        <v>4</v>
      </c>
      <c r="L25" s="145">
        <f>SUMIFS(Table2[NewPointsAway],Table2[GameDate], "&lt;=" &amp; $A25, Table2[AwayTeam], L$1)+SUMIFS(Table2[NewPointsHome],Table2[GameDate], "&lt;=" &amp; $A25, Table2[HomeTeam], L$1)</f>
        <v>3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3</v>
      </c>
      <c r="O25" s="145">
        <f>SUMIFS(Table2[NewPointsAway],Table2[GameDate], "&lt;=" &amp; $A25, Table2[AwayTeam], O$1)+SUMIFS(Table2[NewPointsHome],Table2[GameDate], "&lt;=" &amp; $A25, Table2[HomeTeam], O$1)</f>
        <v>4</v>
      </c>
      <c r="P25" s="145">
        <f>SUMIFS(Table2[NewPointsAway],Table2[GameDate], "&lt;=" &amp; $A25, Table2[AwayTeam], P$1)+SUMIFS(Table2[NewPointsHome],Table2[GameDate], "&lt;=" &amp; $A25, Table2[HomeTeam], P$1)</f>
        <v>4</v>
      </c>
      <c r="Q25" s="145">
        <f>SUMIFS(Table2[NewPointsAway],Table2[GameDate], "&lt;=" &amp; $A25, Table2[AwayTeam], Q$1)+SUMIFS(Table2[NewPointsHome],Table2[GameDate], "&lt;=" &amp; $A25, Table2[HomeTeam], Q$1)</f>
        <v>4</v>
      </c>
      <c r="R25" s="145">
        <f>SUMIFS(Table2[NewPointsAway],Table2[GameDate], "&lt;=" &amp; $A25, Table2[AwayTeam], R$1)+SUMIFS(Table2[NewPointsHome],Table2[GameDate], "&lt;=" &amp; $A25, Table2[HomeTeam], R$1)</f>
        <v>5</v>
      </c>
      <c r="S25" s="145">
        <f>SUMIFS(Table2[NewPointsAway],Table2[GameDate], "&lt;=" &amp; $A25, Table2[AwayTeam], S$1)+SUMIFS(Table2[NewPointsHome],Table2[GameDate], "&lt;=" &amp; $A25, Table2[HomeTeam], S$1)</f>
        <v>0</v>
      </c>
      <c r="T25" s="145">
        <f>SUMIFS(Table2[NewPointsAway],Table2[GameDate], "&lt;=" &amp; $A25, Table2[AwayTeam], T$1)+SUMIFS(Table2[NewPointsHome],Table2[GameDate], "&lt;=" &amp; $A25, Table2[HomeTeam], T$1)</f>
        <v>4</v>
      </c>
      <c r="U25" s="145">
        <f>SUMIFS(Table2[NewPointsAway],Table2[GameDate], "&lt;=" &amp; $A25, Table2[AwayTeam], U$1)+SUMIFS(Table2[NewPointsHome],Table2[GameDate], "&lt;=" &amp; $A25, Table2[HomeTeam], U$1)</f>
        <v>2</v>
      </c>
      <c r="V25" s="145">
        <f>SUMIFS(Table2[NewPointsAway],Table2[GameDate], "&lt;=" &amp; $A25, Table2[AwayTeam], V$1)+SUMIFS(Table2[NewPointsHome],Table2[GameDate], "&lt;=" &amp; $A25, Table2[HomeTeam], V$1)</f>
        <v>3</v>
      </c>
      <c r="W25" s="145">
        <f>SUMIFS(Table2[NewPointsAway],Table2[GameDate], "&lt;=" &amp; $A25, Table2[AwayTeam], W$1)+SUMIFS(Table2[NewPointsHome],Table2[GameDate], "&lt;=" &amp; $A25, Table2[HomeTeam], W$1)</f>
        <v>4</v>
      </c>
      <c r="X25" s="145">
        <f>SUMIFS(Table2[NewPointsAway],Table2[GameDate], "&lt;=" &amp; $A25, Table2[AwayTeam], X$1)+SUMIFS(Table2[NewPointsHome],Table2[GameDate], "&lt;=" &amp; $A25, Table2[HomeTeam], X$1)</f>
        <v>4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4</v>
      </c>
      <c r="AA25" s="145">
        <f>SUMIFS(Table2[NewPointsAway],Table2[GameDate], "&lt;=" &amp; $A25, Table2[AwayTeam], AA$1)+SUMIFS(Table2[NewPointsHome],Table2[GameDate], "&lt;=" &amp; $A25, Table2[HomeTeam], AA$1)</f>
        <v>2</v>
      </c>
      <c r="AB25" s="145">
        <f>SUMIFS(Table2[NewPointsAway],Table2[GameDate], "&lt;=" &amp; $A25, Table2[AwayTeam], AB$1)+SUMIFS(Table2[NewPointsHome],Table2[GameDate], "&lt;=" &amp; $A25, Table2[HomeTeam], AB$1)</f>
        <v>2</v>
      </c>
      <c r="AC25" s="145">
        <f>SUMIFS(Table2[NewPointsAway],Table2[GameDate], "&lt;=" &amp; $A25, Table2[AwayTeam], AC$1)+SUMIFS(Table2[NewPointsHome],Table2[GameDate], "&lt;=" &amp; $A25, Table2[HomeTeam], AC$1)</f>
        <v>2</v>
      </c>
      <c r="AD25" s="145">
        <f>SUMIFS(Table2[NewPointsAway],Table2[GameDate], "&lt;=" &amp; $A25, Table2[AwayTeam], AD$1)+SUMIFS(Table2[NewPointsHome],Table2[GameDate], "&lt;=" &amp; $A25, Table2[HomeTeam], AD$1)</f>
        <v>2</v>
      </c>
      <c r="AE25" s="145">
        <f>SUMIFS(Table2[NewPointsAway],Table2[GameDate], "&lt;=" &amp; $A25, Table2[AwayTeam], AE$1)+SUMIFS(Table2[NewPointsHome],Table2[GameDate], "&lt;=" &amp; $A25, Table2[HomeTeam], AE$1)</f>
        <v>4</v>
      </c>
      <c r="AF25" s="145">
        <f>SUMIFS(Table2[NewPointsAway],Table2[GameDate], "&lt;=" &amp; $A25, Table2[AwayTeam], AF$1)+SUMIFS(Table2[NewPointsHome],Table2[GameDate], "&lt;=" &amp; $A25, Table2[HomeTeam], AF$1)</f>
        <v>4</v>
      </c>
      <c r="AG25" s="145">
        <f>SUMIFS(Table2[NewPointsAway],Table2[GameDate], "&lt;=" &amp; $A25, Table2[AwayTeam], AG$1)+SUMIFS(Table2[NewPointsHome],Table2[GameDate], "&lt;=" &amp; $A25, Table2[HomeTeam], AG$1)</f>
        <v>4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2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0</v>
      </c>
      <c r="E26" s="145">
        <f>SUMIFS(Table2[NewPointsAway],Table2[GameDate], "&lt;=" &amp; $A26, Table2[AwayTeam], E$1)+SUMIFS(Table2[NewPointsHome],Table2[GameDate], "&lt;=" &amp; $A26, Table2[HomeTeam], E$1)</f>
        <v>4</v>
      </c>
      <c r="F26" s="145">
        <f>SUMIFS(Table2[NewPointsAway],Table2[GameDate], "&lt;=" &amp; $A26, Table2[AwayTeam], F$1)+SUMIFS(Table2[NewPointsHome],Table2[GameDate], "&lt;=" &amp; $A26, Table2[HomeTeam], F$1)</f>
        <v>2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3</v>
      </c>
      <c r="I26" s="145">
        <f>SUMIFS(Table2[NewPointsAway],Table2[GameDate], "&lt;=" &amp; $A26, Table2[AwayTeam], I$1)+SUMIFS(Table2[NewPointsHome],Table2[GameDate], "&lt;=" &amp; $A26, Table2[HomeTeam], I$1)</f>
        <v>7</v>
      </c>
      <c r="J26" s="145">
        <f>SUMIFS(Table2[NewPointsAway],Table2[GameDate], "&lt;=" &amp; $A26, Table2[AwayTeam], J$1)+SUMIFS(Table2[NewPointsHome],Table2[GameDate], "&lt;=" &amp; $A26, Table2[HomeTeam], J$1)</f>
        <v>4</v>
      </c>
      <c r="K26" s="145">
        <f>SUMIFS(Table2[NewPointsAway],Table2[GameDate], "&lt;=" &amp; $A26, Table2[AwayTeam], K$1)+SUMIFS(Table2[NewPointsHome],Table2[GameDate], "&lt;=" &amp; $A26, Table2[HomeTeam], K$1)</f>
        <v>4</v>
      </c>
      <c r="L26" s="145">
        <f>SUMIFS(Table2[NewPointsAway],Table2[GameDate], "&lt;=" &amp; $A26, Table2[AwayTeam], L$1)+SUMIFS(Table2[NewPointsHome],Table2[GameDate], "&lt;=" &amp; $A26, Table2[HomeTeam], L$1)</f>
        <v>3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3</v>
      </c>
      <c r="O26" s="145">
        <f>SUMIFS(Table2[NewPointsAway],Table2[GameDate], "&lt;=" &amp; $A26, Table2[AwayTeam], O$1)+SUMIFS(Table2[NewPointsHome],Table2[GameDate], "&lt;=" &amp; $A26, Table2[HomeTeam], O$1)</f>
        <v>4</v>
      </c>
      <c r="P26" s="145">
        <f>SUMIFS(Table2[NewPointsAway],Table2[GameDate], "&lt;=" &amp; $A26, Table2[AwayTeam], P$1)+SUMIFS(Table2[NewPointsHome],Table2[GameDate], "&lt;=" &amp; $A26, Table2[HomeTeam], P$1)</f>
        <v>4</v>
      </c>
      <c r="Q26" s="145">
        <f>SUMIFS(Table2[NewPointsAway],Table2[GameDate], "&lt;=" &amp; $A26, Table2[AwayTeam], Q$1)+SUMIFS(Table2[NewPointsHome],Table2[GameDate], "&lt;=" &amp; $A26, Table2[HomeTeam], Q$1)</f>
        <v>4</v>
      </c>
      <c r="R26" s="145">
        <f>SUMIFS(Table2[NewPointsAway],Table2[GameDate], "&lt;=" &amp; $A26, Table2[AwayTeam], R$1)+SUMIFS(Table2[NewPointsHome],Table2[GameDate], "&lt;=" &amp; $A26, Table2[HomeTeam], R$1)</f>
        <v>5</v>
      </c>
      <c r="S26" s="145">
        <f>SUMIFS(Table2[NewPointsAway],Table2[GameDate], "&lt;=" &amp; $A26, Table2[AwayTeam], S$1)+SUMIFS(Table2[NewPointsHome],Table2[GameDate], "&lt;=" &amp; $A26, Table2[HomeTeam], S$1)</f>
        <v>0</v>
      </c>
      <c r="T26" s="145">
        <f>SUMIFS(Table2[NewPointsAway],Table2[GameDate], "&lt;=" &amp; $A26, Table2[AwayTeam], T$1)+SUMIFS(Table2[NewPointsHome],Table2[GameDate], "&lt;=" &amp; $A26, Table2[HomeTeam], T$1)</f>
        <v>4</v>
      </c>
      <c r="U26" s="145">
        <f>SUMIFS(Table2[NewPointsAway],Table2[GameDate], "&lt;=" &amp; $A26, Table2[AwayTeam], U$1)+SUMIFS(Table2[NewPointsHome],Table2[GameDate], "&lt;=" &amp; $A26, Table2[HomeTeam], U$1)</f>
        <v>2</v>
      </c>
      <c r="V26" s="145">
        <f>SUMIFS(Table2[NewPointsAway],Table2[GameDate], "&lt;=" &amp; $A26, Table2[AwayTeam], V$1)+SUMIFS(Table2[NewPointsHome],Table2[GameDate], "&lt;=" &amp; $A26, Table2[HomeTeam], V$1)</f>
        <v>3</v>
      </c>
      <c r="W26" s="145">
        <f>SUMIFS(Table2[NewPointsAway],Table2[GameDate], "&lt;=" &amp; $A26, Table2[AwayTeam], W$1)+SUMIFS(Table2[NewPointsHome],Table2[GameDate], "&lt;=" &amp; $A26, Table2[HomeTeam], W$1)</f>
        <v>4</v>
      </c>
      <c r="X26" s="145">
        <f>SUMIFS(Table2[NewPointsAway],Table2[GameDate], "&lt;=" &amp; $A26, Table2[AwayTeam], X$1)+SUMIFS(Table2[NewPointsHome],Table2[GameDate], "&lt;=" &amp; $A26, Table2[HomeTeam], X$1)</f>
        <v>4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4</v>
      </c>
      <c r="AA26" s="145">
        <f>SUMIFS(Table2[NewPointsAway],Table2[GameDate], "&lt;=" &amp; $A26, Table2[AwayTeam], AA$1)+SUMIFS(Table2[NewPointsHome],Table2[GameDate], "&lt;=" &amp; $A26, Table2[HomeTeam], AA$1)</f>
        <v>2</v>
      </c>
      <c r="AB26" s="145">
        <f>SUMIFS(Table2[NewPointsAway],Table2[GameDate], "&lt;=" &amp; $A26, Table2[AwayTeam], AB$1)+SUMIFS(Table2[NewPointsHome],Table2[GameDate], "&lt;=" &amp; $A26, Table2[HomeTeam], AB$1)</f>
        <v>2</v>
      </c>
      <c r="AC26" s="145">
        <f>SUMIFS(Table2[NewPointsAway],Table2[GameDate], "&lt;=" &amp; $A26, Table2[AwayTeam], AC$1)+SUMIFS(Table2[NewPointsHome],Table2[GameDate], "&lt;=" &amp; $A26, Table2[HomeTeam], AC$1)</f>
        <v>2</v>
      </c>
      <c r="AD26" s="145">
        <f>SUMIFS(Table2[NewPointsAway],Table2[GameDate], "&lt;=" &amp; $A26, Table2[AwayTeam], AD$1)+SUMIFS(Table2[NewPointsHome],Table2[GameDate], "&lt;=" &amp; $A26, Table2[HomeTeam], AD$1)</f>
        <v>2</v>
      </c>
      <c r="AE26" s="145">
        <f>SUMIFS(Table2[NewPointsAway],Table2[GameDate], "&lt;=" &amp; $A26, Table2[AwayTeam], AE$1)+SUMIFS(Table2[NewPointsHome],Table2[GameDate], "&lt;=" &amp; $A26, Table2[HomeTeam], AE$1)</f>
        <v>4</v>
      </c>
      <c r="AF26" s="145">
        <f>SUMIFS(Table2[NewPointsAway],Table2[GameDate], "&lt;=" &amp; $A26, Table2[AwayTeam], AF$1)+SUMIFS(Table2[NewPointsHome],Table2[GameDate], "&lt;=" &amp; $A26, Table2[HomeTeam], AF$1)</f>
        <v>4</v>
      </c>
      <c r="AG26" s="145">
        <f>SUMIFS(Table2[NewPointsAway],Table2[GameDate], "&lt;=" &amp; $A26, Table2[AwayTeam], AG$1)+SUMIFS(Table2[NewPointsHome],Table2[GameDate], "&lt;=" &amp; $A26, Table2[HomeTeam], AG$1)</f>
        <v>4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2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0</v>
      </c>
      <c r="E27" s="145">
        <f>SUMIFS(Table2[NewPointsAway],Table2[GameDate], "&lt;=" &amp; $A27, Table2[AwayTeam], E$1)+SUMIFS(Table2[NewPointsHome],Table2[GameDate], "&lt;=" &amp; $A27, Table2[HomeTeam], E$1)</f>
        <v>4</v>
      </c>
      <c r="F27" s="145">
        <f>SUMIFS(Table2[NewPointsAway],Table2[GameDate], "&lt;=" &amp; $A27, Table2[AwayTeam], F$1)+SUMIFS(Table2[NewPointsHome],Table2[GameDate], "&lt;=" &amp; $A27, Table2[HomeTeam], F$1)</f>
        <v>2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3</v>
      </c>
      <c r="I27" s="145">
        <f>SUMIFS(Table2[NewPointsAway],Table2[GameDate], "&lt;=" &amp; $A27, Table2[AwayTeam], I$1)+SUMIFS(Table2[NewPointsHome],Table2[GameDate], "&lt;=" &amp; $A27, Table2[HomeTeam], I$1)</f>
        <v>7</v>
      </c>
      <c r="J27" s="145">
        <f>SUMIFS(Table2[NewPointsAway],Table2[GameDate], "&lt;=" &amp; $A27, Table2[AwayTeam], J$1)+SUMIFS(Table2[NewPointsHome],Table2[GameDate], "&lt;=" &amp; $A27, Table2[HomeTeam], J$1)</f>
        <v>4</v>
      </c>
      <c r="K27" s="145">
        <f>SUMIFS(Table2[NewPointsAway],Table2[GameDate], "&lt;=" &amp; $A27, Table2[AwayTeam], K$1)+SUMIFS(Table2[NewPointsHome],Table2[GameDate], "&lt;=" &amp; $A27, Table2[HomeTeam], K$1)</f>
        <v>4</v>
      </c>
      <c r="L27" s="145">
        <f>SUMIFS(Table2[NewPointsAway],Table2[GameDate], "&lt;=" &amp; $A27, Table2[AwayTeam], L$1)+SUMIFS(Table2[NewPointsHome],Table2[GameDate], "&lt;=" &amp; $A27, Table2[HomeTeam], L$1)</f>
        <v>3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3</v>
      </c>
      <c r="O27" s="145">
        <f>SUMIFS(Table2[NewPointsAway],Table2[GameDate], "&lt;=" &amp; $A27, Table2[AwayTeam], O$1)+SUMIFS(Table2[NewPointsHome],Table2[GameDate], "&lt;=" &amp; $A27, Table2[HomeTeam], O$1)</f>
        <v>4</v>
      </c>
      <c r="P27" s="145">
        <f>SUMIFS(Table2[NewPointsAway],Table2[GameDate], "&lt;=" &amp; $A27, Table2[AwayTeam], P$1)+SUMIFS(Table2[NewPointsHome],Table2[GameDate], "&lt;=" &amp; $A27, Table2[HomeTeam], P$1)</f>
        <v>4</v>
      </c>
      <c r="Q27" s="145">
        <f>SUMIFS(Table2[NewPointsAway],Table2[GameDate], "&lt;=" &amp; $A27, Table2[AwayTeam], Q$1)+SUMIFS(Table2[NewPointsHome],Table2[GameDate], "&lt;=" &amp; $A27, Table2[HomeTeam], Q$1)</f>
        <v>4</v>
      </c>
      <c r="R27" s="145">
        <f>SUMIFS(Table2[NewPointsAway],Table2[GameDate], "&lt;=" &amp; $A27, Table2[AwayTeam], R$1)+SUMIFS(Table2[NewPointsHome],Table2[GameDate], "&lt;=" &amp; $A27, Table2[HomeTeam], R$1)</f>
        <v>5</v>
      </c>
      <c r="S27" s="145">
        <f>SUMIFS(Table2[NewPointsAway],Table2[GameDate], "&lt;=" &amp; $A27, Table2[AwayTeam], S$1)+SUMIFS(Table2[NewPointsHome],Table2[GameDate], "&lt;=" &amp; $A27, Table2[HomeTeam], S$1)</f>
        <v>0</v>
      </c>
      <c r="T27" s="145">
        <f>SUMIFS(Table2[NewPointsAway],Table2[GameDate], "&lt;=" &amp; $A27, Table2[AwayTeam], T$1)+SUMIFS(Table2[NewPointsHome],Table2[GameDate], "&lt;=" &amp; $A27, Table2[HomeTeam], T$1)</f>
        <v>4</v>
      </c>
      <c r="U27" s="145">
        <f>SUMIFS(Table2[NewPointsAway],Table2[GameDate], "&lt;=" &amp; $A27, Table2[AwayTeam], U$1)+SUMIFS(Table2[NewPointsHome],Table2[GameDate], "&lt;=" &amp; $A27, Table2[HomeTeam], U$1)</f>
        <v>2</v>
      </c>
      <c r="V27" s="145">
        <f>SUMIFS(Table2[NewPointsAway],Table2[GameDate], "&lt;=" &amp; $A27, Table2[AwayTeam], V$1)+SUMIFS(Table2[NewPointsHome],Table2[GameDate], "&lt;=" &amp; $A27, Table2[HomeTeam], V$1)</f>
        <v>3</v>
      </c>
      <c r="W27" s="145">
        <f>SUMIFS(Table2[NewPointsAway],Table2[GameDate], "&lt;=" &amp; $A27, Table2[AwayTeam], W$1)+SUMIFS(Table2[NewPointsHome],Table2[GameDate], "&lt;=" &amp; $A27, Table2[HomeTeam], W$1)</f>
        <v>4</v>
      </c>
      <c r="X27" s="145">
        <f>SUMIFS(Table2[NewPointsAway],Table2[GameDate], "&lt;=" &amp; $A27, Table2[AwayTeam], X$1)+SUMIFS(Table2[NewPointsHome],Table2[GameDate], "&lt;=" &amp; $A27, Table2[HomeTeam], X$1)</f>
        <v>4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4</v>
      </c>
      <c r="AA27" s="145">
        <f>SUMIFS(Table2[NewPointsAway],Table2[GameDate], "&lt;=" &amp; $A27, Table2[AwayTeam], AA$1)+SUMIFS(Table2[NewPointsHome],Table2[GameDate], "&lt;=" &amp; $A27, Table2[HomeTeam], AA$1)</f>
        <v>2</v>
      </c>
      <c r="AB27" s="145">
        <f>SUMIFS(Table2[NewPointsAway],Table2[GameDate], "&lt;=" &amp; $A27, Table2[AwayTeam], AB$1)+SUMIFS(Table2[NewPointsHome],Table2[GameDate], "&lt;=" &amp; $A27, Table2[HomeTeam], AB$1)</f>
        <v>2</v>
      </c>
      <c r="AC27" s="145">
        <f>SUMIFS(Table2[NewPointsAway],Table2[GameDate], "&lt;=" &amp; $A27, Table2[AwayTeam], AC$1)+SUMIFS(Table2[NewPointsHome],Table2[GameDate], "&lt;=" &amp; $A27, Table2[HomeTeam], AC$1)</f>
        <v>2</v>
      </c>
      <c r="AD27" s="145">
        <f>SUMIFS(Table2[NewPointsAway],Table2[GameDate], "&lt;=" &amp; $A27, Table2[AwayTeam], AD$1)+SUMIFS(Table2[NewPointsHome],Table2[GameDate], "&lt;=" &amp; $A27, Table2[HomeTeam], AD$1)</f>
        <v>2</v>
      </c>
      <c r="AE27" s="145">
        <f>SUMIFS(Table2[NewPointsAway],Table2[GameDate], "&lt;=" &amp; $A27, Table2[AwayTeam], AE$1)+SUMIFS(Table2[NewPointsHome],Table2[GameDate], "&lt;=" &amp; $A27, Table2[HomeTeam], AE$1)</f>
        <v>4</v>
      </c>
      <c r="AF27" s="145">
        <f>SUMIFS(Table2[NewPointsAway],Table2[GameDate], "&lt;=" &amp; $A27, Table2[AwayTeam], AF$1)+SUMIFS(Table2[NewPointsHome],Table2[GameDate], "&lt;=" &amp; $A27, Table2[HomeTeam], AF$1)</f>
        <v>4</v>
      </c>
      <c r="AG27" s="145">
        <f>SUMIFS(Table2[NewPointsAway],Table2[GameDate], "&lt;=" &amp; $A27, Table2[AwayTeam], AG$1)+SUMIFS(Table2[NewPointsHome],Table2[GameDate], "&lt;=" &amp; $A27, Table2[HomeTeam], AG$1)</f>
        <v>4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2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0</v>
      </c>
      <c r="E28" s="145">
        <f>SUMIFS(Table2[NewPointsAway],Table2[GameDate], "&lt;=" &amp; $A28, Table2[AwayTeam], E$1)+SUMIFS(Table2[NewPointsHome],Table2[GameDate], "&lt;=" &amp; $A28, Table2[HomeTeam], E$1)</f>
        <v>4</v>
      </c>
      <c r="F28" s="145">
        <f>SUMIFS(Table2[NewPointsAway],Table2[GameDate], "&lt;=" &amp; $A28, Table2[AwayTeam], F$1)+SUMIFS(Table2[NewPointsHome],Table2[GameDate], "&lt;=" &amp; $A28, Table2[HomeTeam], F$1)</f>
        <v>2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3</v>
      </c>
      <c r="I28" s="145">
        <f>SUMIFS(Table2[NewPointsAway],Table2[GameDate], "&lt;=" &amp; $A28, Table2[AwayTeam], I$1)+SUMIFS(Table2[NewPointsHome],Table2[GameDate], "&lt;=" &amp; $A28, Table2[HomeTeam], I$1)</f>
        <v>7</v>
      </c>
      <c r="J28" s="145">
        <f>SUMIFS(Table2[NewPointsAway],Table2[GameDate], "&lt;=" &amp; $A28, Table2[AwayTeam], J$1)+SUMIFS(Table2[NewPointsHome],Table2[GameDate], "&lt;=" &amp; $A28, Table2[HomeTeam], J$1)</f>
        <v>4</v>
      </c>
      <c r="K28" s="145">
        <f>SUMIFS(Table2[NewPointsAway],Table2[GameDate], "&lt;=" &amp; $A28, Table2[AwayTeam], K$1)+SUMIFS(Table2[NewPointsHome],Table2[GameDate], "&lt;=" &amp; $A28, Table2[HomeTeam], K$1)</f>
        <v>4</v>
      </c>
      <c r="L28" s="145">
        <f>SUMIFS(Table2[NewPointsAway],Table2[GameDate], "&lt;=" &amp; $A28, Table2[AwayTeam], L$1)+SUMIFS(Table2[NewPointsHome],Table2[GameDate], "&lt;=" &amp; $A28, Table2[HomeTeam], L$1)</f>
        <v>3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3</v>
      </c>
      <c r="O28" s="145">
        <f>SUMIFS(Table2[NewPointsAway],Table2[GameDate], "&lt;=" &amp; $A28, Table2[AwayTeam], O$1)+SUMIFS(Table2[NewPointsHome],Table2[GameDate], "&lt;=" &amp; $A28, Table2[HomeTeam], O$1)</f>
        <v>4</v>
      </c>
      <c r="P28" s="145">
        <f>SUMIFS(Table2[NewPointsAway],Table2[GameDate], "&lt;=" &amp; $A28, Table2[AwayTeam], P$1)+SUMIFS(Table2[NewPointsHome],Table2[GameDate], "&lt;=" &amp; $A28, Table2[HomeTeam], P$1)</f>
        <v>4</v>
      </c>
      <c r="Q28" s="145">
        <f>SUMIFS(Table2[NewPointsAway],Table2[GameDate], "&lt;=" &amp; $A28, Table2[AwayTeam], Q$1)+SUMIFS(Table2[NewPointsHome],Table2[GameDate], "&lt;=" &amp; $A28, Table2[HomeTeam], Q$1)</f>
        <v>4</v>
      </c>
      <c r="R28" s="145">
        <f>SUMIFS(Table2[NewPointsAway],Table2[GameDate], "&lt;=" &amp; $A28, Table2[AwayTeam], R$1)+SUMIFS(Table2[NewPointsHome],Table2[GameDate], "&lt;=" &amp; $A28, Table2[HomeTeam], R$1)</f>
        <v>5</v>
      </c>
      <c r="S28" s="145">
        <f>SUMIFS(Table2[NewPointsAway],Table2[GameDate], "&lt;=" &amp; $A28, Table2[AwayTeam], S$1)+SUMIFS(Table2[NewPointsHome],Table2[GameDate], "&lt;=" &amp; $A28, Table2[HomeTeam], S$1)</f>
        <v>0</v>
      </c>
      <c r="T28" s="145">
        <f>SUMIFS(Table2[NewPointsAway],Table2[GameDate], "&lt;=" &amp; $A28, Table2[AwayTeam], T$1)+SUMIFS(Table2[NewPointsHome],Table2[GameDate], "&lt;=" &amp; $A28, Table2[HomeTeam], T$1)</f>
        <v>4</v>
      </c>
      <c r="U28" s="145">
        <f>SUMIFS(Table2[NewPointsAway],Table2[GameDate], "&lt;=" &amp; $A28, Table2[AwayTeam], U$1)+SUMIFS(Table2[NewPointsHome],Table2[GameDate], "&lt;=" &amp; $A28, Table2[HomeTeam], U$1)</f>
        <v>2</v>
      </c>
      <c r="V28" s="145">
        <f>SUMIFS(Table2[NewPointsAway],Table2[GameDate], "&lt;=" &amp; $A28, Table2[AwayTeam], V$1)+SUMIFS(Table2[NewPointsHome],Table2[GameDate], "&lt;=" &amp; $A28, Table2[HomeTeam], V$1)</f>
        <v>3</v>
      </c>
      <c r="W28" s="145">
        <f>SUMIFS(Table2[NewPointsAway],Table2[GameDate], "&lt;=" &amp; $A28, Table2[AwayTeam], W$1)+SUMIFS(Table2[NewPointsHome],Table2[GameDate], "&lt;=" &amp; $A28, Table2[HomeTeam], W$1)</f>
        <v>4</v>
      </c>
      <c r="X28" s="145">
        <f>SUMIFS(Table2[NewPointsAway],Table2[GameDate], "&lt;=" &amp; $A28, Table2[AwayTeam], X$1)+SUMIFS(Table2[NewPointsHome],Table2[GameDate], "&lt;=" &amp; $A28, Table2[HomeTeam], X$1)</f>
        <v>4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4</v>
      </c>
      <c r="AA28" s="145">
        <f>SUMIFS(Table2[NewPointsAway],Table2[GameDate], "&lt;=" &amp; $A28, Table2[AwayTeam], AA$1)+SUMIFS(Table2[NewPointsHome],Table2[GameDate], "&lt;=" &amp; $A28, Table2[HomeTeam], AA$1)</f>
        <v>2</v>
      </c>
      <c r="AB28" s="145">
        <f>SUMIFS(Table2[NewPointsAway],Table2[GameDate], "&lt;=" &amp; $A28, Table2[AwayTeam], AB$1)+SUMIFS(Table2[NewPointsHome],Table2[GameDate], "&lt;=" &amp; $A28, Table2[HomeTeam], AB$1)</f>
        <v>2</v>
      </c>
      <c r="AC28" s="145">
        <f>SUMIFS(Table2[NewPointsAway],Table2[GameDate], "&lt;=" &amp; $A28, Table2[AwayTeam], AC$1)+SUMIFS(Table2[NewPointsHome],Table2[GameDate], "&lt;=" &amp; $A28, Table2[HomeTeam], AC$1)</f>
        <v>2</v>
      </c>
      <c r="AD28" s="145">
        <f>SUMIFS(Table2[NewPointsAway],Table2[GameDate], "&lt;=" &amp; $A28, Table2[AwayTeam], AD$1)+SUMIFS(Table2[NewPointsHome],Table2[GameDate], "&lt;=" &amp; $A28, Table2[HomeTeam], AD$1)</f>
        <v>2</v>
      </c>
      <c r="AE28" s="145">
        <f>SUMIFS(Table2[NewPointsAway],Table2[GameDate], "&lt;=" &amp; $A28, Table2[AwayTeam], AE$1)+SUMIFS(Table2[NewPointsHome],Table2[GameDate], "&lt;=" &amp; $A28, Table2[HomeTeam], AE$1)</f>
        <v>4</v>
      </c>
      <c r="AF28" s="145">
        <f>SUMIFS(Table2[NewPointsAway],Table2[GameDate], "&lt;=" &amp; $A28, Table2[AwayTeam], AF$1)+SUMIFS(Table2[NewPointsHome],Table2[GameDate], "&lt;=" &amp; $A28, Table2[HomeTeam], AF$1)</f>
        <v>4</v>
      </c>
      <c r="AG28" s="145">
        <f>SUMIFS(Table2[NewPointsAway],Table2[GameDate], "&lt;=" &amp; $A28, Table2[AwayTeam], AG$1)+SUMIFS(Table2[NewPointsHome],Table2[GameDate], "&lt;=" &amp; $A28, Table2[HomeTeam], AG$1)</f>
        <v>4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2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0</v>
      </c>
      <c r="E29" s="145">
        <f>SUMIFS(Table2[NewPointsAway],Table2[GameDate], "&lt;=" &amp; $A29, Table2[AwayTeam], E$1)+SUMIFS(Table2[NewPointsHome],Table2[GameDate], "&lt;=" &amp; $A29, Table2[HomeTeam], E$1)</f>
        <v>4</v>
      </c>
      <c r="F29" s="145">
        <f>SUMIFS(Table2[NewPointsAway],Table2[GameDate], "&lt;=" &amp; $A29, Table2[AwayTeam], F$1)+SUMIFS(Table2[NewPointsHome],Table2[GameDate], "&lt;=" &amp; $A29, Table2[HomeTeam], F$1)</f>
        <v>2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3</v>
      </c>
      <c r="I29" s="145">
        <f>SUMIFS(Table2[NewPointsAway],Table2[GameDate], "&lt;=" &amp; $A29, Table2[AwayTeam], I$1)+SUMIFS(Table2[NewPointsHome],Table2[GameDate], "&lt;=" &amp; $A29, Table2[HomeTeam], I$1)</f>
        <v>7</v>
      </c>
      <c r="J29" s="145">
        <f>SUMIFS(Table2[NewPointsAway],Table2[GameDate], "&lt;=" &amp; $A29, Table2[AwayTeam], J$1)+SUMIFS(Table2[NewPointsHome],Table2[GameDate], "&lt;=" &amp; $A29, Table2[HomeTeam], J$1)</f>
        <v>4</v>
      </c>
      <c r="K29" s="145">
        <f>SUMIFS(Table2[NewPointsAway],Table2[GameDate], "&lt;=" &amp; $A29, Table2[AwayTeam], K$1)+SUMIFS(Table2[NewPointsHome],Table2[GameDate], "&lt;=" &amp; $A29, Table2[HomeTeam], K$1)</f>
        <v>4</v>
      </c>
      <c r="L29" s="145">
        <f>SUMIFS(Table2[NewPointsAway],Table2[GameDate], "&lt;=" &amp; $A29, Table2[AwayTeam], L$1)+SUMIFS(Table2[NewPointsHome],Table2[GameDate], "&lt;=" &amp; $A29, Table2[HomeTeam], L$1)</f>
        <v>3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3</v>
      </c>
      <c r="O29" s="145">
        <f>SUMIFS(Table2[NewPointsAway],Table2[GameDate], "&lt;=" &amp; $A29, Table2[AwayTeam], O$1)+SUMIFS(Table2[NewPointsHome],Table2[GameDate], "&lt;=" &amp; $A29, Table2[HomeTeam], O$1)</f>
        <v>4</v>
      </c>
      <c r="P29" s="145">
        <f>SUMIFS(Table2[NewPointsAway],Table2[GameDate], "&lt;=" &amp; $A29, Table2[AwayTeam], P$1)+SUMIFS(Table2[NewPointsHome],Table2[GameDate], "&lt;=" &amp; $A29, Table2[HomeTeam], P$1)</f>
        <v>4</v>
      </c>
      <c r="Q29" s="145">
        <f>SUMIFS(Table2[NewPointsAway],Table2[GameDate], "&lt;=" &amp; $A29, Table2[AwayTeam], Q$1)+SUMIFS(Table2[NewPointsHome],Table2[GameDate], "&lt;=" &amp; $A29, Table2[HomeTeam], Q$1)</f>
        <v>4</v>
      </c>
      <c r="R29" s="145">
        <f>SUMIFS(Table2[NewPointsAway],Table2[GameDate], "&lt;=" &amp; $A29, Table2[AwayTeam], R$1)+SUMIFS(Table2[NewPointsHome],Table2[GameDate], "&lt;=" &amp; $A29, Table2[HomeTeam], R$1)</f>
        <v>5</v>
      </c>
      <c r="S29" s="145">
        <f>SUMIFS(Table2[NewPointsAway],Table2[GameDate], "&lt;=" &amp; $A29, Table2[AwayTeam], S$1)+SUMIFS(Table2[NewPointsHome],Table2[GameDate], "&lt;=" &amp; $A29, Table2[HomeTeam], S$1)</f>
        <v>0</v>
      </c>
      <c r="T29" s="145">
        <f>SUMIFS(Table2[NewPointsAway],Table2[GameDate], "&lt;=" &amp; $A29, Table2[AwayTeam], T$1)+SUMIFS(Table2[NewPointsHome],Table2[GameDate], "&lt;=" &amp; $A29, Table2[HomeTeam], T$1)</f>
        <v>4</v>
      </c>
      <c r="U29" s="145">
        <f>SUMIFS(Table2[NewPointsAway],Table2[GameDate], "&lt;=" &amp; $A29, Table2[AwayTeam], U$1)+SUMIFS(Table2[NewPointsHome],Table2[GameDate], "&lt;=" &amp; $A29, Table2[HomeTeam], U$1)</f>
        <v>2</v>
      </c>
      <c r="V29" s="145">
        <f>SUMIFS(Table2[NewPointsAway],Table2[GameDate], "&lt;=" &amp; $A29, Table2[AwayTeam], V$1)+SUMIFS(Table2[NewPointsHome],Table2[GameDate], "&lt;=" &amp; $A29, Table2[HomeTeam], V$1)</f>
        <v>3</v>
      </c>
      <c r="W29" s="145">
        <f>SUMIFS(Table2[NewPointsAway],Table2[GameDate], "&lt;=" &amp; $A29, Table2[AwayTeam], W$1)+SUMIFS(Table2[NewPointsHome],Table2[GameDate], "&lt;=" &amp; $A29, Table2[HomeTeam], W$1)</f>
        <v>4</v>
      </c>
      <c r="X29" s="145">
        <f>SUMIFS(Table2[NewPointsAway],Table2[GameDate], "&lt;=" &amp; $A29, Table2[AwayTeam], X$1)+SUMIFS(Table2[NewPointsHome],Table2[GameDate], "&lt;=" &amp; $A29, Table2[HomeTeam], X$1)</f>
        <v>4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4</v>
      </c>
      <c r="AA29" s="145">
        <f>SUMIFS(Table2[NewPointsAway],Table2[GameDate], "&lt;=" &amp; $A29, Table2[AwayTeam], AA$1)+SUMIFS(Table2[NewPointsHome],Table2[GameDate], "&lt;=" &amp; $A29, Table2[HomeTeam], AA$1)</f>
        <v>2</v>
      </c>
      <c r="AB29" s="145">
        <f>SUMIFS(Table2[NewPointsAway],Table2[GameDate], "&lt;=" &amp; $A29, Table2[AwayTeam], AB$1)+SUMIFS(Table2[NewPointsHome],Table2[GameDate], "&lt;=" &amp; $A29, Table2[HomeTeam], AB$1)</f>
        <v>2</v>
      </c>
      <c r="AC29" s="145">
        <f>SUMIFS(Table2[NewPointsAway],Table2[GameDate], "&lt;=" &amp; $A29, Table2[AwayTeam], AC$1)+SUMIFS(Table2[NewPointsHome],Table2[GameDate], "&lt;=" &amp; $A29, Table2[HomeTeam], AC$1)</f>
        <v>2</v>
      </c>
      <c r="AD29" s="145">
        <f>SUMIFS(Table2[NewPointsAway],Table2[GameDate], "&lt;=" &amp; $A29, Table2[AwayTeam], AD$1)+SUMIFS(Table2[NewPointsHome],Table2[GameDate], "&lt;=" &amp; $A29, Table2[HomeTeam], AD$1)</f>
        <v>2</v>
      </c>
      <c r="AE29" s="145">
        <f>SUMIFS(Table2[NewPointsAway],Table2[GameDate], "&lt;=" &amp; $A29, Table2[AwayTeam], AE$1)+SUMIFS(Table2[NewPointsHome],Table2[GameDate], "&lt;=" &amp; $A29, Table2[HomeTeam], AE$1)</f>
        <v>4</v>
      </c>
      <c r="AF29" s="145">
        <f>SUMIFS(Table2[NewPointsAway],Table2[GameDate], "&lt;=" &amp; $A29, Table2[AwayTeam], AF$1)+SUMIFS(Table2[NewPointsHome],Table2[GameDate], "&lt;=" &amp; $A29, Table2[HomeTeam], AF$1)</f>
        <v>4</v>
      </c>
      <c r="AG29" s="145">
        <f>SUMIFS(Table2[NewPointsAway],Table2[GameDate], "&lt;=" &amp; $A29, Table2[AwayTeam], AG$1)+SUMIFS(Table2[NewPointsHome],Table2[GameDate], "&lt;=" &amp; $A29, Table2[HomeTeam], AG$1)</f>
        <v>4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2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0</v>
      </c>
      <c r="E30" s="145">
        <f>SUMIFS(Table2[NewPointsAway],Table2[GameDate], "&lt;=" &amp; $A30, Table2[AwayTeam], E$1)+SUMIFS(Table2[NewPointsHome],Table2[GameDate], "&lt;=" &amp; $A30, Table2[HomeTeam], E$1)</f>
        <v>4</v>
      </c>
      <c r="F30" s="145">
        <f>SUMIFS(Table2[NewPointsAway],Table2[GameDate], "&lt;=" &amp; $A30, Table2[AwayTeam], F$1)+SUMIFS(Table2[NewPointsHome],Table2[GameDate], "&lt;=" &amp; $A30, Table2[HomeTeam], F$1)</f>
        <v>2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3</v>
      </c>
      <c r="I30" s="145">
        <f>SUMIFS(Table2[NewPointsAway],Table2[GameDate], "&lt;=" &amp; $A30, Table2[AwayTeam], I$1)+SUMIFS(Table2[NewPointsHome],Table2[GameDate], "&lt;=" &amp; $A30, Table2[HomeTeam], I$1)</f>
        <v>7</v>
      </c>
      <c r="J30" s="145">
        <f>SUMIFS(Table2[NewPointsAway],Table2[GameDate], "&lt;=" &amp; $A30, Table2[AwayTeam], J$1)+SUMIFS(Table2[NewPointsHome],Table2[GameDate], "&lt;=" &amp; $A30, Table2[HomeTeam], J$1)</f>
        <v>4</v>
      </c>
      <c r="K30" s="145">
        <f>SUMIFS(Table2[NewPointsAway],Table2[GameDate], "&lt;=" &amp; $A30, Table2[AwayTeam], K$1)+SUMIFS(Table2[NewPointsHome],Table2[GameDate], "&lt;=" &amp; $A30, Table2[HomeTeam], K$1)</f>
        <v>4</v>
      </c>
      <c r="L30" s="145">
        <f>SUMIFS(Table2[NewPointsAway],Table2[GameDate], "&lt;=" &amp; $A30, Table2[AwayTeam], L$1)+SUMIFS(Table2[NewPointsHome],Table2[GameDate], "&lt;=" &amp; $A30, Table2[HomeTeam], L$1)</f>
        <v>3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3</v>
      </c>
      <c r="O30" s="145">
        <f>SUMIFS(Table2[NewPointsAway],Table2[GameDate], "&lt;=" &amp; $A30, Table2[AwayTeam], O$1)+SUMIFS(Table2[NewPointsHome],Table2[GameDate], "&lt;=" &amp; $A30, Table2[HomeTeam], O$1)</f>
        <v>4</v>
      </c>
      <c r="P30" s="145">
        <f>SUMIFS(Table2[NewPointsAway],Table2[GameDate], "&lt;=" &amp; $A30, Table2[AwayTeam], P$1)+SUMIFS(Table2[NewPointsHome],Table2[GameDate], "&lt;=" &amp; $A30, Table2[HomeTeam], P$1)</f>
        <v>4</v>
      </c>
      <c r="Q30" s="145">
        <f>SUMIFS(Table2[NewPointsAway],Table2[GameDate], "&lt;=" &amp; $A30, Table2[AwayTeam], Q$1)+SUMIFS(Table2[NewPointsHome],Table2[GameDate], "&lt;=" &amp; $A30, Table2[HomeTeam], Q$1)</f>
        <v>4</v>
      </c>
      <c r="R30" s="145">
        <f>SUMIFS(Table2[NewPointsAway],Table2[GameDate], "&lt;=" &amp; $A30, Table2[AwayTeam], R$1)+SUMIFS(Table2[NewPointsHome],Table2[GameDate], "&lt;=" &amp; $A30, Table2[HomeTeam], R$1)</f>
        <v>5</v>
      </c>
      <c r="S30" s="145">
        <f>SUMIFS(Table2[NewPointsAway],Table2[GameDate], "&lt;=" &amp; $A30, Table2[AwayTeam], S$1)+SUMIFS(Table2[NewPointsHome],Table2[GameDate], "&lt;=" &amp; $A30, Table2[HomeTeam], S$1)</f>
        <v>0</v>
      </c>
      <c r="T30" s="145">
        <f>SUMIFS(Table2[NewPointsAway],Table2[GameDate], "&lt;=" &amp; $A30, Table2[AwayTeam], T$1)+SUMIFS(Table2[NewPointsHome],Table2[GameDate], "&lt;=" &amp; $A30, Table2[HomeTeam], T$1)</f>
        <v>4</v>
      </c>
      <c r="U30" s="145">
        <f>SUMIFS(Table2[NewPointsAway],Table2[GameDate], "&lt;=" &amp; $A30, Table2[AwayTeam], U$1)+SUMIFS(Table2[NewPointsHome],Table2[GameDate], "&lt;=" &amp; $A30, Table2[HomeTeam], U$1)</f>
        <v>2</v>
      </c>
      <c r="V30" s="145">
        <f>SUMIFS(Table2[NewPointsAway],Table2[GameDate], "&lt;=" &amp; $A30, Table2[AwayTeam], V$1)+SUMIFS(Table2[NewPointsHome],Table2[GameDate], "&lt;=" &amp; $A30, Table2[HomeTeam], V$1)</f>
        <v>3</v>
      </c>
      <c r="W30" s="145">
        <f>SUMIFS(Table2[NewPointsAway],Table2[GameDate], "&lt;=" &amp; $A30, Table2[AwayTeam], W$1)+SUMIFS(Table2[NewPointsHome],Table2[GameDate], "&lt;=" &amp; $A30, Table2[HomeTeam], W$1)</f>
        <v>4</v>
      </c>
      <c r="X30" s="145">
        <f>SUMIFS(Table2[NewPointsAway],Table2[GameDate], "&lt;=" &amp; $A30, Table2[AwayTeam], X$1)+SUMIFS(Table2[NewPointsHome],Table2[GameDate], "&lt;=" &amp; $A30, Table2[HomeTeam], X$1)</f>
        <v>4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4</v>
      </c>
      <c r="AA30" s="145">
        <f>SUMIFS(Table2[NewPointsAway],Table2[GameDate], "&lt;=" &amp; $A30, Table2[AwayTeam], AA$1)+SUMIFS(Table2[NewPointsHome],Table2[GameDate], "&lt;=" &amp; $A30, Table2[HomeTeam], AA$1)</f>
        <v>2</v>
      </c>
      <c r="AB30" s="145">
        <f>SUMIFS(Table2[NewPointsAway],Table2[GameDate], "&lt;=" &amp; $A30, Table2[AwayTeam], AB$1)+SUMIFS(Table2[NewPointsHome],Table2[GameDate], "&lt;=" &amp; $A30, Table2[HomeTeam], AB$1)</f>
        <v>2</v>
      </c>
      <c r="AC30" s="145">
        <f>SUMIFS(Table2[NewPointsAway],Table2[GameDate], "&lt;=" &amp; $A30, Table2[AwayTeam], AC$1)+SUMIFS(Table2[NewPointsHome],Table2[GameDate], "&lt;=" &amp; $A30, Table2[HomeTeam], AC$1)</f>
        <v>2</v>
      </c>
      <c r="AD30" s="145">
        <f>SUMIFS(Table2[NewPointsAway],Table2[GameDate], "&lt;=" &amp; $A30, Table2[AwayTeam], AD$1)+SUMIFS(Table2[NewPointsHome],Table2[GameDate], "&lt;=" &amp; $A30, Table2[HomeTeam], AD$1)</f>
        <v>2</v>
      </c>
      <c r="AE30" s="145">
        <f>SUMIFS(Table2[NewPointsAway],Table2[GameDate], "&lt;=" &amp; $A30, Table2[AwayTeam], AE$1)+SUMIFS(Table2[NewPointsHome],Table2[GameDate], "&lt;=" &amp; $A30, Table2[HomeTeam], AE$1)</f>
        <v>4</v>
      </c>
      <c r="AF30" s="145">
        <f>SUMIFS(Table2[NewPointsAway],Table2[GameDate], "&lt;=" &amp; $A30, Table2[AwayTeam], AF$1)+SUMIFS(Table2[NewPointsHome],Table2[GameDate], "&lt;=" &amp; $A30, Table2[HomeTeam], AF$1)</f>
        <v>4</v>
      </c>
      <c r="AG30" s="145">
        <f>SUMIFS(Table2[NewPointsAway],Table2[GameDate], "&lt;=" &amp; $A30, Table2[AwayTeam], AG$1)+SUMIFS(Table2[NewPointsHome],Table2[GameDate], "&lt;=" &amp; $A30, Table2[HomeTeam], AG$1)</f>
        <v>4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2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0</v>
      </c>
      <c r="E31" s="145">
        <f>SUMIFS(Table2[NewPointsAway],Table2[GameDate], "&lt;=" &amp; $A31, Table2[AwayTeam], E$1)+SUMIFS(Table2[NewPointsHome],Table2[GameDate], "&lt;=" &amp; $A31, Table2[HomeTeam], E$1)</f>
        <v>4</v>
      </c>
      <c r="F31" s="145">
        <f>SUMIFS(Table2[NewPointsAway],Table2[GameDate], "&lt;=" &amp; $A31, Table2[AwayTeam], F$1)+SUMIFS(Table2[NewPointsHome],Table2[GameDate], "&lt;=" &amp; $A31, Table2[HomeTeam], F$1)</f>
        <v>2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3</v>
      </c>
      <c r="I31" s="145">
        <f>SUMIFS(Table2[NewPointsAway],Table2[GameDate], "&lt;=" &amp; $A31, Table2[AwayTeam], I$1)+SUMIFS(Table2[NewPointsHome],Table2[GameDate], "&lt;=" &amp; $A31, Table2[HomeTeam], I$1)</f>
        <v>7</v>
      </c>
      <c r="J31" s="145">
        <f>SUMIFS(Table2[NewPointsAway],Table2[GameDate], "&lt;=" &amp; $A31, Table2[AwayTeam], J$1)+SUMIFS(Table2[NewPointsHome],Table2[GameDate], "&lt;=" &amp; $A31, Table2[HomeTeam], J$1)</f>
        <v>4</v>
      </c>
      <c r="K31" s="145">
        <f>SUMIFS(Table2[NewPointsAway],Table2[GameDate], "&lt;=" &amp; $A31, Table2[AwayTeam], K$1)+SUMIFS(Table2[NewPointsHome],Table2[GameDate], "&lt;=" &amp; $A31, Table2[HomeTeam], K$1)</f>
        <v>4</v>
      </c>
      <c r="L31" s="145">
        <f>SUMIFS(Table2[NewPointsAway],Table2[GameDate], "&lt;=" &amp; $A31, Table2[AwayTeam], L$1)+SUMIFS(Table2[NewPointsHome],Table2[GameDate], "&lt;=" &amp; $A31, Table2[HomeTeam], L$1)</f>
        <v>3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3</v>
      </c>
      <c r="O31" s="145">
        <f>SUMIFS(Table2[NewPointsAway],Table2[GameDate], "&lt;=" &amp; $A31, Table2[AwayTeam], O$1)+SUMIFS(Table2[NewPointsHome],Table2[GameDate], "&lt;=" &amp; $A31, Table2[HomeTeam], O$1)</f>
        <v>4</v>
      </c>
      <c r="P31" s="145">
        <f>SUMIFS(Table2[NewPointsAway],Table2[GameDate], "&lt;=" &amp; $A31, Table2[AwayTeam], P$1)+SUMIFS(Table2[NewPointsHome],Table2[GameDate], "&lt;=" &amp; $A31, Table2[HomeTeam], P$1)</f>
        <v>4</v>
      </c>
      <c r="Q31" s="145">
        <f>SUMIFS(Table2[NewPointsAway],Table2[GameDate], "&lt;=" &amp; $A31, Table2[AwayTeam], Q$1)+SUMIFS(Table2[NewPointsHome],Table2[GameDate], "&lt;=" &amp; $A31, Table2[HomeTeam], Q$1)</f>
        <v>4</v>
      </c>
      <c r="R31" s="145">
        <f>SUMIFS(Table2[NewPointsAway],Table2[GameDate], "&lt;=" &amp; $A31, Table2[AwayTeam], R$1)+SUMIFS(Table2[NewPointsHome],Table2[GameDate], "&lt;=" &amp; $A31, Table2[HomeTeam], R$1)</f>
        <v>5</v>
      </c>
      <c r="S31" s="145">
        <f>SUMIFS(Table2[NewPointsAway],Table2[GameDate], "&lt;=" &amp; $A31, Table2[AwayTeam], S$1)+SUMIFS(Table2[NewPointsHome],Table2[GameDate], "&lt;=" &amp; $A31, Table2[HomeTeam], S$1)</f>
        <v>0</v>
      </c>
      <c r="T31" s="145">
        <f>SUMIFS(Table2[NewPointsAway],Table2[GameDate], "&lt;=" &amp; $A31, Table2[AwayTeam], T$1)+SUMIFS(Table2[NewPointsHome],Table2[GameDate], "&lt;=" &amp; $A31, Table2[HomeTeam], T$1)</f>
        <v>4</v>
      </c>
      <c r="U31" s="145">
        <f>SUMIFS(Table2[NewPointsAway],Table2[GameDate], "&lt;=" &amp; $A31, Table2[AwayTeam], U$1)+SUMIFS(Table2[NewPointsHome],Table2[GameDate], "&lt;=" &amp; $A31, Table2[HomeTeam], U$1)</f>
        <v>2</v>
      </c>
      <c r="V31" s="145">
        <f>SUMIFS(Table2[NewPointsAway],Table2[GameDate], "&lt;=" &amp; $A31, Table2[AwayTeam], V$1)+SUMIFS(Table2[NewPointsHome],Table2[GameDate], "&lt;=" &amp; $A31, Table2[HomeTeam], V$1)</f>
        <v>3</v>
      </c>
      <c r="W31" s="145">
        <f>SUMIFS(Table2[NewPointsAway],Table2[GameDate], "&lt;=" &amp; $A31, Table2[AwayTeam], W$1)+SUMIFS(Table2[NewPointsHome],Table2[GameDate], "&lt;=" &amp; $A31, Table2[HomeTeam], W$1)</f>
        <v>4</v>
      </c>
      <c r="X31" s="145">
        <f>SUMIFS(Table2[NewPointsAway],Table2[GameDate], "&lt;=" &amp; $A31, Table2[AwayTeam], X$1)+SUMIFS(Table2[NewPointsHome],Table2[GameDate], "&lt;=" &amp; $A31, Table2[HomeTeam], X$1)</f>
        <v>4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4</v>
      </c>
      <c r="AA31" s="145">
        <f>SUMIFS(Table2[NewPointsAway],Table2[GameDate], "&lt;=" &amp; $A31, Table2[AwayTeam], AA$1)+SUMIFS(Table2[NewPointsHome],Table2[GameDate], "&lt;=" &amp; $A31, Table2[HomeTeam], AA$1)</f>
        <v>2</v>
      </c>
      <c r="AB31" s="145">
        <f>SUMIFS(Table2[NewPointsAway],Table2[GameDate], "&lt;=" &amp; $A31, Table2[AwayTeam], AB$1)+SUMIFS(Table2[NewPointsHome],Table2[GameDate], "&lt;=" &amp; $A31, Table2[HomeTeam], AB$1)</f>
        <v>2</v>
      </c>
      <c r="AC31" s="145">
        <f>SUMIFS(Table2[NewPointsAway],Table2[GameDate], "&lt;=" &amp; $A31, Table2[AwayTeam], AC$1)+SUMIFS(Table2[NewPointsHome],Table2[GameDate], "&lt;=" &amp; $A31, Table2[HomeTeam], AC$1)</f>
        <v>2</v>
      </c>
      <c r="AD31" s="145">
        <f>SUMIFS(Table2[NewPointsAway],Table2[GameDate], "&lt;=" &amp; $A31, Table2[AwayTeam], AD$1)+SUMIFS(Table2[NewPointsHome],Table2[GameDate], "&lt;=" &amp; $A31, Table2[HomeTeam], AD$1)</f>
        <v>2</v>
      </c>
      <c r="AE31" s="145">
        <f>SUMIFS(Table2[NewPointsAway],Table2[GameDate], "&lt;=" &amp; $A31, Table2[AwayTeam], AE$1)+SUMIFS(Table2[NewPointsHome],Table2[GameDate], "&lt;=" &amp; $A31, Table2[HomeTeam], AE$1)</f>
        <v>4</v>
      </c>
      <c r="AF31" s="145">
        <f>SUMIFS(Table2[NewPointsAway],Table2[GameDate], "&lt;=" &amp; $A31, Table2[AwayTeam], AF$1)+SUMIFS(Table2[NewPointsHome],Table2[GameDate], "&lt;=" &amp; $A31, Table2[HomeTeam], AF$1)</f>
        <v>4</v>
      </c>
      <c r="AG31" s="145">
        <f>SUMIFS(Table2[NewPointsAway],Table2[GameDate], "&lt;=" &amp; $A31, Table2[AwayTeam], AG$1)+SUMIFS(Table2[NewPointsHome],Table2[GameDate], "&lt;=" &amp; $A31, Table2[HomeTeam], AG$1)</f>
        <v>4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2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0</v>
      </c>
      <c r="E32" s="145">
        <f>SUMIFS(Table2[NewPointsAway],Table2[GameDate], "&lt;=" &amp; $A32, Table2[AwayTeam], E$1)+SUMIFS(Table2[NewPointsHome],Table2[GameDate], "&lt;=" &amp; $A32, Table2[HomeTeam], E$1)</f>
        <v>4</v>
      </c>
      <c r="F32" s="145">
        <f>SUMIFS(Table2[NewPointsAway],Table2[GameDate], "&lt;=" &amp; $A32, Table2[AwayTeam], F$1)+SUMIFS(Table2[NewPointsHome],Table2[GameDate], "&lt;=" &amp; $A32, Table2[HomeTeam], F$1)</f>
        <v>2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3</v>
      </c>
      <c r="I32" s="145">
        <f>SUMIFS(Table2[NewPointsAway],Table2[GameDate], "&lt;=" &amp; $A32, Table2[AwayTeam], I$1)+SUMIFS(Table2[NewPointsHome],Table2[GameDate], "&lt;=" &amp; $A32, Table2[HomeTeam], I$1)</f>
        <v>7</v>
      </c>
      <c r="J32" s="145">
        <f>SUMIFS(Table2[NewPointsAway],Table2[GameDate], "&lt;=" &amp; $A32, Table2[AwayTeam], J$1)+SUMIFS(Table2[NewPointsHome],Table2[GameDate], "&lt;=" &amp; $A32, Table2[HomeTeam], J$1)</f>
        <v>4</v>
      </c>
      <c r="K32" s="145">
        <f>SUMIFS(Table2[NewPointsAway],Table2[GameDate], "&lt;=" &amp; $A32, Table2[AwayTeam], K$1)+SUMIFS(Table2[NewPointsHome],Table2[GameDate], "&lt;=" &amp; $A32, Table2[HomeTeam], K$1)</f>
        <v>4</v>
      </c>
      <c r="L32" s="145">
        <f>SUMIFS(Table2[NewPointsAway],Table2[GameDate], "&lt;=" &amp; $A32, Table2[AwayTeam], L$1)+SUMIFS(Table2[NewPointsHome],Table2[GameDate], "&lt;=" &amp; $A32, Table2[HomeTeam], L$1)</f>
        <v>3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3</v>
      </c>
      <c r="O32" s="145">
        <f>SUMIFS(Table2[NewPointsAway],Table2[GameDate], "&lt;=" &amp; $A32, Table2[AwayTeam], O$1)+SUMIFS(Table2[NewPointsHome],Table2[GameDate], "&lt;=" &amp; $A32, Table2[HomeTeam], O$1)</f>
        <v>4</v>
      </c>
      <c r="P32" s="145">
        <f>SUMIFS(Table2[NewPointsAway],Table2[GameDate], "&lt;=" &amp; $A32, Table2[AwayTeam], P$1)+SUMIFS(Table2[NewPointsHome],Table2[GameDate], "&lt;=" &amp; $A32, Table2[HomeTeam], P$1)</f>
        <v>4</v>
      </c>
      <c r="Q32" s="145">
        <f>SUMIFS(Table2[NewPointsAway],Table2[GameDate], "&lt;=" &amp; $A32, Table2[AwayTeam], Q$1)+SUMIFS(Table2[NewPointsHome],Table2[GameDate], "&lt;=" &amp; $A32, Table2[HomeTeam], Q$1)</f>
        <v>4</v>
      </c>
      <c r="R32" s="145">
        <f>SUMIFS(Table2[NewPointsAway],Table2[GameDate], "&lt;=" &amp; $A32, Table2[AwayTeam], R$1)+SUMIFS(Table2[NewPointsHome],Table2[GameDate], "&lt;=" &amp; $A32, Table2[HomeTeam], R$1)</f>
        <v>5</v>
      </c>
      <c r="S32" s="145">
        <f>SUMIFS(Table2[NewPointsAway],Table2[GameDate], "&lt;=" &amp; $A32, Table2[AwayTeam], S$1)+SUMIFS(Table2[NewPointsHome],Table2[GameDate], "&lt;=" &amp; $A32, Table2[HomeTeam], S$1)</f>
        <v>0</v>
      </c>
      <c r="T32" s="145">
        <f>SUMIFS(Table2[NewPointsAway],Table2[GameDate], "&lt;=" &amp; $A32, Table2[AwayTeam], T$1)+SUMIFS(Table2[NewPointsHome],Table2[GameDate], "&lt;=" &amp; $A32, Table2[HomeTeam], T$1)</f>
        <v>4</v>
      </c>
      <c r="U32" s="145">
        <f>SUMIFS(Table2[NewPointsAway],Table2[GameDate], "&lt;=" &amp; $A32, Table2[AwayTeam], U$1)+SUMIFS(Table2[NewPointsHome],Table2[GameDate], "&lt;=" &amp; $A32, Table2[HomeTeam], U$1)</f>
        <v>2</v>
      </c>
      <c r="V32" s="145">
        <f>SUMIFS(Table2[NewPointsAway],Table2[GameDate], "&lt;=" &amp; $A32, Table2[AwayTeam], V$1)+SUMIFS(Table2[NewPointsHome],Table2[GameDate], "&lt;=" &amp; $A32, Table2[HomeTeam], V$1)</f>
        <v>3</v>
      </c>
      <c r="W32" s="145">
        <f>SUMIFS(Table2[NewPointsAway],Table2[GameDate], "&lt;=" &amp; $A32, Table2[AwayTeam], W$1)+SUMIFS(Table2[NewPointsHome],Table2[GameDate], "&lt;=" &amp; $A32, Table2[HomeTeam], W$1)</f>
        <v>4</v>
      </c>
      <c r="X32" s="145">
        <f>SUMIFS(Table2[NewPointsAway],Table2[GameDate], "&lt;=" &amp; $A32, Table2[AwayTeam], X$1)+SUMIFS(Table2[NewPointsHome],Table2[GameDate], "&lt;=" &amp; $A32, Table2[HomeTeam], X$1)</f>
        <v>4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4</v>
      </c>
      <c r="AA32" s="145">
        <f>SUMIFS(Table2[NewPointsAway],Table2[GameDate], "&lt;=" &amp; $A32, Table2[AwayTeam], AA$1)+SUMIFS(Table2[NewPointsHome],Table2[GameDate], "&lt;=" &amp; $A32, Table2[HomeTeam], AA$1)</f>
        <v>2</v>
      </c>
      <c r="AB32" s="145">
        <f>SUMIFS(Table2[NewPointsAway],Table2[GameDate], "&lt;=" &amp; $A32, Table2[AwayTeam], AB$1)+SUMIFS(Table2[NewPointsHome],Table2[GameDate], "&lt;=" &amp; $A32, Table2[HomeTeam], AB$1)</f>
        <v>2</v>
      </c>
      <c r="AC32" s="145">
        <f>SUMIFS(Table2[NewPointsAway],Table2[GameDate], "&lt;=" &amp; $A32, Table2[AwayTeam], AC$1)+SUMIFS(Table2[NewPointsHome],Table2[GameDate], "&lt;=" &amp; $A32, Table2[HomeTeam], AC$1)</f>
        <v>2</v>
      </c>
      <c r="AD32" s="145">
        <f>SUMIFS(Table2[NewPointsAway],Table2[GameDate], "&lt;=" &amp; $A32, Table2[AwayTeam], AD$1)+SUMIFS(Table2[NewPointsHome],Table2[GameDate], "&lt;=" &amp; $A32, Table2[HomeTeam], AD$1)</f>
        <v>2</v>
      </c>
      <c r="AE32" s="145">
        <f>SUMIFS(Table2[NewPointsAway],Table2[GameDate], "&lt;=" &amp; $A32, Table2[AwayTeam], AE$1)+SUMIFS(Table2[NewPointsHome],Table2[GameDate], "&lt;=" &amp; $A32, Table2[HomeTeam], AE$1)</f>
        <v>4</v>
      </c>
      <c r="AF32" s="145">
        <f>SUMIFS(Table2[NewPointsAway],Table2[GameDate], "&lt;=" &amp; $A32, Table2[AwayTeam], AF$1)+SUMIFS(Table2[NewPointsHome],Table2[GameDate], "&lt;=" &amp; $A32, Table2[HomeTeam], AF$1)</f>
        <v>4</v>
      </c>
      <c r="AG32" s="145">
        <f>SUMIFS(Table2[NewPointsAway],Table2[GameDate], "&lt;=" &amp; $A32, Table2[AwayTeam], AG$1)+SUMIFS(Table2[NewPointsHome],Table2[GameDate], "&lt;=" &amp; $A32, Table2[HomeTeam], AG$1)</f>
        <v>4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2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0</v>
      </c>
      <c r="E33" s="145">
        <f>SUMIFS(Table2[NewPointsAway],Table2[GameDate], "&lt;=" &amp; $A33, Table2[AwayTeam], E$1)+SUMIFS(Table2[NewPointsHome],Table2[GameDate], "&lt;=" &amp; $A33, Table2[HomeTeam], E$1)</f>
        <v>4</v>
      </c>
      <c r="F33" s="145">
        <f>SUMIFS(Table2[NewPointsAway],Table2[GameDate], "&lt;=" &amp; $A33, Table2[AwayTeam], F$1)+SUMIFS(Table2[NewPointsHome],Table2[GameDate], "&lt;=" &amp; $A33, Table2[HomeTeam], F$1)</f>
        <v>2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3</v>
      </c>
      <c r="I33" s="145">
        <f>SUMIFS(Table2[NewPointsAway],Table2[GameDate], "&lt;=" &amp; $A33, Table2[AwayTeam], I$1)+SUMIFS(Table2[NewPointsHome],Table2[GameDate], "&lt;=" &amp; $A33, Table2[HomeTeam], I$1)</f>
        <v>7</v>
      </c>
      <c r="J33" s="145">
        <f>SUMIFS(Table2[NewPointsAway],Table2[GameDate], "&lt;=" &amp; $A33, Table2[AwayTeam], J$1)+SUMIFS(Table2[NewPointsHome],Table2[GameDate], "&lt;=" &amp; $A33, Table2[HomeTeam], J$1)</f>
        <v>4</v>
      </c>
      <c r="K33" s="145">
        <f>SUMIFS(Table2[NewPointsAway],Table2[GameDate], "&lt;=" &amp; $A33, Table2[AwayTeam], K$1)+SUMIFS(Table2[NewPointsHome],Table2[GameDate], "&lt;=" &amp; $A33, Table2[HomeTeam], K$1)</f>
        <v>4</v>
      </c>
      <c r="L33" s="145">
        <f>SUMIFS(Table2[NewPointsAway],Table2[GameDate], "&lt;=" &amp; $A33, Table2[AwayTeam], L$1)+SUMIFS(Table2[NewPointsHome],Table2[GameDate], "&lt;=" &amp; $A33, Table2[HomeTeam], L$1)</f>
        <v>3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3</v>
      </c>
      <c r="O33" s="145">
        <f>SUMIFS(Table2[NewPointsAway],Table2[GameDate], "&lt;=" &amp; $A33, Table2[AwayTeam], O$1)+SUMIFS(Table2[NewPointsHome],Table2[GameDate], "&lt;=" &amp; $A33, Table2[HomeTeam], O$1)</f>
        <v>4</v>
      </c>
      <c r="P33" s="145">
        <f>SUMIFS(Table2[NewPointsAway],Table2[GameDate], "&lt;=" &amp; $A33, Table2[AwayTeam], P$1)+SUMIFS(Table2[NewPointsHome],Table2[GameDate], "&lt;=" &amp; $A33, Table2[HomeTeam], P$1)</f>
        <v>4</v>
      </c>
      <c r="Q33" s="145">
        <f>SUMIFS(Table2[NewPointsAway],Table2[GameDate], "&lt;=" &amp; $A33, Table2[AwayTeam], Q$1)+SUMIFS(Table2[NewPointsHome],Table2[GameDate], "&lt;=" &amp; $A33, Table2[HomeTeam], Q$1)</f>
        <v>4</v>
      </c>
      <c r="R33" s="145">
        <f>SUMIFS(Table2[NewPointsAway],Table2[GameDate], "&lt;=" &amp; $A33, Table2[AwayTeam], R$1)+SUMIFS(Table2[NewPointsHome],Table2[GameDate], "&lt;=" &amp; $A33, Table2[HomeTeam], R$1)</f>
        <v>5</v>
      </c>
      <c r="S33" s="145">
        <f>SUMIFS(Table2[NewPointsAway],Table2[GameDate], "&lt;=" &amp; $A33, Table2[AwayTeam], S$1)+SUMIFS(Table2[NewPointsHome],Table2[GameDate], "&lt;=" &amp; $A33, Table2[HomeTeam], S$1)</f>
        <v>0</v>
      </c>
      <c r="T33" s="145">
        <f>SUMIFS(Table2[NewPointsAway],Table2[GameDate], "&lt;=" &amp; $A33, Table2[AwayTeam], T$1)+SUMIFS(Table2[NewPointsHome],Table2[GameDate], "&lt;=" &amp; $A33, Table2[HomeTeam], T$1)</f>
        <v>4</v>
      </c>
      <c r="U33" s="145">
        <f>SUMIFS(Table2[NewPointsAway],Table2[GameDate], "&lt;=" &amp; $A33, Table2[AwayTeam], U$1)+SUMIFS(Table2[NewPointsHome],Table2[GameDate], "&lt;=" &amp; $A33, Table2[HomeTeam], U$1)</f>
        <v>2</v>
      </c>
      <c r="V33" s="145">
        <f>SUMIFS(Table2[NewPointsAway],Table2[GameDate], "&lt;=" &amp; $A33, Table2[AwayTeam], V$1)+SUMIFS(Table2[NewPointsHome],Table2[GameDate], "&lt;=" &amp; $A33, Table2[HomeTeam], V$1)</f>
        <v>3</v>
      </c>
      <c r="W33" s="145">
        <f>SUMIFS(Table2[NewPointsAway],Table2[GameDate], "&lt;=" &amp; $A33, Table2[AwayTeam], W$1)+SUMIFS(Table2[NewPointsHome],Table2[GameDate], "&lt;=" &amp; $A33, Table2[HomeTeam], W$1)</f>
        <v>4</v>
      </c>
      <c r="X33" s="145">
        <f>SUMIFS(Table2[NewPointsAway],Table2[GameDate], "&lt;=" &amp; $A33, Table2[AwayTeam], X$1)+SUMIFS(Table2[NewPointsHome],Table2[GameDate], "&lt;=" &amp; $A33, Table2[HomeTeam], X$1)</f>
        <v>4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4</v>
      </c>
      <c r="AA33" s="145">
        <f>SUMIFS(Table2[NewPointsAway],Table2[GameDate], "&lt;=" &amp; $A33, Table2[AwayTeam], AA$1)+SUMIFS(Table2[NewPointsHome],Table2[GameDate], "&lt;=" &amp; $A33, Table2[HomeTeam], AA$1)</f>
        <v>2</v>
      </c>
      <c r="AB33" s="145">
        <f>SUMIFS(Table2[NewPointsAway],Table2[GameDate], "&lt;=" &amp; $A33, Table2[AwayTeam], AB$1)+SUMIFS(Table2[NewPointsHome],Table2[GameDate], "&lt;=" &amp; $A33, Table2[HomeTeam], AB$1)</f>
        <v>2</v>
      </c>
      <c r="AC33" s="145">
        <f>SUMIFS(Table2[NewPointsAway],Table2[GameDate], "&lt;=" &amp; $A33, Table2[AwayTeam], AC$1)+SUMIFS(Table2[NewPointsHome],Table2[GameDate], "&lt;=" &amp; $A33, Table2[HomeTeam], AC$1)</f>
        <v>2</v>
      </c>
      <c r="AD33" s="145">
        <f>SUMIFS(Table2[NewPointsAway],Table2[GameDate], "&lt;=" &amp; $A33, Table2[AwayTeam], AD$1)+SUMIFS(Table2[NewPointsHome],Table2[GameDate], "&lt;=" &amp; $A33, Table2[HomeTeam], AD$1)</f>
        <v>2</v>
      </c>
      <c r="AE33" s="145">
        <f>SUMIFS(Table2[NewPointsAway],Table2[GameDate], "&lt;=" &amp; $A33, Table2[AwayTeam], AE$1)+SUMIFS(Table2[NewPointsHome],Table2[GameDate], "&lt;=" &amp; $A33, Table2[HomeTeam], AE$1)</f>
        <v>4</v>
      </c>
      <c r="AF33" s="145">
        <f>SUMIFS(Table2[NewPointsAway],Table2[GameDate], "&lt;=" &amp; $A33, Table2[AwayTeam], AF$1)+SUMIFS(Table2[NewPointsHome],Table2[GameDate], "&lt;=" &amp; $A33, Table2[HomeTeam], AF$1)</f>
        <v>4</v>
      </c>
      <c r="AG33" s="145">
        <f>SUMIFS(Table2[NewPointsAway],Table2[GameDate], "&lt;=" &amp; $A33, Table2[AwayTeam], AG$1)+SUMIFS(Table2[NewPointsHome],Table2[GameDate], "&lt;=" &amp; $A33, Table2[HomeTeam], AG$1)</f>
        <v>4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2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0</v>
      </c>
      <c r="E34" s="145">
        <f>SUMIFS(Table2[NewPointsAway],Table2[GameDate], "&lt;=" &amp; $A34, Table2[AwayTeam], E$1)+SUMIFS(Table2[NewPointsHome],Table2[GameDate], "&lt;=" &amp; $A34, Table2[HomeTeam], E$1)</f>
        <v>4</v>
      </c>
      <c r="F34" s="145">
        <f>SUMIFS(Table2[NewPointsAway],Table2[GameDate], "&lt;=" &amp; $A34, Table2[AwayTeam], F$1)+SUMIFS(Table2[NewPointsHome],Table2[GameDate], "&lt;=" &amp; $A34, Table2[HomeTeam], F$1)</f>
        <v>2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3</v>
      </c>
      <c r="I34" s="145">
        <f>SUMIFS(Table2[NewPointsAway],Table2[GameDate], "&lt;=" &amp; $A34, Table2[AwayTeam], I$1)+SUMIFS(Table2[NewPointsHome],Table2[GameDate], "&lt;=" &amp; $A34, Table2[HomeTeam], I$1)</f>
        <v>7</v>
      </c>
      <c r="J34" s="145">
        <f>SUMIFS(Table2[NewPointsAway],Table2[GameDate], "&lt;=" &amp; $A34, Table2[AwayTeam], J$1)+SUMIFS(Table2[NewPointsHome],Table2[GameDate], "&lt;=" &amp; $A34, Table2[HomeTeam], J$1)</f>
        <v>4</v>
      </c>
      <c r="K34" s="145">
        <f>SUMIFS(Table2[NewPointsAway],Table2[GameDate], "&lt;=" &amp; $A34, Table2[AwayTeam], K$1)+SUMIFS(Table2[NewPointsHome],Table2[GameDate], "&lt;=" &amp; $A34, Table2[HomeTeam], K$1)</f>
        <v>4</v>
      </c>
      <c r="L34" s="145">
        <f>SUMIFS(Table2[NewPointsAway],Table2[GameDate], "&lt;=" &amp; $A34, Table2[AwayTeam], L$1)+SUMIFS(Table2[NewPointsHome],Table2[GameDate], "&lt;=" &amp; $A34, Table2[HomeTeam], L$1)</f>
        <v>3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3</v>
      </c>
      <c r="O34" s="145">
        <f>SUMIFS(Table2[NewPointsAway],Table2[GameDate], "&lt;=" &amp; $A34, Table2[AwayTeam], O$1)+SUMIFS(Table2[NewPointsHome],Table2[GameDate], "&lt;=" &amp; $A34, Table2[HomeTeam], O$1)</f>
        <v>4</v>
      </c>
      <c r="P34" s="145">
        <f>SUMIFS(Table2[NewPointsAway],Table2[GameDate], "&lt;=" &amp; $A34, Table2[AwayTeam], P$1)+SUMIFS(Table2[NewPointsHome],Table2[GameDate], "&lt;=" &amp; $A34, Table2[HomeTeam], P$1)</f>
        <v>4</v>
      </c>
      <c r="Q34" s="145">
        <f>SUMIFS(Table2[NewPointsAway],Table2[GameDate], "&lt;=" &amp; $A34, Table2[AwayTeam], Q$1)+SUMIFS(Table2[NewPointsHome],Table2[GameDate], "&lt;=" &amp; $A34, Table2[HomeTeam], Q$1)</f>
        <v>4</v>
      </c>
      <c r="R34" s="145">
        <f>SUMIFS(Table2[NewPointsAway],Table2[GameDate], "&lt;=" &amp; $A34, Table2[AwayTeam], R$1)+SUMIFS(Table2[NewPointsHome],Table2[GameDate], "&lt;=" &amp; $A34, Table2[HomeTeam], R$1)</f>
        <v>5</v>
      </c>
      <c r="S34" s="145">
        <f>SUMIFS(Table2[NewPointsAway],Table2[GameDate], "&lt;=" &amp; $A34, Table2[AwayTeam], S$1)+SUMIFS(Table2[NewPointsHome],Table2[GameDate], "&lt;=" &amp; $A34, Table2[HomeTeam], S$1)</f>
        <v>0</v>
      </c>
      <c r="T34" s="145">
        <f>SUMIFS(Table2[NewPointsAway],Table2[GameDate], "&lt;=" &amp; $A34, Table2[AwayTeam], T$1)+SUMIFS(Table2[NewPointsHome],Table2[GameDate], "&lt;=" &amp; $A34, Table2[HomeTeam], T$1)</f>
        <v>4</v>
      </c>
      <c r="U34" s="145">
        <f>SUMIFS(Table2[NewPointsAway],Table2[GameDate], "&lt;=" &amp; $A34, Table2[AwayTeam], U$1)+SUMIFS(Table2[NewPointsHome],Table2[GameDate], "&lt;=" &amp; $A34, Table2[HomeTeam], U$1)</f>
        <v>2</v>
      </c>
      <c r="V34" s="145">
        <f>SUMIFS(Table2[NewPointsAway],Table2[GameDate], "&lt;=" &amp; $A34, Table2[AwayTeam], V$1)+SUMIFS(Table2[NewPointsHome],Table2[GameDate], "&lt;=" &amp; $A34, Table2[HomeTeam], V$1)</f>
        <v>3</v>
      </c>
      <c r="W34" s="145">
        <f>SUMIFS(Table2[NewPointsAway],Table2[GameDate], "&lt;=" &amp; $A34, Table2[AwayTeam], W$1)+SUMIFS(Table2[NewPointsHome],Table2[GameDate], "&lt;=" &amp; $A34, Table2[HomeTeam], W$1)</f>
        <v>4</v>
      </c>
      <c r="X34" s="145">
        <f>SUMIFS(Table2[NewPointsAway],Table2[GameDate], "&lt;=" &amp; $A34, Table2[AwayTeam], X$1)+SUMIFS(Table2[NewPointsHome],Table2[GameDate], "&lt;=" &amp; $A34, Table2[HomeTeam], X$1)</f>
        <v>4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4</v>
      </c>
      <c r="AA34" s="145">
        <f>SUMIFS(Table2[NewPointsAway],Table2[GameDate], "&lt;=" &amp; $A34, Table2[AwayTeam], AA$1)+SUMIFS(Table2[NewPointsHome],Table2[GameDate], "&lt;=" &amp; $A34, Table2[HomeTeam], AA$1)</f>
        <v>2</v>
      </c>
      <c r="AB34" s="145">
        <f>SUMIFS(Table2[NewPointsAway],Table2[GameDate], "&lt;=" &amp; $A34, Table2[AwayTeam], AB$1)+SUMIFS(Table2[NewPointsHome],Table2[GameDate], "&lt;=" &amp; $A34, Table2[HomeTeam], AB$1)</f>
        <v>2</v>
      </c>
      <c r="AC34" s="145">
        <f>SUMIFS(Table2[NewPointsAway],Table2[GameDate], "&lt;=" &amp; $A34, Table2[AwayTeam], AC$1)+SUMIFS(Table2[NewPointsHome],Table2[GameDate], "&lt;=" &amp; $A34, Table2[HomeTeam], AC$1)</f>
        <v>2</v>
      </c>
      <c r="AD34" s="145">
        <f>SUMIFS(Table2[NewPointsAway],Table2[GameDate], "&lt;=" &amp; $A34, Table2[AwayTeam], AD$1)+SUMIFS(Table2[NewPointsHome],Table2[GameDate], "&lt;=" &amp; $A34, Table2[HomeTeam], AD$1)</f>
        <v>2</v>
      </c>
      <c r="AE34" s="145">
        <f>SUMIFS(Table2[NewPointsAway],Table2[GameDate], "&lt;=" &amp; $A34, Table2[AwayTeam], AE$1)+SUMIFS(Table2[NewPointsHome],Table2[GameDate], "&lt;=" &amp; $A34, Table2[HomeTeam], AE$1)</f>
        <v>4</v>
      </c>
      <c r="AF34" s="145">
        <f>SUMIFS(Table2[NewPointsAway],Table2[GameDate], "&lt;=" &amp; $A34, Table2[AwayTeam], AF$1)+SUMIFS(Table2[NewPointsHome],Table2[GameDate], "&lt;=" &amp; $A34, Table2[HomeTeam], AF$1)</f>
        <v>4</v>
      </c>
      <c r="AG34" s="145">
        <f>SUMIFS(Table2[NewPointsAway],Table2[GameDate], "&lt;=" &amp; $A34, Table2[AwayTeam], AG$1)+SUMIFS(Table2[NewPointsHome],Table2[GameDate], "&lt;=" &amp; $A34, Table2[HomeTeam], AG$1)</f>
        <v>4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2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0</v>
      </c>
      <c r="E35" s="145">
        <f>SUMIFS(Table2[NewPointsAway],Table2[GameDate], "&lt;=" &amp; $A35, Table2[AwayTeam], E$1)+SUMIFS(Table2[NewPointsHome],Table2[GameDate], "&lt;=" &amp; $A35, Table2[HomeTeam], E$1)</f>
        <v>4</v>
      </c>
      <c r="F35" s="145">
        <f>SUMIFS(Table2[NewPointsAway],Table2[GameDate], "&lt;=" &amp; $A35, Table2[AwayTeam], F$1)+SUMIFS(Table2[NewPointsHome],Table2[GameDate], "&lt;=" &amp; $A35, Table2[HomeTeam], F$1)</f>
        <v>2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3</v>
      </c>
      <c r="I35" s="145">
        <f>SUMIFS(Table2[NewPointsAway],Table2[GameDate], "&lt;=" &amp; $A35, Table2[AwayTeam], I$1)+SUMIFS(Table2[NewPointsHome],Table2[GameDate], "&lt;=" &amp; $A35, Table2[HomeTeam], I$1)</f>
        <v>7</v>
      </c>
      <c r="J35" s="145">
        <f>SUMIFS(Table2[NewPointsAway],Table2[GameDate], "&lt;=" &amp; $A35, Table2[AwayTeam], J$1)+SUMIFS(Table2[NewPointsHome],Table2[GameDate], "&lt;=" &amp; $A35, Table2[HomeTeam], J$1)</f>
        <v>4</v>
      </c>
      <c r="K35" s="145">
        <f>SUMIFS(Table2[NewPointsAway],Table2[GameDate], "&lt;=" &amp; $A35, Table2[AwayTeam], K$1)+SUMIFS(Table2[NewPointsHome],Table2[GameDate], "&lt;=" &amp; $A35, Table2[HomeTeam], K$1)</f>
        <v>4</v>
      </c>
      <c r="L35" s="145">
        <f>SUMIFS(Table2[NewPointsAway],Table2[GameDate], "&lt;=" &amp; $A35, Table2[AwayTeam], L$1)+SUMIFS(Table2[NewPointsHome],Table2[GameDate], "&lt;=" &amp; $A35, Table2[HomeTeam], L$1)</f>
        <v>3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3</v>
      </c>
      <c r="O35" s="145">
        <f>SUMIFS(Table2[NewPointsAway],Table2[GameDate], "&lt;=" &amp; $A35, Table2[AwayTeam], O$1)+SUMIFS(Table2[NewPointsHome],Table2[GameDate], "&lt;=" &amp; $A35, Table2[HomeTeam], O$1)</f>
        <v>4</v>
      </c>
      <c r="P35" s="145">
        <f>SUMIFS(Table2[NewPointsAway],Table2[GameDate], "&lt;=" &amp; $A35, Table2[AwayTeam], P$1)+SUMIFS(Table2[NewPointsHome],Table2[GameDate], "&lt;=" &amp; $A35, Table2[HomeTeam], P$1)</f>
        <v>4</v>
      </c>
      <c r="Q35" s="145">
        <f>SUMIFS(Table2[NewPointsAway],Table2[GameDate], "&lt;=" &amp; $A35, Table2[AwayTeam], Q$1)+SUMIFS(Table2[NewPointsHome],Table2[GameDate], "&lt;=" &amp; $A35, Table2[HomeTeam], Q$1)</f>
        <v>4</v>
      </c>
      <c r="R35" s="145">
        <f>SUMIFS(Table2[NewPointsAway],Table2[GameDate], "&lt;=" &amp; $A35, Table2[AwayTeam], R$1)+SUMIFS(Table2[NewPointsHome],Table2[GameDate], "&lt;=" &amp; $A35, Table2[HomeTeam], R$1)</f>
        <v>5</v>
      </c>
      <c r="S35" s="145">
        <f>SUMIFS(Table2[NewPointsAway],Table2[GameDate], "&lt;=" &amp; $A35, Table2[AwayTeam], S$1)+SUMIFS(Table2[NewPointsHome],Table2[GameDate], "&lt;=" &amp; $A35, Table2[HomeTeam], S$1)</f>
        <v>0</v>
      </c>
      <c r="T35" s="145">
        <f>SUMIFS(Table2[NewPointsAway],Table2[GameDate], "&lt;=" &amp; $A35, Table2[AwayTeam], T$1)+SUMIFS(Table2[NewPointsHome],Table2[GameDate], "&lt;=" &amp; $A35, Table2[HomeTeam], T$1)</f>
        <v>4</v>
      </c>
      <c r="U35" s="145">
        <f>SUMIFS(Table2[NewPointsAway],Table2[GameDate], "&lt;=" &amp; $A35, Table2[AwayTeam], U$1)+SUMIFS(Table2[NewPointsHome],Table2[GameDate], "&lt;=" &amp; $A35, Table2[HomeTeam], U$1)</f>
        <v>2</v>
      </c>
      <c r="V35" s="145">
        <f>SUMIFS(Table2[NewPointsAway],Table2[GameDate], "&lt;=" &amp; $A35, Table2[AwayTeam], V$1)+SUMIFS(Table2[NewPointsHome],Table2[GameDate], "&lt;=" &amp; $A35, Table2[HomeTeam], V$1)</f>
        <v>3</v>
      </c>
      <c r="W35" s="145">
        <f>SUMIFS(Table2[NewPointsAway],Table2[GameDate], "&lt;=" &amp; $A35, Table2[AwayTeam], W$1)+SUMIFS(Table2[NewPointsHome],Table2[GameDate], "&lt;=" &amp; $A35, Table2[HomeTeam], W$1)</f>
        <v>4</v>
      </c>
      <c r="X35" s="145">
        <f>SUMIFS(Table2[NewPointsAway],Table2[GameDate], "&lt;=" &amp; $A35, Table2[AwayTeam], X$1)+SUMIFS(Table2[NewPointsHome],Table2[GameDate], "&lt;=" &amp; $A35, Table2[HomeTeam], X$1)</f>
        <v>4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4</v>
      </c>
      <c r="AA35" s="145">
        <f>SUMIFS(Table2[NewPointsAway],Table2[GameDate], "&lt;=" &amp; $A35, Table2[AwayTeam], AA$1)+SUMIFS(Table2[NewPointsHome],Table2[GameDate], "&lt;=" &amp; $A35, Table2[HomeTeam], AA$1)</f>
        <v>2</v>
      </c>
      <c r="AB35" s="145">
        <f>SUMIFS(Table2[NewPointsAway],Table2[GameDate], "&lt;=" &amp; $A35, Table2[AwayTeam], AB$1)+SUMIFS(Table2[NewPointsHome],Table2[GameDate], "&lt;=" &amp; $A35, Table2[HomeTeam], AB$1)</f>
        <v>2</v>
      </c>
      <c r="AC35" s="145">
        <f>SUMIFS(Table2[NewPointsAway],Table2[GameDate], "&lt;=" &amp; $A35, Table2[AwayTeam], AC$1)+SUMIFS(Table2[NewPointsHome],Table2[GameDate], "&lt;=" &amp; $A35, Table2[HomeTeam], AC$1)</f>
        <v>2</v>
      </c>
      <c r="AD35" s="145">
        <f>SUMIFS(Table2[NewPointsAway],Table2[GameDate], "&lt;=" &amp; $A35, Table2[AwayTeam], AD$1)+SUMIFS(Table2[NewPointsHome],Table2[GameDate], "&lt;=" &amp; $A35, Table2[HomeTeam], AD$1)</f>
        <v>2</v>
      </c>
      <c r="AE35" s="145">
        <f>SUMIFS(Table2[NewPointsAway],Table2[GameDate], "&lt;=" &amp; $A35, Table2[AwayTeam], AE$1)+SUMIFS(Table2[NewPointsHome],Table2[GameDate], "&lt;=" &amp; $A35, Table2[HomeTeam], AE$1)</f>
        <v>4</v>
      </c>
      <c r="AF35" s="145">
        <f>SUMIFS(Table2[NewPointsAway],Table2[GameDate], "&lt;=" &amp; $A35, Table2[AwayTeam], AF$1)+SUMIFS(Table2[NewPointsHome],Table2[GameDate], "&lt;=" &amp; $A35, Table2[HomeTeam], AF$1)</f>
        <v>4</v>
      </c>
      <c r="AG35" s="145">
        <f>SUMIFS(Table2[NewPointsAway],Table2[GameDate], "&lt;=" &amp; $A35, Table2[AwayTeam], AG$1)+SUMIFS(Table2[NewPointsHome],Table2[GameDate], "&lt;=" &amp; $A35, Table2[HomeTeam], AG$1)</f>
        <v>4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2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0</v>
      </c>
      <c r="E36" s="145">
        <f>SUMIFS(Table2[NewPointsAway],Table2[GameDate], "&lt;=" &amp; $A36, Table2[AwayTeam], E$1)+SUMIFS(Table2[NewPointsHome],Table2[GameDate], "&lt;=" &amp; $A36, Table2[HomeTeam], E$1)</f>
        <v>4</v>
      </c>
      <c r="F36" s="145">
        <f>SUMIFS(Table2[NewPointsAway],Table2[GameDate], "&lt;=" &amp; $A36, Table2[AwayTeam], F$1)+SUMIFS(Table2[NewPointsHome],Table2[GameDate], "&lt;=" &amp; $A36, Table2[HomeTeam], F$1)</f>
        <v>2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3</v>
      </c>
      <c r="I36" s="145">
        <f>SUMIFS(Table2[NewPointsAway],Table2[GameDate], "&lt;=" &amp; $A36, Table2[AwayTeam], I$1)+SUMIFS(Table2[NewPointsHome],Table2[GameDate], "&lt;=" &amp; $A36, Table2[HomeTeam], I$1)</f>
        <v>7</v>
      </c>
      <c r="J36" s="145">
        <f>SUMIFS(Table2[NewPointsAway],Table2[GameDate], "&lt;=" &amp; $A36, Table2[AwayTeam], J$1)+SUMIFS(Table2[NewPointsHome],Table2[GameDate], "&lt;=" &amp; $A36, Table2[HomeTeam], J$1)</f>
        <v>4</v>
      </c>
      <c r="K36" s="145">
        <f>SUMIFS(Table2[NewPointsAway],Table2[GameDate], "&lt;=" &amp; $A36, Table2[AwayTeam], K$1)+SUMIFS(Table2[NewPointsHome],Table2[GameDate], "&lt;=" &amp; $A36, Table2[HomeTeam], K$1)</f>
        <v>4</v>
      </c>
      <c r="L36" s="145">
        <f>SUMIFS(Table2[NewPointsAway],Table2[GameDate], "&lt;=" &amp; $A36, Table2[AwayTeam], L$1)+SUMIFS(Table2[NewPointsHome],Table2[GameDate], "&lt;=" &amp; $A36, Table2[HomeTeam], L$1)</f>
        <v>3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3</v>
      </c>
      <c r="O36" s="145">
        <f>SUMIFS(Table2[NewPointsAway],Table2[GameDate], "&lt;=" &amp; $A36, Table2[AwayTeam], O$1)+SUMIFS(Table2[NewPointsHome],Table2[GameDate], "&lt;=" &amp; $A36, Table2[HomeTeam], O$1)</f>
        <v>4</v>
      </c>
      <c r="P36" s="145">
        <f>SUMIFS(Table2[NewPointsAway],Table2[GameDate], "&lt;=" &amp; $A36, Table2[AwayTeam], P$1)+SUMIFS(Table2[NewPointsHome],Table2[GameDate], "&lt;=" &amp; $A36, Table2[HomeTeam], P$1)</f>
        <v>4</v>
      </c>
      <c r="Q36" s="145">
        <f>SUMIFS(Table2[NewPointsAway],Table2[GameDate], "&lt;=" &amp; $A36, Table2[AwayTeam], Q$1)+SUMIFS(Table2[NewPointsHome],Table2[GameDate], "&lt;=" &amp; $A36, Table2[HomeTeam], Q$1)</f>
        <v>4</v>
      </c>
      <c r="R36" s="145">
        <f>SUMIFS(Table2[NewPointsAway],Table2[GameDate], "&lt;=" &amp; $A36, Table2[AwayTeam], R$1)+SUMIFS(Table2[NewPointsHome],Table2[GameDate], "&lt;=" &amp; $A36, Table2[HomeTeam], R$1)</f>
        <v>5</v>
      </c>
      <c r="S36" s="145">
        <f>SUMIFS(Table2[NewPointsAway],Table2[GameDate], "&lt;=" &amp; $A36, Table2[AwayTeam], S$1)+SUMIFS(Table2[NewPointsHome],Table2[GameDate], "&lt;=" &amp; $A36, Table2[HomeTeam], S$1)</f>
        <v>0</v>
      </c>
      <c r="T36" s="145">
        <f>SUMIFS(Table2[NewPointsAway],Table2[GameDate], "&lt;=" &amp; $A36, Table2[AwayTeam], T$1)+SUMIFS(Table2[NewPointsHome],Table2[GameDate], "&lt;=" &amp; $A36, Table2[HomeTeam], T$1)</f>
        <v>4</v>
      </c>
      <c r="U36" s="145">
        <f>SUMIFS(Table2[NewPointsAway],Table2[GameDate], "&lt;=" &amp; $A36, Table2[AwayTeam], U$1)+SUMIFS(Table2[NewPointsHome],Table2[GameDate], "&lt;=" &amp; $A36, Table2[HomeTeam], U$1)</f>
        <v>2</v>
      </c>
      <c r="V36" s="145">
        <f>SUMIFS(Table2[NewPointsAway],Table2[GameDate], "&lt;=" &amp; $A36, Table2[AwayTeam], V$1)+SUMIFS(Table2[NewPointsHome],Table2[GameDate], "&lt;=" &amp; $A36, Table2[HomeTeam], V$1)</f>
        <v>3</v>
      </c>
      <c r="W36" s="145">
        <f>SUMIFS(Table2[NewPointsAway],Table2[GameDate], "&lt;=" &amp; $A36, Table2[AwayTeam], W$1)+SUMIFS(Table2[NewPointsHome],Table2[GameDate], "&lt;=" &amp; $A36, Table2[HomeTeam], W$1)</f>
        <v>4</v>
      </c>
      <c r="X36" s="145">
        <f>SUMIFS(Table2[NewPointsAway],Table2[GameDate], "&lt;=" &amp; $A36, Table2[AwayTeam], X$1)+SUMIFS(Table2[NewPointsHome],Table2[GameDate], "&lt;=" &amp; $A36, Table2[HomeTeam], X$1)</f>
        <v>4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4</v>
      </c>
      <c r="AA36" s="145">
        <f>SUMIFS(Table2[NewPointsAway],Table2[GameDate], "&lt;=" &amp; $A36, Table2[AwayTeam], AA$1)+SUMIFS(Table2[NewPointsHome],Table2[GameDate], "&lt;=" &amp; $A36, Table2[HomeTeam], AA$1)</f>
        <v>2</v>
      </c>
      <c r="AB36" s="145">
        <f>SUMIFS(Table2[NewPointsAway],Table2[GameDate], "&lt;=" &amp; $A36, Table2[AwayTeam], AB$1)+SUMIFS(Table2[NewPointsHome],Table2[GameDate], "&lt;=" &amp; $A36, Table2[HomeTeam], AB$1)</f>
        <v>2</v>
      </c>
      <c r="AC36" s="145">
        <f>SUMIFS(Table2[NewPointsAway],Table2[GameDate], "&lt;=" &amp; $A36, Table2[AwayTeam], AC$1)+SUMIFS(Table2[NewPointsHome],Table2[GameDate], "&lt;=" &amp; $A36, Table2[HomeTeam], AC$1)</f>
        <v>2</v>
      </c>
      <c r="AD36" s="145">
        <f>SUMIFS(Table2[NewPointsAway],Table2[GameDate], "&lt;=" &amp; $A36, Table2[AwayTeam], AD$1)+SUMIFS(Table2[NewPointsHome],Table2[GameDate], "&lt;=" &amp; $A36, Table2[HomeTeam], AD$1)</f>
        <v>2</v>
      </c>
      <c r="AE36" s="145">
        <f>SUMIFS(Table2[NewPointsAway],Table2[GameDate], "&lt;=" &amp; $A36, Table2[AwayTeam], AE$1)+SUMIFS(Table2[NewPointsHome],Table2[GameDate], "&lt;=" &amp; $A36, Table2[HomeTeam], AE$1)</f>
        <v>4</v>
      </c>
      <c r="AF36" s="145">
        <f>SUMIFS(Table2[NewPointsAway],Table2[GameDate], "&lt;=" &amp; $A36, Table2[AwayTeam], AF$1)+SUMIFS(Table2[NewPointsHome],Table2[GameDate], "&lt;=" &amp; $A36, Table2[HomeTeam], AF$1)</f>
        <v>4</v>
      </c>
      <c r="AG36" s="145">
        <f>SUMIFS(Table2[NewPointsAway],Table2[GameDate], "&lt;=" &amp; $A36, Table2[AwayTeam], AG$1)+SUMIFS(Table2[NewPointsHome],Table2[GameDate], "&lt;=" &amp; $A36, Table2[HomeTeam], AG$1)</f>
        <v>4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2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0</v>
      </c>
      <c r="E37" s="145">
        <f>SUMIFS(Table2[NewPointsAway],Table2[GameDate], "&lt;=" &amp; $A37, Table2[AwayTeam], E$1)+SUMIFS(Table2[NewPointsHome],Table2[GameDate], "&lt;=" &amp; $A37, Table2[HomeTeam], E$1)</f>
        <v>4</v>
      </c>
      <c r="F37" s="145">
        <f>SUMIFS(Table2[NewPointsAway],Table2[GameDate], "&lt;=" &amp; $A37, Table2[AwayTeam], F$1)+SUMIFS(Table2[NewPointsHome],Table2[GameDate], "&lt;=" &amp; $A37, Table2[HomeTeam], F$1)</f>
        <v>2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3</v>
      </c>
      <c r="I37" s="145">
        <f>SUMIFS(Table2[NewPointsAway],Table2[GameDate], "&lt;=" &amp; $A37, Table2[AwayTeam], I$1)+SUMIFS(Table2[NewPointsHome],Table2[GameDate], "&lt;=" &amp; $A37, Table2[HomeTeam], I$1)</f>
        <v>7</v>
      </c>
      <c r="J37" s="145">
        <f>SUMIFS(Table2[NewPointsAway],Table2[GameDate], "&lt;=" &amp; $A37, Table2[AwayTeam], J$1)+SUMIFS(Table2[NewPointsHome],Table2[GameDate], "&lt;=" &amp; $A37, Table2[HomeTeam], J$1)</f>
        <v>4</v>
      </c>
      <c r="K37" s="145">
        <f>SUMIFS(Table2[NewPointsAway],Table2[GameDate], "&lt;=" &amp; $A37, Table2[AwayTeam], K$1)+SUMIFS(Table2[NewPointsHome],Table2[GameDate], "&lt;=" &amp; $A37, Table2[HomeTeam], K$1)</f>
        <v>4</v>
      </c>
      <c r="L37" s="145">
        <f>SUMIFS(Table2[NewPointsAway],Table2[GameDate], "&lt;=" &amp; $A37, Table2[AwayTeam], L$1)+SUMIFS(Table2[NewPointsHome],Table2[GameDate], "&lt;=" &amp; $A37, Table2[HomeTeam], L$1)</f>
        <v>3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3</v>
      </c>
      <c r="O37" s="145">
        <f>SUMIFS(Table2[NewPointsAway],Table2[GameDate], "&lt;=" &amp; $A37, Table2[AwayTeam], O$1)+SUMIFS(Table2[NewPointsHome],Table2[GameDate], "&lt;=" &amp; $A37, Table2[HomeTeam], O$1)</f>
        <v>4</v>
      </c>
      <c r="P37" s="145">
        <f>SUMIFS(Table2[NewPointsAway],Table2[GameDate], "&lt;=" &amp; $A37, Table2[AwayTeam], P$1)+SUMIFS(Table2[NewPointsHome],Table2[GameDate], "&lt;=" &amp; $A37, Table2[HomeTeam], P$1)</f>
        <v>4</v>
      </c>
      <c r="Q37" s="145">
        <f>SUMIFS(Table2[NewPointsAway],Table2[GameDate], "&lt;=" &amp; $A37, Table2[AwayTeam], Q$1)+SUMIFS(Table2[NewPointsHome],Table2[GameDate], "&lt;=" &amp; $A37, Table2[HomeTeam], Q$1)</f>
        <v>4</v>
      </c>
      <c r="R37" s="145">
        <f>SUMIFS(Table2[NewPointsAway],Table2[GameDate], "&lt;=" &amp; $A37, Table2[AwayTeam], R$1)+SUMIFS(Table2[NewPointsHome],Table2[GameDate], "&lt;=" &amp; $A37, Table2[HomeTeam], R$1)</f>
        <v>5</v>
      </c>
      <c r="S37" s="145">
        <f>SUMIFS(Table2[NewPointsAway],Table2[GameDate], "&lt;=" &amp; $A37, Table2[AwayTeam], S$1)+SUMIFS(Table2[NewPointsHome],Table2[GameDate], "&lt;=" &amp; $A37, Table2[HomeTeam], S$1)</f>
        <v>0</v>
      </c>
      <c r="T37" s="145">
        <f>SUMIFS(Table2[NewPointsAway],Table2[GameDate], "&lt;=" &amp; $A37, Table2[AwayTeam], T$1)+SUMIFS(Table2[NewPointsHome],Table2[GameDate], "&lt;=" &amp; $A37, Table2[HomeTeam], T$1)</f>
        <v>4</v>
      </c>
      <c r="U37" s="145">
        <f>SUMIFS(Table2[NewPointsAway],Table2[GameDate], "&lt;=" &amp; $A37, Table2[AwayTeam], U$1)+SUMIFS(Table2[NewPointsHome],Table2[GameDate], "&lt;=" &amp; $A37, Table2[HomeTeam], U$1)</f>
        <v>2</v>
      </c>
      <c r="V37" s="145">
        <f>SUMIFS(Table2[NewPointsAway],Table2[GameDate], "&lt;=" &amp; $A37, Table2[AwayTeam], V$1)+SUMIFS(Table2[NewPointsHome],Table2[GameDate], "&lt;=" &amp; $A37, Table2[HomeTeam], V$1)</f>
        <v>3</v>
      </c>
      <c r="W37" s="145">
        <f>SUMIFS(Table2[NewPointsAway],Table2[GameDate], "&lt;=" &amp; $A37, Table2[AwayTeam], W$1)+SUMIFS(Table2[NewPointsHome],Table2[GameDate], "&lt;=" &amp; $A37, Table2[HomeTeam], W$1)</f>
        <v>4</v>
      </c>
      <c r="X37" s="145">
        <f>SUMIFS(Table2[NewPointsAway],Table2[GameDate], "&lt;=" &amp; $A37, Table2[AwayTeam], X$1)+SUMIFS(Table2[NewPointsHome],Table2[GameDate], "&lt;=" &amp; $A37, Table2[HomeTeam], X$1)</f>
        <v>4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4</v>
      </c>
      <c r="AA37" s="145">
        <f>SUMIFS(Table2[NewPointsAway],Table2[GameDate], "&lt;=" &amp; $A37, Table2[AwayTeam], AA$1)+SUMIFS(Table2[NewPointsHome],Table2[GameDate], "&lt;=" &amp; $A37, Table2[HomeTeam], AA$1)</f>
        <v>2</v>
      </c>
      <c r="AB37" s="145">
        <f>SUMIFS(Table2[NewPointsAway],Table2[GameDate], "&lt;=" &amp; $A37, Table2[AwayTeam], AB$1)+SUMIFS(Table2[NewPointsHome],Table2[GameDate], "&lt;=" &amp; $A37, Table2[HomeTeam], AB$1)</f>
        <v>2</v>
      </c>
      <c r="AC37" s="145">
        <f>SUMIFS(Table2[NewPointsAway],Table2[GameDate], "&lt;=" &amp; $A37, Table2[AwayTeam], AC$1)+SUMIFS(Table2[NewPointsHome],Table2[GameDate], "&lt;=" &amp; $A37, Table2[HomeTeam], AC$1)</f>
        <v>2</v>
      </c>
      <c r="AD37" s="145">
        <f>SUMIFS(Table2[NewPointsAway],Table2[GameDate], "&lt;=" &amp; $A37, Table2[AwayTeam], AD$1)+SUMIFS(Table2[NewPointsHome],Table2[GameDate], "&lt;=" &amp; $A37, Table2[HomeTeam], AD$1)</f>
        <v>2</v>
      </c>
      <c r="AE37" s="145">
        <f>SUMIFS(Table2[NewPointsAway],Table2[GameDate], "&lt;=" &amp; $A37, Table2[AwayTeam], AE$1)+SUMIFS(Table2[NewPointsHome],Table2[GameDate], "&lt;=" &amp; $A37, Table2[HomeTeam], AE$1)</f>
        <v>4</v>
      </c>
      <c r="AF37" s="145">
        <f>SUMIFS(Table2[NewPointsAway],Table2[GameDate], "&lt;=" &amp; $A37, Table2[AwayTeam], AF$1)+SUMIFS(Table2[NewPointsHome],Table2[GameDate], "&lt;=" &amp; $A37, Table2[HomeTeam], AF$1)</f>
        <v>4</v>
      </c>
      <c r="AG37" s="145">
        <f>SUMIFS(Table2[NewPointsAway],Table2[GameDate], "&lt;=" &amp; $A37, Table2[AwayTeam], AG$1)+SUMIFS(Table2[NewPointsHome],Table2[GameDate], "&lt;=" &amp; $A37, Table2[HomeTeam], AG$1)</f>
        <v>4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2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0</v>
      </c>
      <c r="E38" s="145">
        <f>SUMIFS(Table2[NewPointsAway],Table2[GameDate], "&lt;=" &amp; $A38, Table2[AwayTeam], E$1)+SUMIFS(Table2[NewPointsHome],Table2[GameDate], "&lt;=" &amp; $A38, Table2[HomeTeam], E$1)</f>
        <v>4</v>
      </c>
      <c r="F38" s="145">
        <f>SUMIFS(Table2[NewPointsAway],Table2[GameDate], "&lt;=" &amp; $A38, Table2[AwayTeam], F$1)+SUMIFS(Table2[NewPointsHome],Table2[GameDate], "&lt;=" &amp; $A38, Table2[HomeTeam], F$1)</f>
        <v>2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3</v>
      </c>
      <c r="I38" s="145">
        <f>SUMIFS(Table2[NewPointsAway],Table2[GameDate], "&lt;=" &amp; $A38, Table2[AwayTeam], I$1)+SUMIFS(Table2[NewPointsHome],Table2[GameDate], "&lt;=" &amp; $A38, Table2[HomeTeam], I$1)</f>
        <v>7</v>
      </c>
      <c r="J38" s="145">
        <f>SUMIFS(Table2[NewPointsAway],Table2[GameDate], "&lt;=" &amp; $A38, Table2[AwayTeam], J$1)+SUMIFS(Table2[NewPointsHome],Table2[GameDate], "&lt;=" &amp; $A38, Table2[HomeTeam], J$1)</f>
        <v>4</v>
      </c>
      <c r="K38" s="145">
        <f>SUMIFS(Table2[NewPointsAway],Table2[GameDate], "&lt;=" &amp; $A38, Table2[AwayTeam], K$1)+SUMIFS(Table2[NewPointsHome],Table2[GameDate], "&lt;=" &amp; $A38, Table2[HomeTeam], K$1)</f>
        <v>4</v>
      </c>
      <c r="L38" s="145">
        <f>SUMIFS(Table2[NewPointsAway],Table2[GameDate], "&lt;=" &amp; $A38, Table2[AwayTeam], L$1)+SUMIFS(Table2[NewPointsHome],Table2[GameDate], "&lt;=" &amp; $A38, Table2[HomeTeam], L$1)</f>
        <v>3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3</v>
      </c>
      <c r="O38" s="145">
        <f>SUMIFS(Table2[NewPointsAway],Table2[GameDate], "&lt;=" &amp; $A38, Table2[AwayTeam], O$1)+SUMIFS(Table2[NewPointsHome],Table2[GameDate], "&lt;=" &amp; $A38, Table2[HomeTeam], O$1)</f>
        <v>4</v>
      </c>
      <c r="P38" s="145">
        <f>SUMIFS(Table2[NewPointsAway],Table2[GameDate], "&lt;=" &amp; $A38, Table2[AwayTeam], P$1)+SUMIFS(Table2[NewPointsHome],Table2[GameDate], "&lt;=" &amp; $A38, Table2[HomeTeam], P$1)</f>
        <v>4</v>
      </c>
      <c r="Q38" s="145">
        <f>SUMIFS(Table2[NewPointsAway],Table2[GameDate], "&lt;=" &amp; $A38, Table2[AwayTeam], Q$1)+SUMIFS(Table2[NewPointsHome],Table2[GameDate], "&lt;=" &amp; $A38, Table2[HomeTeam], Q$1)</f>
        <v>4</v>
      </c>
      <c r="R38" s="145">
        <f>SUMIFS(Table2[NewPointsAway],Table2[GameDate], "&lt;=" &amp; $A38, Table2[AwayTeam], R$1)+SUMIFS(Table2[NewPointsHome],Table2[GameDate], "&lt;=" &amp; $A38, Table2[HomeTeam], R$1)</f>
        <v>5</v>
      </c>
      <c r="S38" s="145">
        <f>SUMIFS(Table2[NewPointsAway],Table2[GameDate], "&lt;=" &amp; $A38, Table2[AwayTeam], S$1)+SUMIFS(Table2[NewPointsHome],Table2[GameDate], "&lt;=" &amp; $A38, Table2[HomeTeam], S$1)</f>
        <v>0</v>
      </c>
      <c r="T38" s="145">
        <f>SUMIFS(Table2[NewPointsAway],Table2[GameDate], "&lt;=" &amp; $A38, Table2[AwayTeam], T$1)+SUMIFS(Table2[NewPointsHome],Table2[GameDate], "&lt;=" &amp; $A38, Table2[HomeTeam], T$1)</f>
        <v>4</v>
      </c>
      <c r="U38" s="145">
        <f>SUMIFS(Table2[NewPointsAway],Table2[GameDate], "&lt;=" &amp; $A38, Table2[AwayTeam], U$1)+SUMIFS(Table2[NewPointsHome],Table2[GameDate], "&lt;=" &amp; $A38, Table2[HomeTeam], U$1)</f>
        <v>2</v>
      </c>
      <c r="V38" s="145">
        <f>SUMIFS(Table2[NewPointsAway],Table2[GameDate], "&lt;=" &amp; $A38, Table2[AwayTeam], V$1)+SUMIFS(Table2[NewPointsHome],Table2[GameDate], "&lt;=" &amp; $A38, Table2[HomeTeam], V$1)</f>
        <v>3</v>
      </c>
      <c r="W38" s="145">
        <f>SUMIFS(Table2[NewPointsAway],Table2[GameDate], "&lt;=" &amp; $A38, Table2[AwayTeam], W$1)+SUMIFS(Table2[NewPointsHome],Table2[GameDate], "&lt;=" &amp; $A38, Table2[HomeTeam], W$1)</f>
        <v>4</v>
      </c>
      <c r="X38" s="145">
        <f>SUMIFS(Table2[NewPointsAway],Table2[GameDate], "&lt;=" &amp; $A38, Table2[AwayTeam], X$1)+SUMIFS(Table2[NewPointsHome],Table2[GameDate], "&lt;=" &amp; $A38, Table2[HomeTeam], X$1)</f>
        <v>4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4</v>
      </c>
      <c r="AA38" s="145">
        <f>SUMIFS(Table2[NewPointsAway],Table2[GameDate], "&lt;=" &amp; $A38, Table2[AwayTeam], AA$1)+SUMIFS(Table2[NewPointsHome],Table2[GameDate], "&lt;=" &amp; $A38, Table2[HomeTeam], AA$1)</f>
        <v>2</v>
      </c>
      <c r="AB38" s="145">
        <f>SUMIFS(Table2[NewPointsAway],Table2[GameDate], "&lt;=" &amp; $A38, Table2[AwayTeam], AB$1)+SUMIFS(Table2[NewPointsHome],Table2[GameDate], "&lt;=" &amp; $A38, Table2[HomeTeam], AB$1)</f>
        <v>2</v>
      </c>
      <c r="AC38" s="145">
        <f>SUMIFS(Table2[NewPointsAway],Table2[GameDate], "&lt;=" &amp; $A38, Table2[AwayTeam], AC$1)+SUMIFS(Table2[NewPointsHome],Table2[GameDate], "&lt;=" &amp; $A38, Table2[HomeTeam], AC$1)</f>
        <v>2</v>
      </c>
      <c r="AD38" s="145">
        <f>SUMIFS(Table2[NewPointsAway],Table2[GameDate], "&lt;=" &amp; $A38, Table2[AwayTeam], AD$1)+SUMIFS(Table2[NewPointsHome],Table2[GameDate], "&lt;=" &amp; $A38, Table2[HomeTeam], AD$1)</f>
        <v>2</v>
      </c>
      <c r="AE38" s="145">
        <f>SUMIFS(Table2[NewPointsAway],Table2[GameDate], "&lt;=" &amp; $A38, Table2[AwayTeam], AE$1)+SUMIFS(Table2[NewPointsHome],Table2[GameDate], "&lt;=" &amp; $A38, Table2[HomeTeam], AE$1)</f>
        <v>4</v>
      </c>
      <c r="AF38" s="145">
        <f>SUMIFS(Table2[NewPointsAway],Table2[GameDate], "&lt;=" &amp; $A38, Table2[AwayTeam], AF$1)+SUMIFS(Table2[NewPointsHome],Table2[GameDate], "&lt;=" &amp; $A38, Table2[HomeTeam], AF$1)</f>
        <v>4</v>
      </c>
      <c r="AG38" s="145">
        <f>SUMIFS(Table2[NewPointsAway],Table2[GameDate], "&lt;=" &amp; $A38, Table2[AwayTeam], AG$1)+SUMIFS(Table2[NewPointsHome],Table2[GameDate], "&lt;=" &amp; $A38, Table2[HomeTeam], AG$1)</f>
        <v>4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2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0</v>
      </c>
      <c r="E39" s="145">
        <f>SUMIFS(Table2[NewPointsAway],Table2[GameDate], "&lt;=" &amp; $A39, Table2[AwayTeam], E$1)+SUMIFS(Table2[NewPointsHome],Table2[GameDate], "&lt;=" &amp; $A39, Table2[HomeTeam], E$1)</f>
        <v>4</v>
      </c>
      <c r="F39" s="145">
        <f>SUMIFS(Table2[NewPointsAway],Table2[GameDate], "&lt;=" &amp; $A39, Table2[AwayTeam], F$1)+SUMIFS(Table2[NewPointsHome],Table2[GameDate], "&lt;=" &amp; $A39, Table2[HomeTeam], F$1)</f>
        <v>2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3</v>
      </c>
      <c r="I39" s="145">
        <f>SUMIFS(Table2[NewPointsAway],Table2[GameDate], "&lt;=" &amp; $A39, Table2[AwayTeam], I$1)+SUMIFS(Table2[NewPointsHome],Table2[GameDate], "&lt;=" &amp; $A39, Table2[HomeTeam], I$1)</f>
        <v>7</v>
      </c>
      <c r="J39" s="145">
        <f>SUMIFS(Table2[NewPointsAway],Table2[GameDate], "&lt;=" &amp; $A39, Table2[AwayTeam], J$1)+SUMIFS(Table2[NewPointsHome],Table2[GameDate], "&lt;=" &amp; $A39, Table2[HomeTeam], J$1)</f>
        <v>4</v>
      </c>
      <c r="K39" s="145">
        <f>SUMIFS(Table2[NewPointsAway],Table2[GameDate], "&lt;=" &amp; $A39, Table2[AwayTeam], K$1)+SUMIFS(Table2[NewPointsHome],Table2[GameDate], "&lt;=" &amp; $A39, Table2[HomeTeam], K$1)</f>
        <v>4</v>
      </c>
      <c r="L39" s="145">
        <f>SUMIFS(Table2[NewPointsAway],Table2[GameDate], "&lt;=" &amp; $A39, Table2[AwayTeam], L$1)+SUMIFS(Table2[NewPointsHome],Table2[GameDate], "&lt;=" &amp; $A39, Table2[HomeTeam], L$1)</f>
        <v>3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3</v>
      </c>
      <c r="O39" s="145">
        <f>SUMIFS(Table2[NewPointsAway],Table2[GameDate], "&lt;=" &amp; $A39, Table2[AwayTeam], O$1)+SUMIFS(Table2[NewPointsHome],Table2[GameDate], "&lt;=" &amp; $A39, Table2[HomeTeam], O$1)</f>
        <v>4</v>
      </c>
      <c r="P39" s="145">
        <f>SUMIFS(Table2[NewPointsAway],Table2[GameDate], "&lt;=" &amp; $A39, Table2[AwayTeam], P$1)+SUMIFS(Table2[NewPointsHome],Table2[GameDate], "&lt;=" &amp; $A39, Table2[HomeTeam], P$1)</f>
        <v>4</v>
      </c>
      <c r="Q39" s="145">
        <f>SUMIFS(Table2[NewPointsAway],Table2[GameDate], "&lt;=" &amp; $A39, Table2[AwayTeam], Q$1)+SUMIFS(Table2[NewPointsHome],Table2[GameDate], "&lt;=" &amp; $A39, Table2[HomeTeam], Q$1)</f>
        <v>4</v>
      </c>
      <c r="R39" s="145">
        <f>SUMIFS(Table2[NewPointsAway],Table2[GameDate], "&lt;=" &amp; $A39, Table2[AwayTeam], R$1)+SUMIFS(Table2[NewPointsHome],Table2[GameDate], "&lt;=" &amp; $A39, Table2[HomeTeam], R$1)</f>
        <v>5</v>
      </c>
      <c r="S39" s="145">
        <f>SUMIFS(Table2[NewPointsAway],Table2[GameDate], "&lt;=" &amp; $A39, Table2[AwayTeam], S$1)+SUMIFS(Table2[NewPointsHome],Table2[GameDate], "&lt;=" &amp; $A39, Table2[HomeTeam], S$1)</f>
        <v>0</v>
      </c>
      <c r="T39" s="145">
        <f>SUMIFS(Table2[NewPointsAway],Table2[GameDate], "&lt;=" &amp; $A39, Table2[AwayTeam], T$1)+SUMIFS(Table2[NewPointsHome],Table2[GameDate], "&lt;=" &amp; $A39, Table2[HomeTeam], T$1)</f>
        <v>4</v>
      </c>
      <c r="U39" s="145">
        <f>SUMIFS(Table2[NewPointsAway],Table2[GameDate], "&lt;=" &amp; $A39, Table2[AwayTeam], U$1)+SUMIFS(Table2[NewPointsHome],Table2[GameDate], "&lt;=" &amp; $A39, Table2[HomeTeam], U$1)</f>
        <v>2</v>
      </c>
      <c r="V39" s="145">
        <f>SUMIFS(Table2[NewPointsAway],Table2[GameDate], "&lt;=" &amp; $A39, Table2[AwayTeam], V$1)+SUMIFS(Table2[NewPointsHome],Table2[GameDate], "&lt;=" &amp; $A39, Table2[HomeTeam], V$1)</f>
        <v>3</v>
      </c>
      <c r="W39" s="145">
        <f>SUMIFS(Table2[NewPointsAway],Table2[GameDate], "&lt;=" &amp; $A39, Table2[AwayTeam], W$1)+SUMIFS(Table2[NewPointsHome],Table2[GameDate], "&lt;=" &amp; $A39, Table2[HomeTeam], W$1)</f>
        <v>4</v>
      </c>
      <c r="X39" s="145">
        <f>SUMIFS(Table2[NewPointsAway],Table2[GameDate], "&lt;=" &amp; $A39, Table2[AwayTeam], X$1)+SUMIFS(Table2[NewPointsHome],Table2[GameDate], "&lt;=" &amp; $A39, Table2[HomeTeam], X$1)</f>
        <v>4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4</v>
      </c>
      <c r="AA39" s="145">
        <f>SUMIFS(Table2[NewPointsAway],Table2[GameDate], "&lt;=" &amp; $A39, Table2[AwayTeam], AA$1)+SUMIFS(Table2[NewPointsHome],Table2[GameDate], "&lt;=" &amp; $A39, Table2[HomeTeam], AA$1)</f>
        <v>2</v>
      </c>
      <c r="AB39" s="145">
        <f>SUMIFS(Table2[NewPointsAway],Table2[GameDate], "&lt;=" &amp; $A39, Table2[AwayTeam], AB$1)+SUMIFS(Table2[NewPointsHome],Table2[GameDate], "&lt;=" &amp; $A39, Table2[HomeTeam], AB$1)</f>
        <v>2</v>
      </c>
      <c r="AC39" s="145">
        <f>SUMIFS(Table2[NewPointsAway],Table2[GameDate], "&lt;=" &amp; $A39, Table2[AwayTeam], AC$1)+SUMIFS(Table2[NewPointsHome],Table2[GameDate], "&lt;=" &amp; $A39, Table2[HomeTeam], AC$1)</f>
        <v>2</v>
      </c>
      <c r="AD39" s="145">
        <f>SUMIFS(Table2[NewPointsAway],Table2[GameDate], "&lt;=" &amp; $A39, Table2[AwayTeam], AD$1)+SUMIFS(Table2[NewPointsHome],Table2[GameDate], "&lt;=" &amp; $A39, Table2[HomeTeam], AD$1)</f>
        <v>2</v>
      </c>
      <c r="AE39" s="145">
        <f>SUMIFS(Table2[NewPointsAway],Table2[GameDate], "&lt;=" &amp; $A39, Table2[AwayTeam], AE$1)+SUMIFS(Table2[NewPointsHome],Table2[GameDate], "&lt;=" &amp; $A39, Table2[HomeTeam], AE$1)</f>
        <v>4</v>
      </c>
      <c r="AF39" s="145">
        <f>SUMIFS(Table2[NewPointsAway],Table2[GameDate], "&lt;=" &amp; $A39, Table2[AwayTeam], AF$1)+SUMIFS(Table2[NewPointsHome],Table2[GameDate], "&lt;=" &amp; $A39, Table2[HomeTeam], AF$1)</f>
        <v>4</v>
      </c>
      <c r="AG39" s="145">
        <f>SUMIFS(Table2[NewPointsAway],Table2[GameDate], "&lt;=" &amp; $A39, Table2[AwayTeam], AG$1)+SUMIFS(Table2[NewPointsHome],Table2[GameDate], "&lt;=" &amp; $A39, Table2[HomeTeam], AG$1)</f>
        <v>4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2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0</v>
      </c>
      <c r="E40" s="145">
        <f>SUMIFS(Table2[NewPointsAway],Table2[GameDate], "&lt;=" &amp; $A40, Table2[AwayTeam], E$1)+SUMIFS(Table2[NewPointsHome],Table2[GameDate], "&lt;=" &amp; $A40, Table2[HomeTeam], E$1)</f>
        <v>4</v>
      </c>
      <c r="F40" s="145">
        <f>SUMIFS(Table2[NewPointsAway],Table2[GameDate], "&lt;=" &amp; $A40, Table2[AwayTeam], F$1)+SUMIFS(Table2[NewPointsHome],Table2[GameDate], "&lt;=" &amp; $A40, Table2[HomeTeam], F$1)</f>
        <v>2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3</v>
      </c>
      <c r="I40" s="145">
        <f>SUMIFS(Table2[NewPointsAway],Table2[GameDate], "&lt;=" &amp; $A40, Table2[AwayTeam], I$1)+SUMIFS(Table2[NewPointsHome],Table2[GameDate], "&lt;=" &amp; $A40, Table2[HomeTeam], I$1)</f>
        <v>7</v>
      </c>
      <c r="J40" s="145">
        <f>SUMIFS(Table2[NewPointsAway],Table2[GameDate], "&lt;=" &amp; $A40, Table2[AwayTeam], J$1)+SUMIFS(Table2[NewPointsHome],Table2[GameDate], "&lt;=" &amp; $A40, Table2[HomeTeam], J$1)</f>
        <v>4</v>
      </c>
      <c r="K40" s="145">
        <f>SUMIFS(Table2[NewPointsAway],Table2[GameDate], "&lt;=" &amp; $A40, Table2[AwayTeam], K$1)+SUMIFS(Table2[NewPointsHome],Table2[GameDate], "&lt;=" &amp; $A40, Table2[HomeTeam], K$1)</f>
        <v>4</v>
      </c>
      <c r="L40" s="145">
        <f>SUMIFS(Table2[NewPointsAway],Table2[GameDate], "&lt;=" &amp; $A40, Table2[AwayTeam], L$1)+SUMIFS(Table2[NewPointsHome],Table2[GameDate], "&lt;=" &amp; $A40, Table2[HomeTeam], L$1)</f>
        <v>3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3</v>
      </c>
      <c r="O40" s="145">
        <f>SUMIFS(Table2[NewPointsAway],Table2[GameDate], "&lt;=" &amp; $A40, Table2[AwayTeam], O$1)+SUMIFS(Table2[NewPointsHome],Table2[GameDate], "&lt;=" &amp; $A40, Table2[HomeTeam], O$1)</f>
        <v>4</v>
      </c>
      <c r="P40" s="145">
        <f>SUMIFS(Table2[NewPointsAway],Table2[GameDate], "&lt;=" &amp; $A40, Table2[AwayTeam], P$1)+SUMIFS(Table2[NewPointsHome],Table2[GameDate], "&lt;=" &amp; $A40, Table2[HomeTeam], P$1)</f>
        <v>4</v>
      </c>
      <c r="Q40" s="145">
        <f>SUMIFS(Table2[NewPointsAway],Table2[GameDate], "&lt;=" &amp; $A40, Table2[AwayTeam], Q$1)+SUMIFS(Table2[NewPointsHome],Table2[GameDate], "&lt;=" &amp; $A40, Table2[HomeTeam], Q$1)</f>
        <v>4</v>
      </c>
      <c r="R40" s="145">
        <f>SUMIFS(Table2[NewPointsAway],Table2[GameDate], "&lt;=" &amp; $A40, Table2[AwayTeam], R$1)+SUMIFS(Table2[NewPointsHome],Table2[GameDate], "&lt;=" &amp; $A40, Table2[HomeTeam], R$1)</f>
        <v>5</v>
      </c>
      <c r="S40" s="145">
        <f>SUMIFS(Table2[NewPointsAway],Table2[GameDate], "&lt;=" &amp; $A40, Table2[AwayTeam], S$1)+SUMIFS(Table2[NewPointsHome],Table2[GameDate], "&lt;=" &amp; $A40, Table2[HomeTeam], S$1)</f>
        <v>0</v>
      </c>
      <c r="T40" s="145">
        <f>SUMIFS(Table2[NewPointsAway],Table2[GameDate], "&lt;=" &amp; $A40, Table2[AwayTeam], T$1)+SUMIFS(Table2[NewPointsHome],Table2[GameDate], "&lt;=" &amp; $A40, Table2[HomeTeam], T$1)</f>
        <v>4</v>
      </c>
      <c r="U40" s="145">
        <f>SUMIFS(Table2[NewPointsAway],Table2[GameDate], "&lt;=" &amp; $A40, Table2[AwayTeam], U$1)+SUMIFS(Table2[NewPointsHome],Table2[GameDate], "&lt;=" &amp; $A40, Table2[HomeTeam], U$1)</f>
        <v>2</v>
      </c>
      <c r="V40" s="145">
        <f>SUMIFS(Table2[NewPointsAway],Table2[GameDate], "&lt;=" &amp; $A40, Table2[AwayTeam], V$1)+SUMIFS(Table2[NewPointsHome],Table2[GameDate], "&lt;=" &amp; $A40, Table2[HomeTeam], V$1)</f>
        <v>3</v>
      </c>
      <c r="W40" s="145">
        <f>SUMIFS(Table2[NewPointsAway],Table2[GameDate], "&lt;=" &amp; $A40, Table2[AwayTeam], W$1)+SUMIFS(Table2[NewPointsHome],Table2[GameDate], "&lt;=" &amp; $A40, Table2[HomeTeam], W$1)</f>
        <v>4</v>
      </c>
      <c r="X40" s="145">
        <f>SUMIFS(Table2[NewPointsAway],Table2[GameDate], "&lt;=" &amp; $A40, Table2[AwayTeam], X$1)+SUMIFS(Table2[NewPointsHome],Table2[GameDate], "&lt;=" &amp; $A40, Table2[HomeTeam], X$1)</f>
        <v>4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4</v>
      </c>
      <c r="AA40" s="145">
        <f>SUMIFS(Table2[NewPointsAway],Table2[GameDate], "&lt;=" &amp; $A40, Table2[AwayTeam], AA$1)+SUMIFS(Table2[NewPointsHome],Table2[GameDate], "&lt;=" &amp; $A40, Table2[HomeTeam], AA$1)</f>
        <v>2</v>
      </c>
      <c r="AB40" s="145">
        <f>SUMIFS(Table2[NewPointsAway],Table2[GameDate], "&lt;=" &amp; $A40, Table2[AwayTeam], AB$1)+SUMIFS(Table2[NewPointsHome],Table2[GameDate], "&lt;=" &amp; $A40, Table2[HomeTeam], AB$1)</f>
        <v>2</v>
      </c>
      <c r="AC40" s="145">
        <f>SUMIFS(Table2[NewPointsAway],Table2[GameDate], "&lt;=" &amp; $A40, Table2[AwayTeam], AC$1)+SUMIFS(Table2[NewPointsHome],Table2[GameDate], "&lt;=" &amp; $A40, Table2[HomeTeam], AC$1)</f>
        <v>2</v>
      </c>
      <c r="AD40" s="145">
        <f>SUMIFS(Table2[NewPointsAway],Table2[GameDate], "&lt;=" &amp; $A40, Table2[AwayTeam], AD$1)+SUMIFS(Table2[NewPointsHome],Table2[GameDate], "&lt;=" &amp; $A40, Table2[HomeTeam], AD$1)</f>
        <v>2</v>
      </c>
      <c r="AE40" s="145">
        <f>SUMIFS(Table2[NewPointsAway],Table2[GameDate], "&lt;=" &amp; $A40, Table2[AwayTeam], AE$1)+SUMIFS(Table2[NewPointsHome],Table2[GameDate], "&lt;=" &amp; $A40, Table2[HomeTeam], AE$1)</f>
        <v>4</v>
      </c>
      <c r="AF40" s="145">
        <f>SUMIFS(Table2[NewPointsAway],Table2[GameDate], "&lt;=" &amp; $A40, Table2[AwayTeam], AF$1)+SUMIFS(Table2[NewPointsHome],Table2[GameDate], "&lt;=" &amp; $A40, Table2[HomeTeam], AF$1)</f>
        <v>4</v>
      </c>
      <c r="AG40" s="145">
        <f>SUMIFS(Table2[NewPointsAway],Table2[GameDate], "&lt;=" &amp; $A40, Table2[AwayTeam], AG$1)+SUMIFS(Table2[NewPointsHome],Table2[GameDate], "&lt;=" &amp; $A40, Table2[HomeTeam], AG$1)</f>
        <v>4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2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0</v>
      </c>
      <c r="E41" s="145">
        <f>SUMIFS(Table2[NewPointsAway],Table2[GameDate], "&lt;=" &amp; $A41, Table2[AwayTeam], E$1)+SUMIFS(Table2[NewPointsHome],Table2[GameDate], "&lt;=" &amp; $A41, Table2[HomeTeam], E$1)</f>
        <v>4</v>
      </c>
      <c r="F41" s="145">
        <f>SUMIFS(Table2[NewPointsAway],Table2[GameDate], "&lt;=" &amp; $A41, Table2[AwayTeam], F$1)+SUMIFS(Table2[NewPointsHome],Table2[GameDate], "&lt;=" &amp; $A41, Table2[HomeTeam], F$1)</f>
        <v>2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3</v>
      </c>
      <c r="I41" s="145">
        <f>SUMIFS(Table2[NewPointsAway],Table2[GameDate], "&lt;=" &amp; $A41, Table2[AwayTeam], I$1)+SUMIFS(Table2[NewPointsHome],Table2[GameDate], "&lt;=" &amp; $A41, Table2[HomeTeam], I$1)</f>
        <v>7</v>
      </c>
      <c r="J41" s="145">
        <f>SUMIFS(Table2[NewPointsAway],Table2[GameDate], "&lt;=" &amp; $A41, Table2[AwayTeam], J$1)+SUMIFS(Table2[NewPointsHome],Table2[GameDate], "&lt;=" &amp; $A41, Table2[HomeTeam], J$1)</f>
        <v>4</v>
      </c>
      <c r="K41" s="145">
        <f>SUMIFS(Table2[NewPointsAway],Table2[GameDate], "&lt;=" &amp; $A41, Table2[AwayTeam], K$1)+SUMIFS(Table2[NewPointsHome],Table2[GameDate], "&lt;=" &amp; $A41, Table2[HomeTeam], K$1)</f>
        <v>4</v>
      </c>
      <c r="L41" s="145">
        <f>SUMIFS(Table2[NewPointsAway],Table2[GameDate], "&lt;=" &amp; $A41, Table2[AwayTeam], L$1)+SUMIFS(Table2[NewPointsHome],Table2[GameDate], "&lt;=" &amp; $A41, Table2[HomeTeam], L$1)</f>
        <v>3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3</v>
      </c>
      <c r="O41" s="145">
        <f>SUMIFS(Table2[NewPointsAway],Table2[GameDate], "&lt;=" &amp; $A41, Table2[AwayTeam], O$1)+SUMIFS(Table2[NewPointsHome],Table2[GameDate], "&lt;=" &amp; $A41, Table2[HomeTeam], O$1)</f>
        <v>4</v>
      </c>
      <c r="P41" s="145">
        <f>SUMIFS(Table2[NewPointsAway],Table2[GameDate], "&lt;=" &amp; $A41, Table2[AwayTeam], P$1)+SUMIFS(Table2[NewPointsHome],Table2[GameDate], "&lt;=" &amp; $A41, Table2[HomeTeam], P$1)</f>
        <v>4</v>
      </c>
      <c r="Q41" s="145">
        <f>SUMIFS(Table2[NewPointsAway],Table2[GameDate], "&lt;=" &amp; $A41, Table2[AwayTeam], Q$1)+SUMIFS(Table2[NewPointsHome],Table2[GameDate], "&lt;=" &amp; $A41, Table2[HomeTeam], Q$1)</f>
        <v>4</v>
      </c>
      <c r="R41" s="145">
        <f>SUMIFS(Table2[NewPointsAway],Table2[GameDate], "&lt;=" &amp; $A41, Table2[AwayTeam], R$1)+SUMIFS(Table2[NewPointsHome],Table2[GameDate], "&lt;=" &amp; $A41, Table2[HomeTeam], R$1)</f>
        <v>5</v>
      </c>
      <c r="S41" s="145">
        <f>SUMIFS(Table2[NewPointsAway],Table2[GameDate], "&lt;=" &amp; $A41, Table2[AwayTeam], S$1)+SUMIFS(Table2[NewPointsHome],Table2[GameDate], "&lt;=" &amp; $A41, Table2[HomeTeam], S$1)</f>
        <v>0</v>
      </c>
      <c r="T41" s="145">
        <f>SUMIFS(Table2[NewPointsAway],Table2[GameDate], "&lt;=" &amp; $A41, Table2[AwayTeam], T$1)+SUMIFS(Table2[NewPointsHome],Table2[GameDate], "&lt;=" &amp; $A41, Table2[HomeTeam], T$1)</f>
        <v>4</v>
      </c>
      <c r="U41" s="145">
        <f>SUMIFS(Table2[NewPointsAway],Table2[GameDate], "&lt;=" &amp; $A41, Table2[AwayTeam], U$1)+SUMIFS(Table2[NewPointsHome],Table2[GameDate], "&lt;=" &amp; $A41, Table2[HomeTeam], U$1)</f>
        <v>2</v>
      </c>
      <c r="V41" s="145">
        <f>SUMIFS(Table2[NewPointsAway],Table2[GameDate], "&lt;=" &amp; $A41, Table2[AwayTeam], V$1)+SUMIFS(Table2[NewPointsHome],Table2[GameDate], "&lt;=" &amp; $A41, Table2[HomeTeam], V$1)</f>
        <v>3</v>
      </c>
      <c r="W41" s="145">
        <f>SUMIFS(Table2[NewPointsAway],Table2[GameDate], "&lt;=" &amp; $A41, Table2[AwayTeam], W$1)+SUMIFS(Table2[NewPointsHome],Table2[GameDate], "&lt;=" &amp; $A41, Table2[HomeTeam], W$1)</f>
        <v>4</v>
      </c>
      <c r="X41" s="145">
        <f>SUMIFS(Table2[NewPointsAway],Table2[GameDate], "&lt;=" &amp; $A41, Table2[AwayTeam], X$1)+SUMIFS(Table2[NewPointsHome],Table2[GameDate], "&lt;=" &amp; $A41, Table2[HomeTeam], X$1)</f>
        <v>4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4</v>
      </c>
      <c r="AA41" s="145">
        <f>SUMIFS(Table2[NewPointsAway],Table2[GameDate], "&lt;=" &amp; $A41, Table2[AwayTeam], AA$1)+SUMIFS(Table2[NewPointsHome],Table2[GameDate], "&lt;=" &amp; $A41, Table2[HomeTeam], AA$1)</f>
        <v>2</v>
      </c>
      <c r="AB41" s="145">
        <f>SUMIFS(Table2[NewPointsAway],Table2[GameDate], "&lt;=" &amp; $A41, Table2[AwayTeam], AB$1)+SUMIFS(Table2[NewPointsHome],Table2[GameDate], "&lt;=" &amp; $A41, Table2[HomeTeam], AB$1)</f>
        <v>2</v>
      </c>
      <c r="AC41" s="145">
        <f>SUMIFS(Table2[NewPointsAway],Table2[GameDate], "&lt;=" &amp; $A41, Table2[AwayTeam], AC$1)+SUMIFS(Table2[NewPointsHome],Table2[GameDate], "&lt;=" &amp; $A41, Table2[HomeTeam], AC$1)</f>
        <v>2</v>
      </c>
      <c r="AD41" s="145">
        <f>SUMIFS(Table2[NewPointsAway],Table2[GameDate], "&lt;=" &amp; $A41, Table2[AwayTeam], AD$1)+SUMIFS(Table2[NewPointsHome],Table2[GameDate], "&lt;=" &amp; $A41, Table2[HomeTeam], AD$1)</f>
        <v>2</v>
      </c>
      <c r="AE41" s="145">
        <f>SUMIFS(Table2[NewPointsAway],Table2[GameDate], "&lt;=" &amp; $A41, Table2[AwayTeam], AE$1)+SUMIFS(Table2[NewPointsHome],Table2[GameDate], "&lt;=" &amp; $A41, Table2[HomeTeam], AE$1)</f>
        <v>4</v>
      </c>
      <c r="AF41" s="145">
        <f>SUMIFS(Table2[NewPointsAway],Table2[GameDate], "&lt;=" &amp; $A41, Table2[AwayTeam], AF$1)+SUMIFS(Table2[NewPointsHome],Table2[GameDate], "&lt;=" &amp; $A41, Table2[HomeTeam], AF$1)</f>
        <v>4</v>
      </c>
      <c r="AG41" s="145">
        <f>SUMIFS(Table2[NewPointsAway],Table2[GameDate], "&lt;=" &amp; $A41, Table2[AwayTeam], AG$1)+SUMIFS(Table2[NewPointsHome],Table2[GameDate], "&lt;=" &amp; $A41, Table2[HomeTeam], AG$1)</f>
        <v>4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2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0</v>
      </c>
      <c r="E42" s="145">
        <f>SUMIFS(Table2[NewPointsAway],Table2[GameDate], "&lt;=" &amp; $A42, Table2[AwayTeam], E$1)+SUMIFS(Table2[NewPointsHome],Table2[GameDate], "&lt;=" &amp; $A42, Table2[HomeTeam], E$1)</f>
        <v>4</v>
      </c>
      <c r="F42" s="145">
        <f>SUMIFS(Table2[NewPointsAway],Table2[GameDate], "&lt;=" &amp; $A42, Table2[AwayTeam], F$1)+SUMIFS(Table2[NewPointsHome],Table2[GameDate], "&lt;=" &amp; $A42, Table2[HomeTeam], F$1)</f>
        <v>2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3</v>
      </c>
      <c r="I42" s="145">
        <f>SUMIFS(Table2[NewPointsAway],Table2[GameDate], "&lt;=" &amp; $A42, Table2[AwayTeam], I$1)+SUMIFS(Table2[NewPointsHome],Table2[GameDate], "&lt;=" &amp; $A42, Table2[HomeTeam], I$1)</f>
        <v>7</v>
      </c>
      <c r="J42" s="145">
        <f>SUMIFS(Table2[NewPointsAway],Table2[GameDate], "&lt;=" &amp; $A42, Table2[AwayTeam], J$1)+SUMIFS(Table2[NewPointsHome],Table2[GameDate], "&lt;=" &amp; $A42, Table2[HomeTeam], J$1)</f>
        <v>4</v>
      </c>
      <c r="K42" s="145">
        <f>SUMIFS(Table2[NewPointsAway],Table2[GameDate], "&lt;=" &amp; $A42, Table2[AwayTeam], K$1)+SUMIFS(Table2[NewPointsHome],Table2[GameDate], "&lt;=" &amp; $A42, Table2[HomeTeam], K$1)</f>
        <v>4</v>
      </c>
      <c r="L42" s="145">
        <f>SUMIFS(Table2[NewPointsAway],Table2[GameDate], "&lt;=" &amp; $A42, Table2[AwayTeam], L$1)+SUMIFS(Table2[NewPointsHome],Table2[GameDate], "&lt;=" &amp; $A42, Table2[HomeTeam], L$1)</f>
        <v>3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3</v>
      </c>
      <c r="O42" s="145">
        <f>SUMIFS(Table2[NewPointsAway],Table2[GameDate], "&lt;=" &amp; $A42, Table2[AwayTeam], O$1)+SUMIFS(Table2[NewPointsHome],Table2[GameDate], "&lt;=" &amp; $A42, Table2[HomeTeam], O$1)</f>
        <v>4</v>
      </c>
      <c r="P42" s="145">
        <f>SUMIFS(Table2[NewPointsAway],Table2[GameDate], "&lt;=" &amp; $A42, Table2[AwayTeam], P$1)+SUMIFS(Table2[NewPointsHome],Table2[GameDate], "&lt;=" &amp; $A42, Table2[HomeTeam], P$1)</f>
        <v>4</v>
      </c>
      <c r="Q42" s="145">
        <f>SUMIFS(Table2[NewPointsAway],Table2[GameDate], "&lt;=" &amp; $A42, Table2[AwayTeam], Q$1)+SUMIFS(Table2[NewPointsHome],Table2[GameDate], "&lt;=" &amp; $A42, Table2[HomeTeam], Q$1)</f>
        <v>4</v>
      </c>
      <c r="R42" s="145">
        <f>SUMIFS(Table2[NewPointsAway],Table2[GameDate], "&lt;=" &amp; $A42, Table2[AwayTeam], R$1)+SUMIFS(Table2[NewPointsHome],Table2[GameDate], "&lt;=" &amp; $A42, Table2[HomeTeam], R$1)</f>
        <v>5</v>
      </c>
      <c r="S42" s="145">
        <f>SUMIFS(Table2[NewPointsAway],Table2[GameDate], "&lt;=" &amp; $A42, Table2[AwayTeam], S$1)+SUMIFS(Table2[NewPointsHome],Table2[GameDate], "&lt;=" &amp; $A42, Table2[HomeTeam], S$1)</f>
        <v>0</v>
      </c>
      <c r="T42" s="145">
        <f>SUMIFS(Table2[NewPointsAway],Table2[GameDate], "&lt;=" &amp; $A42, Table2[AwayTeam], T$1)+SUMIFS(Table2[NewPointsHome],Table2[GameDate], "&lt;=" &amp; $A42, Table2[HomeTeam], T$1)</f>
        <v>4</v>
      </c>
      <c r="U42" s="145">
        <f>SUMIFS(Table2[NewPointsAway],Table2[GameDate], "&lt;=" &amp; $A42, Table2[AwayTeam], U$1)+SUMIFS(Table2[NewPointsHome],Table2[GameDate], "&lt;=" &amp; $A42, Table2[HomeTeam], U$1)</f>
        <v>2</v>
      </c>
      <c r="V42" s="145">
        <f>SUMIFS(Table2[NewPointsAway],Table2[GameDate], "&lt;=" &amp; $A42, Table2[AwayTeam], V$1)+SUMIFS(Table2[NewPointsHome],Table2[GameDate], "&lt;=" &amp; $A42, Table2[HomeTeam], V$1)</f>
        <v>3</v>
      </c>
      <c r="W42" s="145">
        <f>SUMIFS(Table2[NewPointsAway],Table2[GameDate], "&lt;=" &amp; $A42, Table2[AwayTeam], W$1)+SUMIFS(Table2[NewPointsHome],Table2[GameDate], "&lt;=" &amp; $A42, Table2[HomeTeam], W$1)</f>
        <v>4</v>
      </c>
      <c r="X42" s="145">
        <f>SUMIFS(Table2[NewPointsAway],Table2[GameDate], "&lt;=" &amp; $A42, Table2[AwayTeam], X$1)+SUMIFS(Table2[NewPointsHome],Table2[GameDate], "&lt;=" &amp; $A42, Table2[HomeTeam], X$1)</f>
        <v>4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4</v>
      </c>
      <c r="AA42" s="145">
        <f>SUMIFS(Table2[NewPointsAway],Table2[GameDate], "&lt;=" &amp; $A42, Table2[AwayTeam], AA$1)+SUMIFS(Table2[NewPointsHome],Table2[GameDate], "&lt;=" &amp; $A42, Table2[HomeTeam], AA$1)</f>
        <v>2</v>
      </c>
      <c r="AB42" s="145">
        <f>SUMIFS(Table2[NewPointsAway],Table2[GameDate], "&lt;=" &amp; $A42, Table2[AwayTeam], AB$1)+SUMIFS(Table2[NewPointsHome],Table2[GameDate], "&lt;=" &amp; $A42, Table2[HomeTeam], AB$1)</f>
        <v>2</v>
      </c>
      <c r="AC42" s="145">
        <f>SUMIFS(Table2[NewPointsAway],Table2[GameDate], "&lt;=" &amp; $A42, Table2[AwayTeam], AC$1)+SUMIFS(Table2[NewPointsHome],Table2[GameDate], "&lt;=" &amp; $A42, Table2[HomeTeam], AC$1)</f>
        <v>2</v>
      </c>
      <c r="AD42" s="145">
        <f>SUMIFS(Table2[NewPointsAway],Table2[GameDate], "&lt;=" &amp; $A42, Table2[AwayTeam], AD$1)+SUMIFS(Table2[NewPointsHome],Table2[GameDate], "&lt;=" &amp; $A42, Table2[HomeTeam], AD$1)</f>
        <v>2</v>
      </c>
      <c r="AE42" s="145">
        <f>SUMIFS(Table2[NewPointsAway],Table2[GameDate], "&lt;=" &amp; $A42, Table2[AwayTeam], AE$1)+SUMIFS(Table2[NewPointsHome],Table2[GameDate], "&lt;=" &amp; $A42, Table2[HomeTeam], AE$1)</f>
        <v>4</v>
      </c>
      <c r="AF42" s="145">
        <f>SUMIFS(Table2[NewPointsAway],Table2[GameDate], "&lt;=" &amp; $A42, Table2[AwayTeam], AF$1)+SUMIFS(Table2[NewPointsHome],Table2[GameDate], "&lt;=" &amp; $A42, Table2[HomeTeam], AF$1)</f>
        <v>4</v>
      </c>
      <c r="AG42" s="145">
        <f>SUMIFS(Table2[NewPointsAway],Table2[GameDate], "&lt;=" &amp; $A42, Table2[AwayTeam], AG$1)+SUMIFS(Table2[NewPointsHome],Table2[GameDate], "&lt;=" &amp; $A42, Table2[HomeTeam], AG$1)</f>
        <v>4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2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0</v>
      </c>
      <c r="E43" s="145">
        <f>SUMIFS(Table2[NewPointsAway],Table2[GameDate], "&lt;=" &amp; $A43, Table2[AwayTeam], E$1)+SUMIFS(Table2[NewPointsHome],Table2[GameDate], "&lt;=" &amp; $A43, Table2[HomeTeam], E$1)</f>
        <v>4</v>
      </c>
      <c r="F43" s="145">
        <f>SUMIFS(Table2[NewPointsAway],Table2[GameDate], "&lt;=" &amp; $A43, Table2[AwayTeam], F$1)+SUMIFS(Table2[NewPointsHome],Table2[GameDate], "&lt;=" &amp; $A43, Table2[HomeTeam], F$1)</f>
        <v>2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3</v>
      </c>
      <c r="I43" s="145">
        <f>SUMIFS(Table2[NewPointsAway],Table2[GameDate], "&lt;=" &amp; $A43, Table2[AwayTeam], I$1)+SUMIFS(Table2[NewPointsHome],Table2[GameDate], "&lt;=" &amp; $A43, Table2[HomeTeam], I$1)</f>
        <v>7</v>
      </c>
      <c r="J43" s="145">
        <f>SUMIFS(Table2[NewPointsAway],Table2[GameDate], "&lt;=" &amp; $A43, Table2[AwayTeam], J$1)+SUMIFS(Table2[NewPointsHome],Table2[GameDate], "&lt;=" &amp; $A43, Table2[HomeTeam], J$1)</f>
        <v>4</v>
      </c>
      <c r="K43" s="145">
        <f>SUMIFS(Table2[NewPointsAway],Table2[GameDate], "&lt;=" &amp; $A43, Table2[AwayTeam], K$1)+SUMIFS(Table2[NewPointsHome],Table2[GameDate], "&lt;=" &amp; $A43, Table2[HomeTeam], K$1)</f>
        <v>4</v>
      </c>
      <c r="L43" s="145">
        <f>SUMIFS(Table2[NewPointsAway],Table2[GameDate], "&lt;=" &amp; $A43, Table2[AwayTeam], L$1)+SUMIFS(Table2[NewPointsHome],Table2[GameDate], "&lt;=" &amp; $A43, Table2[HomeTeam], L$1)</f>
        <v>3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3</v>
      </c>
      <c r="O43" s="145">
        <f>SUMIFS(Table2[NewPointsAway],Table2[GameDate], "&lt;=" &amp; $A43, Table2[AwayTeam], O$1)+SUMIFS(Table2[NewPointsHome],Table2[GameDate], "&lt;=" &amp; $A43, Table2[HomeTeam], O$1)</f>
        <v>4</v>
      </c>
      <c r="P43" s="145">
        <f>SUMIFS(Table2[NewPointsAway],Table2[GameDate], "&lt;=" &amp; $A43, Table2[AwayTeam], P$1)+SUMIFS(Table2[NewPointsHome],Table2[GameDate], "&lt;=" &amp; $A43, Table2[HomeTeam], P$1)</f>
        <v>4</v>
      </c>
      <c r="Q43" s="145">
        <f>SUMIFS(Table2[NewPointsAway],Table2[GameDate], "&lt;=" &amp; $A43, Table2[AwayTeam], Q$1)+SUMIFS(Table2[NewPointsHome],Table2[GameDate], "&lt;=" &amp; $A43, Table2[HomeTeam], Q$1)</f>
        <v>4</v>
      </c>
      <c r="R43" s="145">
        <f>SUMIFS(Table2[NewPointsAway],Table2[GameDate], "&lt;=" &amp; $A43, Table2[AwayTeam], R$1)+SUMIFS(Table2[NewPointsHome],Table2[GameDate], "&lt;=" &amp; $A43, Table2[HomeTeam], R$1)</f>
        <v>5</v>
      </c>
      <c r="S43" s="145">
        <f>SUMIFS(Table2[NewPointsAway],Table2[GameDate], "&lt;=" &amp; $A43, Table2[AwayTeam], S$1)+SUMIFS(Table2[NewPointsHome],Table2[GameDate], "&lt;=" &amp; $A43, Table2[HomeTeam], S$1)</f>
        <v>0</v>
      </c>
      <c r="T43" s="145">
        <f>SUMIFS(Table2[NewPointsAway],Table2[GameDate], "&lt;=" &amp; $A43, Table2[AwayTeam], T$1)+SUMIFS(Table2[NewPointsHome],Table2[GameDate], "&lt;=" &amp; $A43, Table2[HomeTeam], T$1)</f>
        <v>4</v>
      </c>
      <c r="U43" s="145">
        <f>SUMIFS(Table2[NewPointsAway],Table2[GameDate], "&lt;=" &amp; $A43, Table2[AwayTeam], U$1)+SUMIFS(Table2[NewPointsHome],Table2[GameDate], "&lt;=" &amp; $A43, Table2[HomeTeam], U$1)</f>
        <v>2</v>
      </c>
      <c r="V43" s="145">
        <f>SUMIFS(Table2[NewPointsAway],Table2[GameDate], "&lt;=" &amp; $A43, Table2[AwayTeam], V$1)+SUMIFS(Table2[NewPointsHome],Table2[GameDate], "&lt;=" &amp; $A43, Table2[HomeTeam], V$1)</f>
        <v>3</v>
      </c>
      <c r="W43" s="145">
        <f>SUMIFS(Table2[NewPointsAway],Table2[GameDate], "&lt;=" &amp; $A43, Table2[AwayTeam], W$1)+SUMIFS(Table2[NewPointsHome],Table2[GameDate], "&lt;=" &amp; $A43, Table2[HomeTeam], W$1)</f>
        <v>4</v>
      </c>
      <c r="X43" s="145">
        <f>SUMIFS(Table2[NewPointsAway],Table2[GameDate], "&lt;=" &amp; $A43, Table2[AwayTeam], X$1)+SUMIFS(Table2[NewPointsHome],Table2[GameDate], "&lt;=" &amp; $A43, Table2[HomeTeam], X$1)</f>
        <v>4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4</v>
      </c>
      <c r="AA43" s="145">
        <f>SUMIFS(Table2[NewPointsAway],Table2[GameDate], "&lt;=" &amp; $A43, Table2[AwayTeam], AA$1)+SUMIFS(Table2[NewPointsHome],Table2[GameDate], "&lt;=" &amp; $A43, Table2[HomeTeam], AA$1)</f>
        <v>2</v>
      </c>
      <c r="AB43" s="145">
        <f>SUMIFS(Table2[NewPointsAway],Table2[GameDate], "&lt;=" &amp; $A43, Table2[AwayTeam], AB$1)+SUMIFS(Table2[NewPointsHome],Table2[GameDate], "&lt;=" &amp; $A43, Table2[HomeTeam], AB$1)</f>
        <v>2</v>
      </c>
      <c r="AC43" s="145">
        <f>SUMIFS(Table2[NewPointsAway],Table2[GameDate], "&lt;=" &amp; $A43, Table2[AwayTeam], AC$1)+SUMIFS(Table2[NewPointsHome],Table2[GameDate], "&lt;=" &amp; $A43, Table2[HomeTeam], AC$1)</f>
        <v>2</v>
      </c>
      <c r="AD43" s="145">
        <f>SUMIFS(Table2[NewPointsAway],Table2[GameDate], "&lt;=" &amp; $A43, Table2[AwayTeam], AD$1)+SUMIFS(Table2[NewPointsHome],Table2[GameDate], "&lt;=" &amp; $A43, Table2[HomeTeam], AD$1)</f>
        <v>2</v>
      </c>
      <c r="AE43" s="145">
        <f>SUMIFS(Table2[NewPointsAway],Table2[GameDate], "&lt;=" &amp; $A43, Table2[AwayTeam], AE$1)+SUMIFS(Table2[NewPointsHome],Table2[GameDate], "&lt;=" &amp; $A43, Table2[HomeTeam], AE$1)</f>
        <v>4</v>
      </c>
      <c r="AF43" s="145">
        <f>SUMIFS(Table2[NewPointsAway],Table2[GameDate], "&lt;=" &amp; $A43, Table2[AwayTeam], AF$1)+SUMIFS(Table2[NewPointsHome],Table2[GameDate], "&lt;=" &amp; $A43, Table2[HomeTeam], AF$1)</f>
        <v>4</v>
      </c>
      <c r="AG43" s="145">
        <f>SUMIFS(Table2[NewPointsAway],Table2[GameDate], "&lt;=" &amp; $A43, Table2[AwayTeam], AG$1)+SUMIFS(Table2[NewPointsHome],Table2[GameDate], "&lt;=" &amp; $A43, Table2[HomeTeam], AG$1)</f>
        <v>4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2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0</v>
      </c>
      <c r="E44" s="145">
        <f>SUMIFS(Table2[NewPointsAway],Table2[GameDate], "&lt;=" &amp; $A44, Table2[AwayTeam], E$1)+SUMIFS(Table2[NewPointsHome],Table2[GameDate], "&lt;=" &amp; $A44, Table2[HomeTeam], E$1)</f>
        <v>4</v>
      </c>
      <c r="F44" s="145">
        <f>SUMIFS(Table2[NewPointsAway],Table2[GameDate], "&lt;=" &amp; $A44, Table2[AwayTeam], F$1)+SUMIFS(Table2[NewPointsHome],Table2[GameDate], "&lt;=" &amp; $A44, Table2[HomeTeam], F$1)</f>
        <v>2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3</v>
      </c>
      <c r="I44" s="145">
        <f>SUMIFS(Table2[NewPointsAway],Table2[GameDate], "&lt;=" &amp; $A44, Table2[AwayTeam], I$1)+SUMIFS(Table2[NewPointsHome],Table2[GameDate], "&lt;=" &amp; $A44, Table2[HomeTeam], I$1)</f>
        <v>7</v>
      </c>
      <c r="J44" s="145">
        <f>SUMIFS(Table2[NewPointsAway],Table2[GameDate], "&lt;=" &amp; $A44, Table2[AwayTeam], J$1)+SUMIFS(Table2[NewPointsHome],Table2[GameDate], "&lt;=" &amp; $A44, Table2[HomeTeam], J$1)</f>
        <v>4</v>
      </c>
      <c r="K44" s="145">
        <f>SUMIFS(Table2[NewPointsAway],Table2[GameDate], "&lt;=" &amp; $A44, Table2[AwayTeam], K$1)+SUMIFS(Table2[NewPointsHome],Table2[GameDate], "&lt;=" &amp; $A44, Table2[HomeTeam], K$1)</f>
        <v>4</v>
      </c>
      <c r="L44" s="145">
        <f>SUMIFS(Table2[NewPointsAway],Table2[GameDate], "&lt;=" &amp; $A44, Table2[AwayTeam], L$1)+SUMIFS(Table2[NewPointsHome],Table2[GameDate], "&lt;=" &amp; $A44, Table2[HomeTeam], L$1)</f>
        <v>3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3</v>
      </c>
      <c r="O44" s="145">
        <f>SUMIFS(Table2[NewPointsAway],Table2[GameDate], "&lt;=" &amp; $A44, Table2[AwayTeam], O$1)+SUMIFS(Table2[NewPointsHome],Table2[GameDate], "&lt;=" &amp; $A44, Table2[HomeTeam], O$1)</f>
        <v>4</v>
      </c>
      <c r="P44" s="145">
        <f>SUMIFS(Table2[NewPointsAway],Table2[GameDate], "&lt;=" &amp; $A44, Table2[AwayTeam], P$1)+SUMIFS(Table2[NewPointsHome],Table2[GameDate], "&lt;=" &amp; $A44, Table2[HomeTeam], P$1)</f>
        <v>4</v>
      </c>
      <c r="Q44" s="145">
        <f>SUMIFS(Table2[NewPointsAway],Table2[GameDate], "&lt;=" &amp; $A44, Table2[AwayTeam], Q$1)+SUMIFS(Table2[NewPointsHome],Table2[GameDate], "&lt;=" &amp; $A44, Table2[HomeTeam], Q$1)</f>
        <v>4</v>
      </c>
      <c r="R44" s="145">
        <f>SUMIFS(Table2[NewPointsAway],Table2[GameDate], "&lt;=" &amp; $A44, Table2[AwayTeam], R$1)+SUMIFS(Table2[NewPointsHome],Table2[GameDate], "&lt;=" &amp; $A44, Table2[HomeTeam], R$1)</f>
        <v>5</v>
      </c>
      <c r="S44" s="145">
        <f>SUMIFS(Table2[NewPointsAway],Table2[GameDate], "&lt;=" &amp; $A44, Table2[AwayTeam], S$1)+SUMIFS(Table2[NewPointsHome],Table2[GameDate], "&lt;=" &amp; $A44, Table2[HomeTeam], S$1)</f>
        <v>0</v>
      </c>
      <c r="T44" s="145">
        <f>SUMIFS(Table2[NewPointsAway],Table2[GameDate], "&lt;=" &amp; $A44, Table2[AwayTeam], T$1)+SUMIFS(Table2[NewPointsHome],Table2[GameDate], "&lt;=" &amp; $A44, Table2[HomeTeam], T$1)</f>
        <v>4</v>
      </c>
      <c r="U44" s="145">
        <f>SUMIFS(Table2[NewPointsAway],Table2[GameDate], "&lt;=" &amp; $A44, Table2[AwayTeam], U$1)+SUMIFS(Table2[NewPointsHome],Table2[GameDate], "&lt;=" &amp; $A44, Table2[HomeTeam], U$1)</f>
        <v>2</v>
      </c>
      <c r="V44" s="145">
        <f>SUMIFS(Table2[NewPointsAway],Table2[GameDate], "&lt;=" &amp; $A44, Table2[AwayTeam], V$1)+SUMIFS(Table2[NewPointsHome],Table2[GameDate], "&lt;=" &amp; $A44, Table2[HomeTeam], V$1)</f>
        <v>3</v>
      </c>
      <c r="W44" s="145">
        <f>SUMIFS(Table2[NewPointsAway],Table2[GameDate], "&lt;=" &amp; $A44, Table2[AwayTeam], W$1)+SUMIFS(Table2[NewPointsHome],Table2[GameDate], "&lt;=" &amp; $A44, Table2[HomeTeam], W$1)</f>
        <v>4</v>
      </c>
      <c r="X44" s="145">
        <f>SUMIFS(Table2[NewPointsAway],Table2[GameDate], "&lt;=" &amp; $A44, Table2[AwayTeam], X$1)+SUMIFS(Table2[NewPointsHome],Table2[GameDate], "&lt;=" &amp; $A44, Table2[HomeTeam], X$1)</f>
        <v>4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4</v>
      </c>
      <c r="AA44" s="145">
        <f>SUMIFS(Table2[NewPointsAway],Table2[GameDate], "&lt;=" &amp; $A44, Table2[AwayTeam], AA$1)+SUMIFS(Table2[NewPointsHome],Table2[GameDate], "&lt;=" &amp; $A44, Table2[HomeTeam], AA$1)</f>
        <v>2</v>
      </c>
      <c r="AB44" s="145">
        <f>SUMIFS(Table2[NewPointsAway],Table2[GameDate], "&lt;=" &amp; $A44, Table2[AwayTeam], AB$1)+SUMIFS(Table2[NewPointsHome],Table2[GameDate], "&lt;=" &amp; $A44, Table2[HomeTeam], AB$1)</f>
        <v>2</v>
      </c>
      <c r="AC44" s="145">
        <f>SUMIFS(Table2[NewPointsAway],Table2[GameDate], "&lt;=" &amp; $A44, Table2[AwayTeam], AC$1)+SUMIFS(Table2[NewPointsHome],Table2[GameDate], "&lt;=" &amp; $A44, Table2[HomeTeam], AC$1)</f>
        <v>2</v>
      </c>
      <c r="AD44" s="145">
        <f>SUMIFS(Table2[NewPointsAway],Table2[GameDate], "&lt;=" &amp; $A44, Table2[AwayTeam], AD$1)+SUMIFS(Table2[NewPointsHome],Table2[GameDate], "&lt;=" &amp; $A44, Table2[HomeTeam], AD$1)</f>
        <v>2</v>
      </c>
      <c r="AE44" s="145">
        <f>SUMIFS(Table2[NewPointsAway],Table2[GameDate], "&lt;=" &amp; $A44, Table2[AwayTeam], AE$1)+SUMIFS(Table2[NewPointsHome],Table2[GameDate], "&lt;=" &amp; $A44, Table2[HomeTeam], AE$1)</f>
        <v>4</v>
      </c>
      <c r="AF44" s="145">
        <f>SUMIFS(Table2[NewPointsAway],Table2[GameDate], "&lt;=" &amp; $A44, Table2[AwayTeam], AF$1)+SUMIFS(Table2[NewPointsHome],Table2[GameDate], "&lt;=" &amp; $A44, Table2[HomeTeam], AF$1)</f>
        <v>4</v>
      </c>
      <c r="AG44" s="145">
        <f>SUMIFS(Table2[NewPointsAway],Table2[GameDate], "&lt;=" &amp; $A44, Table2[AwayTeam], AG$1)+SUMIFS(Table2[NewPointsHome],Table2[GameDate], "&lt;=" &amp; $A44, Table2[HomeTeam], AG$1)</f>
        <v>4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2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0</v>
      </c>
      <c r="E45" s="145">
        <f>SUMIFS(Table2[NewPointsAway],Table2[GameDate], "&lt;=" &amp; $A45, Table2[AwayTeam], E$1)+SUMIFS(Table2[NewPointsHome],Table2[GameDate], "&lt;=" &amp; $A45, Table2[HomeTeam], E$1)</f>
        <v>4</v>
      </c>
      <c r="F45" s="145">
        <f>SUMIFS(Table2[NewPointsAway],Table2[GameDate], "&lt;=" &amp; $A45, Table2[AwayTeam], F$1)+SUMIFS(Table2[NewPointsHome],Table2[GameDate], "&lt;=" &amp; $A45, Table2[HomeTeam], F$1)</f>
        <v>2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3</v>
      </c>
      <c r="I45" s="145">
        <f>SUMIFS(Table2[NewPointsAway],Table2[GameDate], "&lt;=" &amp; $A45, Table2[AwayTeam], I$1)+SUMIFS(Table2[NewPointsHome],Table2[GameDate], "&lt;=" &amp; $A45, Table2[HomeTeam], I$1)</f>
        <v>7</v>
      </c>
      <c r="J45" s="145">
        <f>SUMIFS(Table2[NewPointsAway],Table2[GameDate], "&lt;=" &amp; $A45, Table2[AwayTeam], J$1)+SUMIFS(Table2[NewPointsHome],Table2[GameDate], "&lt;=" &amp; $A45, Table2[HomeTeam], J$1)</f>
        <v>4</v>
      </c>
      <c r="K45" s="145">
        <f>SUMIFS(Table2[NewPointsAway],Table2[GameDate], "&lt;=" &amp; $A45, Table2[AwayTeam], K$1)+SUMIFS(Table2[NewPointsHome],Table2[GameDate], "&lt;=" &amp; $A45, Table2[HomeTeam], K$1)</f>
        <v>4</v>
      </c>
      <c r="L45" s="145">
        <f>SUMIFS(Table2[NewPointsAway],Table2[GameDate], "&lt;=" &amp; $A45, Table2[AwayTeam], L$1)+SUMIFS(Table2[NewPointsHome],Table2[GameDate], "&lt;=" &amp; $A45, Table2[HomeTeam], L$1)</f>
        <v>3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3</v>
      </c>
      <c r="O45" s="145">
        <f>SUMIFS(Table2[NewPointsAway],Table2[GameDate], "&lt;=" &amp; $A45, Table2[AwayTeam], O$1)+SUMIFS(Table2[NewPointsHome],Table2[GameDate], "&lt;=" &amp; $A45, Table2[HomeTeam], O$1)</f>
        <v>4</v>
      </c>
      <c r="P45" s="145">
        <f>SUMIFS(Table2[NewPointsAway],Table2[GameDate], "&lt;=" &amp; $A45, Table2[AwayTeam], P$1)+SUMIFS(Table2[NewPointsHome],Table2[GameDate], "&lt;=" &amp; $A45, Table2[HomeTeam], P$1)</f>
        <v>4</v>
      </c>
      <c r="Q45" s="145">
        <f>SUMIFS(Table2[NewPointsAway],Table2[GameDate], "&lt;=" &amp; $A45, Table2[AwayTeam], Q$1)+SUMIFS(Table2[NewPointsHome],Table2[GameDate], "&lt;=" &amp; $A45, Table2[HomeTeam], Q$1)</f>
        <v>4</v>
      </c>
      <c r="R45" s="145">
        <f>SUMIFS(Table2[NewPointsAway],Table2[GameDate], "&lt;=" &amp; $A45, Table2[AwayTeam], R$1)+SUMIFS(Table2[NewPointsHome],Table2[GameDate], "&lt;=" &amp; $A45, Table2[HomeTeam], R$1)</f>
        <v>5</v>
      </c>
      <c r="S45" s="145">
        <f>SUMIFS(Table2[NewPointsAway],Table2[GameDate], "&lt;=" &amp; $A45, Table2[AwayTeam], S$1)+SUMIFS(Table2[NewPointsHome],Table2[GameDate], "&lt;=" &amp; $A45, Table2[HomeTeam], S$1)</f>
        <v>0</v>
      </c>
      <c r="T45" s="145">
        <f>SUMIFS(Table2[NewPointsAway],Table2[GameDate], "&lt;=" &amp; $A45, Table2[AwayTeam], T$1)+SUMIFS(Table2[NewPointsHome],Table2[GameDate], "&lt;=" &amp; $A45, Table2[HomeTeam], T$1)</f>
        <v>4</v>
      </c>
      <c r="U45" s="145">
        <f>SUMIFS(Table2[NewPointsAway],Table2[GameDate], "&lt;=" &amp; $A45, Table2[AwayTeam], U$1)+SUMIFS(Table2[NewPointsHome],Table2[GameDate], "&lt;=" &amp; $A45, Table2[HomeTeam], U$1)</f>
        <v>2</v>
      </c>
      <c r="V45" s="145">
        <f>SUMIFS(Table2[NewPointsAway],Table2[GameDate], "&lt;=" &amp; $A45, Table2[AwayTeam], V$1)+SUMIFS(Table2[NewPointsHome],Table2[GameDate], "&lt;=" &amp; $A45, Table2[HomeTeam], V$1)</f>
        <v>3</v>
      </c>
      <c r="W45" s="145">
        <f>SUMIFS(Table2[NewPointsAway],Table2[GameDate], "&lt;=" &amp; $A45, Table2[AwayTeam], W$1)+SUMIFS(Table2[NewPointsHome],Table2[GameDate], "&lt;=" &amp; $A45, Table2[HomeTeam], W$1)</f>
        <v>4</v>
      </c>
      <c r="X45" s="145">
        <f>SUMIFS(Table2[NewPointsAway],Table2[GameDate], "&lt;=" &amp; $A45, Table2[AwayTeam], X$1)+SUMIFS(Table2[NewPointsHome],Table2[GameDate], "&lt;=" &amp; $A45, Table2[HomeTeam], X$1)</f>
        <v>4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4</v>
      </c>
      <c r="AA45" s="145">
        <f>SUMIFS(Table2[NewPointsAway],Table2[GameDate], "&lt;=" &amp; $A45, Table2[AwayTeam], AA$1)+SUMIFS(Table2[NewPointsHome],Table2[GameDate], "&lt;=" &amp; $A45, Table2[HomeTeam], AA$1)</f>
        <v>2</v>
      </c>
      <c r="AB45" s="145">
        <f>SUMIFS(Table2[NewPointsAway],Table2[GameDate], "&lt;=" &amp; $A45, Table2[AwayTeam], AB$1)+SUMIFS(Table2[NewPointsHome],Table2[GameDate], "&lt;=" &amp; $A45, Table2[HomeTeam], AB$1)</f>
        <v>2</v>
      </c>
      <c r="AC45" s="145">
        <f>SUMIFS(Table2[NewPointsAway],Table2[GameDate], "&lt;=" &amp; $A45, Table2[AwayTeam], AC$1)+SUMIFS(Table2[NewPointsHome],Table2[GameDate], "&lt;=" &amp; $A45, Table2[HomeTeam], AC$1)</f>
        <v>2</v>
      </c>
      <c r="AD45" s="145">
        <f>SUMIFS(Table2[NewPointsAway],Table2[GameDate], "&lt;=" &amp; $A45, Table2[AwayTeam], AD$1)+SUMIFS(Table2[NewPointsHome],Table2[GameDate], "&lt;=" &amp; $A45, Table2[HomeTeam], AD$1)</f>
        <v>2</v>
      </c>
      <c r="AE45" s="145">
        <f>SUMIFS(Table2[NewPointsAway],Table2[GameDate], "&lt;=" &amp; $A45, Table2[AwayTeam], AE$1)+SUMIFS(Table2[NewPointsHome],Table2[GameDate], "&lt;=" &amp; $A45, Table2[HomeTeam], AE$1)</f>
        <v>4</v>
      </c>
      <c r="AF45" s="145">
        <f>SUMIFS(Table2[NewPointsAway],Table2[GameDate], "&lt;=" &amp; $A45, Table2[AwayTeam], AF$1)+SUMIFS(Table2[NewPointsHome],Table2[GameDate], "&lt;=" &amp; $A45, Table2[HomeTeam], AF$1)</f>
        <v>4</v>
      </c>
      <c r="AG45" s="145">
        <f>SUMIFS(Table2[NewPointsAway],Table2[GameDate], "&lt;=" &amp; $A45, Table2[AwayTeam], AG$1)+SUMIFS(Table2[NewPointsHome],Table2[GameDate], "&lt;=" &amp; $A45, Table2[HomeTeam], AG$1)</f>
        <v>4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2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0</v>
      </c>
      <c r="E46" s="145">
        <f>SUMIFS(Table2[NewPointsAway],Table2[GameDate], "&lt;=" &amp; $A46, Table2[AwayTeam], E$1)+SUMIFS(Table2[NewPointsHome],Table2[GameDate], "&lt;=" &amp; $A46, Table2[HomeTeam], E$1)</f>
        <v>4</v>
      </c>
      <c r="F46" s="145">
        <f>SUMIFS(Table2[NewPointsAway],Table2[GameDate], "&lt;=" &amp; $A46, Table2[AwayTeam], F$1)+SUMIFS(Table2[NewPointsHome],Table2[GameDate], "&lt;=" &amp; $A46, Table2[HomeTeam], F$1)</f>
        <v>2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3</v>
      </c>
      <c r="I46" s="145">
        <f>SUMIFS(Table2[NewPointsAway],Table2[GameDate], "&lt;=" &amp; $A46, Table2[AwayTeam], I$1)+SUMIFS(Table2[NewPointsHome],Table2[GameDate], "&lt;=" &amp; $A46, Table2[HomeTeam], I$1)</f>
        <v>7</v>
      </c>
      <c r="J46" s="145">
        <f>SUMIFS(Table2[NewPointsAway],Table2[GameDate], "&lt;=" &amp; $A46, Table2[AwayTeam], J$1)+SUMIFS(Table2[NewPointsHome],Table2[GameDate], "&lt;=" &amp; $A46, Table2[HomeTeam], J$1)</f>
        <v>4</v>
      </c>
      <c r="K46" s="145">
        <f>SUMIFS(Table2[NewPointsAway],Table2[GameDate], "&lt;=" &amp; $A46, Table2[AwayTeam], K$1)+SUMIFS(Table2[NewPointsHome],Table2[GameDate], "&lt;=" &amp; $A46, Table2[HomeTeam], K$1)</f>
        <v>4</v>
      </c>
      <c r="L46" s="145">
        <f>SUMIFS(Table2[NewPointsAway],Table2[GameDate], "&lt;=" &amp; $A46, Table2[AwayTeam], L$1)+SUMIFS(Table2[NewPointsHome],Table2[GameDate], "&lt;=" &amp; $A46, Table2[HomeTeam], L$1)</f>
        <v>3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3</v>
      </c>
      <c r="O46" s="145">
        <f>SUMIFS(Table2[NewPointsAway],Table2[GameDate], "&lt;=" &amp; $A46, Table2[AwayTeam], O$1)+SUMIFS(Table2[NewPointsHome],Table2[GameDate], "&lt;=" &amp; $A46, Table2[HomeTeam], O$1)</f>
        <v>4</v>
      </c>
      <c r="P46" s="145">
        <f>SUMIFS(Table2[NewPointsAway],Table2[GameDate], "&lt;=" &amp; $A46, Table2[AwayTeam], P$1)+SUMIFS(Table2[NewPointsHome],Table2[GameDate], "&lt;=" &amp; $A46, Table2[HomeTeam], P$1)</f>
        <v>4</v>
      </c>
      <c r="Q46" s="145">
        <f>SUMIFS(Table2[NewPointsAway],Table2[GameDate], "&lt;=" &amp; $A46, Table2[AwayTeam], Q$1)+SUMIFS(Table2[NewPointsHome],Table2[GameDate], "&lt;=" &amp; $A46, Table2[HomeTeam], Q$1)</f>
        <v>4</v>
      </c>
      <c r="R46" s="145">
        <f>SUMIFS(Table2[NewPointsAway],Table2[GameDate], "&lt;=" &amp; $A46, Table2[AwayTeam], R$1)+SUMIFS(Table2[NewPointsHome],Table2[GameDate], "&lt;=" &amp; $A46, Table2[HomeTeam], R$1)</f>
        <v>5</v>
      </c>
      <c r="S46" s="145">
        <f>SUMIFS(Table2[NewPointsAway],Table2[GameDate], "&lt;=" &amp; $A46, Table2[AwayTeam], S$1)+SUMIFS(Table2[NewPointsHome],Table2[GameDate], "&lt;=" &amp; $A46, Table2[HomeTeam], S$1)</f>
        <v>0</v>
      </c>
      <c r="T46" s="145">
        <f>SUMIFS(Table2[NewPointsAway],Table2[GameDate], "&lt;=" &amp; $A46, Table2[AwayTeam], T$1)+SUMIFS(Table2[NewPointsHome],Table2[GameDate], "&lt;=" &amp; $A46, Table2[HomeTeam], T$1)</f>
        <v>4</v>
      </c>
      <c r="U46" s="145">
        <f>SUMIFS(Table2[NewPointsAway],Table2[GameDate], "&lt;=" &amp; $A46, Table2[AwayTeam], U$1)+SUMIFS(Table2[NewPointsHome],Table2[GameDate], "&lt;=" &amp; $A46, Table2[HomeTeam], U$1)</f>
        <v>2</v>
      </c>
      <c r="V46" s="145">
        <f>SUMIFS(Table2[NewPointsAway],Table2[GameDate], "&lt;=" &amp; $A46, Table2[AwayTeam], V$1)+SUMIFS(Table2[NewPointsHome],Table2[GameDate], "&lt;=" &amp; $A46, Table2[HomeTeam], V$1)</f>
        <v>3</v>
      </c>
      <c r="W46" s="145">
        <f>SUMIFS(Table2[NewPointsAway],Table2[GameDate], "&lt;=" &amp; $A46, Table2[AwayTeam], W$1)+SUMIFS(Table2[NewPointsHome],Table2[GameDate], "&lt;=" &amp; $A46, Table2[HomeTeam], W$1)</f>
        <v>4</v>
      </c>
      <c r="X46" s="145">
        <f>SUMIFS(Table2[NewPointsAway],Table2[GameDate], "&lt;=" &amp; $A46, Table2[AwayTeam], X$1)+SUMIFS(Table2[NewPointsHome],Table2[GameDate], "&lt;=" &amp; $A46, Table2[HomeTeam], X$1)</f>
        <v>4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4</v>
      </c>
      <c r="AA46" s="145">
        <f>SUMIFS(Table2[NewPointsAway],Table2[GameDate], "&lt;=" &amp; $A46, Table2[AwayTeam], AA$1)+SUMIFS(Table2[NewPointsHome],Table2[GameDate], "&lt;=" &amp; $A46, Table2[HomeTeam], AA$1)</f>
        <v>2</v>
      </c>
      <c r="AB46" s="145">
        <f>SUMIFS(Table2[NewPointsAway],Table2[GameDate], "&lt;=" &amp; $A46, Table2[AwayTeam], AB$1)+SUMIFS(Table2[NewPointsHome],Table2[GameDate], "&lt;=" &amp; $A46, Table2[HomeTeam], AB$1)</f>
        <v>2</v>
      </c>
      <c r="AC46" s="145">
        <f>SUMIFS(Table2[NewPointsAway],Table2[GameDate], "&lt;=" &amp; $A46, Table2[AwayTeam], AC$1)+SUMIFS(Table2[NewPointsHome],Table2[GameDate], "&lt;=" &amp; $A46, Table2[HomeTeam], AC$1)</f>
        <v>2</v>
      </c>
      <c r="AD46" s="145">
        <f>SUMIFS(Table2[NewPointsAway],Table2[GameDate], "&lt;=" &amp; $A46, Table2[AwayTeam], AD$1)+SUMIFS(Table2[NewPointsHome],Table2[GameDate], "&lt;=" &amp; $A46, Table2[HomeTeam], AD$1)</f>
        <v>2</v>
      </c>
      <c r="AE46" s="145">
        <f>SUMIFS(Table2[NewPointsAway],Table2[GameDate], "&lt;=" &amp; $A46, Table2[AwayTeam], AE$1)+SUMIFS(Table2[NewPointsHome],Table2[GameDate], "&lt;=" &amp; $A46, Table2[HomeTeam], AE$1)</f>
        <v>4</v>
      </c>
      <c r="AF46" s="145">
        <f>SUMIFS(Table2[NewPointsAway],Table2[GameDate], "&lt;=" &amp; $A46, Table2[AwayTeam], AF$1)+SUMIFS(Table2[NewPointsHome],Table2[GameDate], "&lt;=" &amp; $A46, Table2[HomeTeam], AF$1)</f>
        <v>4</v>
      </c>
      <c r="AG46" s="145">
        <f>SUMIFS(Table2[NewPointsAway],Table2[GameDate], "&lt;=" &amp; $A46, Table2[AwayTeam], AG$1)+SUMIFS(Table2[NewPointsHome],Table2[GameDate], "&lt;=" &amp; $A46, Table2[HomeTeam], AG$1)</f>
        <v>4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2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0</v>
      </c>
      <c r="E47" s="145">
        <f>SUMIFS(Table2[NewPointsAway],Table2[GameDate], "&lt;=" &amp; $A47, Table2[AwayTeam], E$1)+SUMIFS(Table2[NewPointsHome],Table2[GameDate], "&lt;=" &amp; $A47, Table2[HomeTeam], E$1)</f>
        <v>4</v>
      </c>
      <c r="F47" s="145">
        <f>SUMIFS(Table2[NewPointsAway],Table2[GameDate], "&lt;=" &amp; $A47, Table2[AwayTeam], F$1)+SUMIFS(Table2[NewPointsHome],Table2[GameDate], "&lt;=" &amp; $A47, Table2[HomeTeam], F$1)</f>
        <v>2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3</v>
      </c>
      <c r="I47" s="145">
        <f>SUMIFS(Table2[NewPointsAway],Table2[GameDate], "&lt;=" &amp; $A47, Table2[AwayTeam], I$1)+SUMIFS(Table2[NewPointsHome],Table2[GameDate], "&lt;=" &amp; $A47, Table2[HomeTeam], I$1)</f>
        <v>7</v>
      </c>
      <c r="J47" s="145">
        <f>SUMIFS(Table2[NewPointsAway],Table2[GameDate], "&lt;=" &amp; $A47, Table2[AwayTeam], J$1)+SUMIFS(Table2[NewPointsHome],Table2[GameDate], "&lt;=" &amp; $A47, Table2[HomeTeam], J$1)</f>
        <v>4</v>
      </c>
      <c r="K47" s="145">
        <f>SUMIFS(Table2[NewPointsAway],Table2[GameDate], "&lt;=" &amp; $A47, Table2[AwayTeam], K$1)+SUMIFS(Table2[NewPointsHome],Table2[GameDate], "&lt;=" &amp; $A47, Table2[HomeTeam], K$1)</f>
        <v>4</v>
      </c>
      <c r="L47" s="145">
        <f>SUMIFS(Table2[NewPointsAway],Table2[GameDate], "&lt;=" &amp; $A47, Table2[AwayTeam], L$1)+SUMIFS(Table2[NewPointsHome],Table2[GameDate], "&lt;=" &amp; $A47, Table2[HomeTeam], L$1)</f>
        <v>3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3</v>
      </c>
      <c r="O47" s="145">
        <f>SUMIFS(Table2[NewPointsAway],Table2[GameDate], "&lt;=" &amp; $A47, Table2[AwayTeam], O$1)+SUMIFS(Table2[NewPointsHome],Table2[GameDate], "&lt;=" &amp; $A47, Table2[HomeTeam], O$1)</f>
        <v>4</v>
      </c>
      <c r="P47" s="145">
        <f>SUMIFS(Table2[NewPointsAway],Table2[GameDate], "&lt;=" &amp; $A47, Table2[AwayTeam], P$1)+SUMIFS(Table2[NewPointsHome],Table2[GameDate], "&lt;=" &amp; $A47, Table2[HomeTeam], P$1)</f>
        <v>4</v>
      </c>
      <c r="Q47" s="145">
        <f>SUMIFS(Table2[NewPointsAway],Table2[GameDate], "&lt;=" &amp; $A47, Table2[AwayTeam], Q$1)+SUMIFS(Table2[NewPointsHome],Table2[GameDate], "&lt;=" &amp; $A47, Table2[HomeTeam], Q$1)</f>
        <v>4</v>
      </c>
      <c r="R47" s="145">
        <f>SUMIFS(Table2[NewPointsAway],Table2[GameDate], "&lt;=" &amp; $A47, Table2[AwayTeam], R$1)+SUMIFS(Table2[NewPointsHome],Table2[GameDate], "&lt;=" &amp; $A47, Table2[HomeTeam], R$1)</f>
        <v>5</v>
      </c>
      <c r="S47" s="145">
        <f>SUMIFS(Table2[NewPointsAway],Table2[GameDate], "&lt;=" &amp; $A47, Table2[AwayTeam], S$1)+SUMIFS(Table2[NewPointsHome],Table2[GameDate], "&lt;=" &amp; $A47, Table2[HomeTeam], S$1)</f>
        <v>0</v>
      </c>
      <c r="T47" s="145">
        <f>SUMIFS(Table2[NewPointsAway],Table2[GameDate], "&lt;=" &amp; $A47, Table2[AwayTeam], T$1)+SUMIFS(Table2[NewPointsHome],Table2[GameDate], "&lt;=" &amp; $A47, Table2[HomeTeam], T$1)</f>
        <v>4</v>
      </c>
      <c r="U47" s="145">
        <f>SUMIFS(Table2[NewPointsAway],Table2[GameDate], "&lt;=" &amp; $A47, Table2[AwayTeam], U$1)+SUMIFS(Table2[NewPointsHome],Table2[GameDate], "&lt;=" &amp; $A47, Table2[HomeTeam], U$1)</f>
        <v>2</v>
      </c>
      <c r="V47" s="145">
        <f>SUMIFS(Table2[NewPointsAway],Table2[GameDate], "&lt;=" &amp; $A47, Table2[AwayTeam], V$1)+SUMIFS(Table2[NewPointsHome],Table2[GameDate], "&lt;=" &amp; $A47, Table2[HomeTeam], V$1)</f>
        <v>3</v>
      </c>
      <c r="W47" s="145">
        <f>SUMIFS(Table2[NewPointsAway],Table2[GameDate], "&lt;=" &amp; $A47, Table2[AwayTeam], W$1)+SUMIFS(Table2[NewPointsHome],Table2[GameDate], "&lt;=" &amp; $A47, Table2[HomeTeam], W$1)</f>
        <v>4</v>
      </c>
      <c r="X47" s="145">
        <f>SUMIFS(Table2[NewPointsAway],Table2[GameDate], "&lt;=" &amp; $A47, Table2[AwayTeam], X$1)+SUMIFS(Table2[NewPointsHome],Table2[GameDate], "&lt;=" &amp; $A47, Table2[HomeTeam], X$1)</f>
        <v>4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4</v>
      </c>
      <c r="AA47" s="145">
        <f>SUMIFS(Table2[NewPointsAway],Table2[GameDate], "&lt;=" &amp; $A47, Table2[AwayTeam], AA$1)+SUMIFS(Table2[NewPointsHome],Table2[GameDate], "&lt;=" &amp; $A47, Table2[HomeTeam], AA$1)</f>
        <v>2</v>
      </c>
      <c r="AB47" s="145">
        <f>SUMIFS(Table2[NewPointsAway],Table2[GameDate], "&lt;=" &amp; $A47, Table2[AwayTeam], AB$1)+SUMIFS(Table2[NewPointsHome],Table2[GameDate], "&lt;=" &amp; $A47, Table2[HomeTeam], AB$1)</f>
        <v>2</v>
      </c>
      <c r="AC47" s="145">
        <f>SUMIFS(Table2[NewPointsAway],Table2[GameDate], "&lt;=" &amp; $A47, Table2[AwayTeam], AC$1)+SUMIFS(Table2[NewPointsHome],Table2[GameDate], "&lt;=" &amp; $A47, Table2[HomeTeam], AC$1)</f>
        <v>2</v>
      </c>
      <c r="AD47" s="145">
        <f>SUMIFS(Table2[NewPointsAway],Table2[GameDate], "&lt;=" &amp; $A47, Table2[AwayTeam], AD$1)+SUMIFS(Table2[NewPointsHome],Table2[GameDate], "&lt;=" &amp; $A47, Table2[HomeTeam], AD$1)</f>
        <v>2</v>
      </c>
      <c r="AE47" s="145">
        <f>SUMIFS(Table2[NewPointsAway],Table2[GameDate], "&lt;=" &amp; $A47, Table2[AwayTeam], AE$1)+SUMIFS(Table2[NewPointsHome],Table2[GameDate], "&lt;=" &amp; $A47, Table2[HomeTeam], AE$1)</f>
        <v>4</v>
      </c>
      <c r="AF47" s="145">
        <f>SUMIFS(Table2[NewPointsAway],Table2[GameDate], "&lt;=" &amp; $A47, Table2[AwayTeam], AF$1)+SUMIFS(Table2[NewPointsHome],Table2[GameDate], "&lt;=" &amp; $A47, Table2[HomeTeam], AF$1)</f>
        <v>4</v>
      </c>
      <c r="AG47" s="145">
        <f>SUMIFS(Table2[NewPointsAway],Table2[GameDate], "&lt;=" &amp; $A47, Table2[AwayTeam], AG$1)+SUMIFS(Table2[NewPointsHome],Table2[GameDate], "&lt;=" &amp; $A47, Table2[HomeTeam], AG$1)</f>
        <v>4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2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0</v>
      </c>
      <c r="E48" s="145">
        <f>SUMIFS(Table2[NewPointsAway],Table2[GameDate], "&lt;=" &amp; $A48, Table2[AwayTeam], E$1)+SUMIFS(Table2[NewPointsHome],Table2[GameDate], "&lt;=" &amp; $A48, Table2[HomeTeam], E$1)</f>
        <v>4</v>
      </c>
      <c r="F48" s="145">
        <f>SUMIFS(Table2[NewPointsAway],Table2[GameDate], "&lt;=" &amp; $A48, Table2[AwayTeam], F$1)+SUMIFS(Table2[NewPointsHome],Table2[GameDate], "&lt;=" &amp; $A48, Table2[HomeTeam], F$1)</f>
        <v>2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3</v>
      </c>
      <c r="I48" s="145">
        <f>SUMIFS(Table2[NewPointsAway],Table2[GameDate], "&lt;=" &amp; $A48, Table2[AwayTeam], I$1)+SUMIFS(Table2[NewPointsHome],Table2[GameDate], "&lt;=" &amp; $A48, Table2[HomeTeam], I$1)</f>
        <v>7</v>
      </c>
      <c r="J48" s="145">
        <f>SUMIFS(Table2[NewPointsAway],Table2[GameDate], "&lt;=" &amp; $A48, Table2[AwayTeam], J$1)+SUMIFS(Table2[NewPointsHome],Table2[GameDate], "&lt;=" &amp; $A48, Table2[HomeTeam], J$1)</f>
        <v>4</v>
      </c>
      <c r="K48" s="145">
        <f>SUMIFS(Table2[NewPointsAway],Table2[GameDate], "&lt;=" &amp; $A48, Table2[AwayTeam], K$1)+SUMIFS(Table2[NewPointsHome],Table2[GameDate], "&lt;=" &amp; $A48, Table2[HomeTeam], K$1)</f>
        <v>4</v>
      </c>
      <c r="L48" s="145">
        <f>SUMIFS(Table2[NewPointsAway],Table2[GameDate], "&lt;=" &amp; $A48, Table2[AwayTeam], L$1)+SUMIFS(Table2[NewPointsHome],Table2[GameDate], "&lt;=" &amp; $A48, Table2[HomeTeam], L$1)</f>
        <v>3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3</v>
      </c>
      <c r="O48" s="145">
        <f>SUMIFS(Table2[NewPointsAway],Table2[GameDate], "&lt;=" &amp; $A48, Table2[AwayTeam], O$1)+SUMIFS(Table2[NewPointsHome],Table2[GameDate], "&lt;=" &amp; $A48, Table2[HomeTeam], O$1)</f>
        <v>4</v>
      </c>
      <c r="P48" s="145">
        <f>SUMIFS(Table2[NewPointsAway],Table2[GameDate], "&lt;=" &amp; $A48, Table2[AwayTeam], P$1)+SUMIFS(Table2[NewPointsHome],Table2[GameDate], "&lt;=" &amp; $A48, Table2[HomeTeam], P$1)</f>
        <v>4</v>
      </c>
      <c r="Q48" s="145">
        <f>SUMIFS(Table2[NewPointsAway],Table2[GameDate], "&lt;=" &amp; $A48, Table2[AwayTeam], Q$1)+SUMIFS(Table2[NewPointsHome],Table2[GameDate], "&lt;=" &amp; $A48, Table2[HomeTeam], Q$1)</f>
        <v>4</v>
      </c>
      <c r="R48" s="145">
        <f>SUMIFS(Table2[NewPointsAway],Table2[GameDate], "&lt;=" &amp; $A48, Table2[AwayTeam], R$1)+SUMIFS(Table2[NewPointsHome],Table2[GameDate], "&lt;=" &amp; $A48, Table2[HomeTeam], R$1)</f>
        <v>5</v>
      </c>
      <c r="S48" s="145">
        <f>SUMIFS(Table2[NewPointsAway],Table2[GameDate], "&lt;=" &amp; $A48, Table2[AwayTeam], S$1)+SUMIFS(Table2[NewPointsHome],Table2[GameDate], "&lt;=" &amp; $A48, Table2[HomeTeam], S$1)</f>
        <v>0</v>
      </c>
      <c r="T48" s="145">
        <f>SUMIFS(Table2[NewPointsAway],Table2[GameDate], "&lt;=" &amp; $A48, Table2[AwayTeam], T$1)+SUMIFS(Table2[NewPointsHome],Table2[GameDate], "&lt;=" &amp; $A48, Table2[HomeTeam], T$1)</f>
        <v>4</v>
      </c>
      <c r="U48" s="145">
        <f>SUMIFS(Table2[NewPointsAway],Table2[GameDate], "&lt;=" &amp; $A48, Table2[AwayTeam], U$1)+SUMIFS(Table2[NewPointsHome],Table2[GameDate], "&lt;=" &amp; $A48, Table2[HomeTeam], U$1)</f>
        <v>2</v>
      </c>
      <c r="V48" s="145">
        <f>SUMIFS(Table2[NewPointsAway],Table2[GameDate], "&lt;=" &amp; $A48, Table2[AwayTeam], V$1)+SUMIFS(Table2[NewPointsHome],Table2[GameDate], "&lt;=" &amp; $A48, Table2[HomeTeam], V$1)</f>
        <v>3</v>
      </c>
      <c r="W48" s="145">
        <f>SUMIFS(Table2[NewPointsAway],Table2[GameDate], "&lt;=" &amp; $A48, Table2[AwayTeam], W$1)+SUMIFS(Table2[NewPointsHome],Table2[GameDate], "&lt;=" &amp; $A48, Table2[HomeTeam], W$1)</f>
        <v>4</v>
      </c>
      <c r="X48" s="145">
        <f>SUMIFS(Table2[NewPointsAway],Table2[GameDate], "&lt;=" &amp; $A48, Table2[AwayTeam], X$1)+SUMIFS(Table2[NewPointsHome],Table2[GameDate], "&lt;=" &amp; $A48, Table2[HomeTeam], X$1)</f>
        <v>4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4</v>
      </c>
      <c r="AA48" s="145">
        <f>SUMIFS(Table2[NewPointsAway],Table2[GameDate], "&lt;=" &amp; $A48, Table2[AwayTeam], AA$1)+SUMIFS(Table2[NewPointsHome],Table2[GameDate], "&lt;=" &amp; $A48, Table2[HomeTeam], AA$1)</f>
        <v>2</v>
      </c>
      <c r="AB48" s="145">
        <f>SUMIFS(Table2[NewPointsAway],Table2[GameDate], "&lt;=" &amp; $A48, Table2[AwayTeam], AB$1)+SUMIFS(Table2[NewPointsHome],Table2[GameDate], "&lt;=" &amp; $A48, Table2[HomeTeam], AB$1)</f>
        <v>2</v>
      </c>
      <c r="AC48" s="145">
        <f>SUMIFS(Table2[NewPointsAway],Table2[GameDate], "&lt;=" &amp; $A48, Table2[AwayTeam], AC$1)+SUMIFS(Table2[NewPointsHome],Table2[GameDate], "&lt;=" &amp; $A48, Table2[HomeTeam], AC$1)</f>
        <v>2</v>
      </c>
      <c r="AD48" s="145">
        <f>SUMIFS(Table2[NewPointsAway],Table2[GameDate], "&lt;=" &amp; $A48, Table2[AwayTeam], AD$1)+SUMIFS(Table2[NewPointsHome],Table2[GameDate], "&lt;=" &amp; $A48, Table2[HomeTeam], AD$1)</f>
        <v>2</v>
      </c>
      <c r="AE48" s="145">
        <f>SUMIFS(Table2[NewPointsAway],Table2[GameDate], "&lt;=" &amp; $A48, Table2[AwayTeam], AE$1)+SUMIFS(Table2[NewPointsHome],Table2[GameDate], "&lt;=" &amp; $A48, Table2[HomeTeam], AE$1)</f>
        <v>4</v>
      </c>
      <c r="AF48" s="145">
        <f>SUMIFS(Table2[NewPointsAway],Table2[GameDate], "&lt;=" &amp; $A48, Table2[AwayTeam], AF$1)+SUMIFS(Table2[NewPointsHome],Table2[GameDate], "&lt;=" &amp; $A48, Table2[HomeTeam], AF$1)</f>
        <v>4</v>
      </c>
      <c r="AG48" s="145">
        <f>SUMIFS(Table2[NewPointsAway],Table2[GameDate], "&lt;=" &amp; $A48, Table2[AwayTeam], AG$1)+SUMIFS(Table2[NewPointsHome],Table2[GameDate], "&lt;=" &amp; $A48, Table2[HomeTeam], AG$1)</f>
        <v>4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2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0</v>
      </c>
      <c r="E49" s="145">
        <f>SUMIFS(Table2[NewPointsAway],Table2[GameDate], "&lt;=" &amp; $A49, Table2[AwayTeam], E$1)+SUMIFS(Table2[NewPointsHome],Table2[GameDate], "&lt;=" &amp; $A49, Table2[HomeTeam], E$1)</f>
        <v>4</v>
      </c>
      <c r="F49" s="145">
        <f>SUMIFS(Table2[NewPointsAway],Table2[GameDate], "&lt;=" &amp; $A49, Table2[AwayTeam], F$1)+SUMIFS(Table2[NewPointsHome],Table2[GameDate], "&lt;=" &amp; $A49, Table2[HomeTeam], F$1)</f>
        <v>2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3</v>
      </c>
      <c r="I49" s="145">
        <f>SUMIFS(Table2[NewPointsAway],Table2[GameDate], "&lt;=" &amp; $A49, Table2[AwayTeam], I$1)+SUMIFS(Table2[NewPointsHome],Table2[GameDate], "&lt;=" &amp; $A49, Table2[HomeTeam], I$1)</f>
        <v>7</v>
      </c>
      <c r="J49" s="145">
        <f>SUMIFS(Table2[NewPointsAway],Table2[GameDate], "&lt;=" &amp; $A49, Table2[AwayTeam], J$1)+SUMIFS(Table2[NewPointsHome],Table2[GameDate], "&lt;=" &amp; $A49, Table2[HomeTeam], J$1)</f>
        <v>4</v>
      </c>
      <c r="K49" s="145">
        <f>SUMIFS(Table2[NewPointsAway],Table2[GameDate], "&lt;=" &amp; $A49, Table2[AwayTeam], K$1)+SUMIFS(Table2[NewPointsHome],Table2[GameDate], "&lt;=" &amp; $A49, Table2[HomeTeam], K$1)</f>
        <v>4</v>
      </c>
      <c r="L49" s="145">
        <f>SUMIFS(Table2[NewPointsAway],Table2[GameDate], "&lt;=" &amp; $A49, Table2[AwayTeam], L$1)+SUMIFS(Table2[NewPointsHome],Table2[GameDate], "&lt;=" &amp; $A49, Table2[HomeTeam], L$1)</f>
        <v>3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3</v>
      </c>
      <c r="O49" s="145">
        <f>SUMIFS(Table2[NewPointsAway],Table2[GameDate], "&lt;=" &amp; $A49, Table2[AwayTeam], O$1)+SUMIFS(Table2[NewPointsHome],Table2[GameDate], "&lt;=" &amp; $A49, Table2[HomeTeam], O$1)</f>
        <v>4</v>
      </c>
      <c r="P49" s="145">
        <f>SUMIFS(Table2[NewPointsAway],Table2[GameDate], "&lt;=" &amp; $A49, Table2[AwayTeam], P$1)+SUMIFS(Table2[NewPointsHome],Table2[GameDate], "&lt;=" &amp; $A49, Table2[HomeTeam], P$1)</f>
        <v>4</v>
      </c>
      <c r="Q49" s="145">
        <f>SUMIFS(Table2[NewPointsAway],Table2[GameDate], "&lt;=" &amp; $A49, Table2[AwayTeam], Q$1)+SUMIFS(Table2[NewPointsHome],Table2[GameDate], "&lt;=" &amp; $A49, Table2[HomeTeam], Q$1)</f>
        <v>4</v>
      </c>
      <c r="R49" s="145">
        <f>SUMIFS(Table2[NewPointsAway],Table2[GameDate], "&lt;=" &amp; $A49, Table2[AwayTeam], R$1)+SUMIFS(Table2[NewPointsHome],Table2[GameDate], "&lt;=" &amp; $A49, Table2[HomeTeam], R$1)</f>
        <v>5</v>
      </c>
      <c r="S49" s="145">
        <f>SUMIFS(Table2[NewPointsAway],Table2[GameDate], "&lt;=" &amp; $A49, Table2[AwayTeam], S$1)+SUMIFS(Table2[NewPointsHome],Table2[GameDate], "&lt;=" &amp; $A49, Table2[HomeTeam], S$1)</f>
        <v>0</v>
      </c>
      <c r="T49" s="145">
        <f>SUMIFS(Table2[NewPointsAway],Table2[GameDate], "&lt;=" &amp; $A49, Table2[AwayTeam], T$1)+SUMIFS(Table2[NewPointsHome],Table2[GameDate], "&lt;=" &amp; $A49, Table2[HomeTeam], T$1)</f>
        <v>4</v>
      </c>
      <c r="U49" s="145">
        <f>SUMIFS(Table2[NewPointsAway],Table2[GameDate], "&lt;=" &amp; $A49, Table2[AwayTeam], U$1)+SUMIFS(Table2[NewPointsHome],Table2[GameDate], "&lt;=" &amp; $A49, Table2[HomeTeam], U$1)</f>
        <v>2</v>
      </c>
      <c r="V49" s="145">
        <f>SUMIFS(Table2[NewPointsAway],Table2[GameDate], "&lt;=" &amp; $A49, Table2[AwayTeam], V$1)+SUMIFS(Table2[NewPointsHome],Table2[GameDate], "&lt;=" &amp; $A49, Table2[HomeTeam], V$1)</f>
        <v>3</v>
      </c>
      <c r="W49" s="145">
        <f>SUMIFS(Table2[NewPointsAway],Table2[GameDate], "&lt;=" &amp; $A49, Table2[AwayTeam], W$1)+SUMIFS(Table2[NewPointsHome],Table2[GameDate], "&lt;=" &amp; $A49, Table2[HomeTeam], W$1)</f>
        <v>4</v>
      </c>
      <c r="X49" s="145">
        <f>SUMIFS(Table2[NewPointsAway],Table2[GameDate], "&lt;=" &amp; $A49, Table2[AwayTeam], X$1)+SUMIFS(Table2[NewPointsHome],Table2[GameDate], "&lt;=" &amp; $A49, Table2[HomeTeam], X$1)</f>
        <v>4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4</v>
      </c>
      <c r="AA49" s="145">
        <f>SUMIFS(Table2[NewPointsAway],Table2[GameDate], "&lt;=" &amp; $A49, Table2[AwayTeam], AA$1)+SUMIFS(Table2[NewPointsHome],Table2[GameDate], "&lt;=" &amp; $A49, Table2[HomeTeam], AA$1)</f>
        <v>2</v>
      </c>
      <c r="AB49" s="145">
        <f>SUMIFS(Table2[NewPointsAway],Table2[GameDate], "&lt;=" &amp; $A49, Table2[AwayTeam], AB$1)+SUMIFS(Table2[NewPointsHome],Table2[GameDate], "&lt;=" &amp; $A49, Table2[HomeTeam], AB$1)</f>
        <v>2</v>
      </c>
      <c r="AC49" s="145">
        <f>SUMIFS(Table2[NewPointsAway],Table2[GameDate], "&lt;=" &amp; $A49, Table2[AwayTeam], AC$1)+SUMIFS(Table2[NewPointsHome],Table2[GameDate], "&lt;=" &amp; $A49, Table2[HomeTeam], AC$1)</f>
        <v>2</v>
      </c>
      <c r="AD49" s="145">
        <f>SUMIFS(Table2[NewPointsAway],Table2[GameDate], "&lt;=" &amp; $A49, Table2[AwayTeam], AD$1)+SUMIFS(Table2[NewPointsHome],Table2[GameDate], "&lt;=" &amp; $A49, Table2[HomeTeam], AD$1)</f>
        <v>2</v>
      </c>
      <c r="AE49" s="145">
        <f>SUMIFS(Table2[NewPointsAway],Table2[GameDate], "&lt;=" &amp; $A49, Table2[AwayTeam], AE$1)+SUMIFS(Table2[NewPointsHome],Table2[GameDate], "&lt;=" &amp; $A49, Table2[HomeTeam], AE$1)</f>
        <v>4</v>
      </c>
      <c r="AF49" s="145">
        <f>SUMIFS(Table2[NewPointsAway],Table2[GameDate], "&lt;=" &amp; $A49, Table2[AwayTeam], AF$1)+SUMIFS(Table2[NewPointsHome],Table2[GameDate], "&lt;=" &amp; $A49, Table2[HomeTeam], AF$1)</f>
        <v>4</v>
      </c>
      <c r="AG49" s="145">
        <f>SUMIFS(Table2[NewPointsAway],Table2[GameDate], "&lt;=" &amp; $A49, Table2[AwayTeam], AG$1)+SUMIFS(Table2[NewPointsHome],Table2[GameDate], "&lt;=" &amp; $A49, Table2[HomeTeam], AG$1)</f>
        <v>4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2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0</v>
      </c>
      <c r="E50" s="145">
        <f>SUMIFS(Table2[NewPointsAway],Table2[GameDate], "&lt;=" &amp; $A50, Table2[AwayTeam], E$1)+SUMIFS(Table2[NewPointsHome],Table2[GameDate], "&lt;=" &amp; $A50, Table2[HomeTeam], E$1)</f>
        <v>4</v>
      </c>
      <c r="F50" s="145">
        <f>SUMIFS(Table2[NewPointsAway],Table2[GameDate], "&lt;=" &amp; $A50, Table2[AwayTeam], F$1)+SUMIFS(Table2[NewPointsHome],Table2[GameDate], "&lt;=" &amp; $A50, Table2[HomeTeam], F$1)</f>
        <v>2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3</v>
      </c>
      <c r="I50" s="145">
        <f>SUMIFS(Table2[NewPointsAway],Table2[GameDate], "&lt;=" &amp; $A50, Table2[AwayTeam], I$1)+SUMIFS(Table2[NewPointsHome],Table2[GameDate], "&lt;=" &amp; $A50, Table2[HomeTeam], I$1)</f>
        <v>7</v>
      </c>
      <c r="J50" s="145">
        <f>SUMIFS(Table2[NewPointsAway],Table2[GameDate], "&lt;=" &amp; $A50, Table2[AwayTeam], J$1)+SUMIFS(Table2[NewPointsHome],Table2[GameDate], "&lt;=" &amp; $A50, Table2[HomeTeam], J$1)</f>
        <v>4</v>
      </c>
      <c r="K50" s="145">
        <f>SUMIFS(Table2[NewPointsAway],Table2[GameDate], "&lt;=" &amp; $A50, Table2[AwayTeam], K$1)+SUMIFS(Table2[NewPointsHome],Table2[GameDate], "&lt;=" &amp; $A50, Table2[HomeTeam], K$1)</f>
        <v>4</v>
      </c>
      <c r="L50" s="145">
        <f>SUMIFS(Table2[NewPointsAway],Table2[GameDate], "&lt;=" &amp; $A50, Table2[AwayTeam], L$1)+SUMIFS(Table2[NewPointsHome],Table2[GameDate], "&lt;=" &amp; $A50, Table2[HomeTeam], L$1)</f>
        <v>3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3</v>
      </c>
      <c r="O50" s="145">
        <f>SUMIFS(Table2[NewPointsAway],Table2[GameDate], "&lt;=" &amp; $A50, Table2[AwayTeam], O$1)+SUMIFS(Table2[NewPointsHome],Table2[GameDate], "&lt;=" &amp; $A50, Table2[HomeTeam], O$1)</f>
        <v>4</v>
      </c>
      <c r="P50" s="145">
        <f>SUMIFS(Table2[NewPointsAway],Table2[GameDate], "&lt;=" &amp; $A50, Table2[AwayTeam], P$1)+SUMIFS(Table2[NewPointsHome],Table2[GameDate], "&lt;=" &amp; $A50, Table2[HomeTeam], P$1)</f>
        <v>4</v>
      </c>
      <c r="Q50" s="145">
        <f>SUMIFS(Table2[NewPointsAway],Table2[GameDate], "&lt;=" &amp; $A50, Table2[AwayTeam], Q$1)+SUMIFS(Table2[NewPointsHome],Table2[GameDate], "&lt;=" &amp; $A50, Table2[HomeTeam], Q$1)</f>
        <v>4</v>
      </c>
      <c r="R50" s="145">
        <f>SUMIFS(Table2[NewPointsAway],Table2[GameDate], "&lt;=" &amp; $A50, Table2[AwayTeam], R$1)+SUMIFS(Table2[NewPointsHome],Table2[GameDate], "&lt;=" &amp; $A50, Table2[HomeTeam], R$1)</f>
        <v>5</v>
      </c>
      <c r="S50" s="145">
        <f>SUMIFS(Table2[NewPointsAway],Table2[GameDate], "&lt;=" &amp; $A50, Table2[AwayTeam], S$1)+SUMIFS(Table2[NewPointsHome],Table2[GameDate], "&lt;=" &amp; $A50, Table2[HomeTeam], S$1)</f>
        <v>0</v>
      </c>
      <c r="T50" s="145">
        <f>SUMIFS(Table2[NewPointsAway],Table2[GameDate], "&lt;=" &amp; $A50, Table2[AwayTeam], T$1)+SUMIFS(Table2[NewPointsHome],Table2[GameDate], "&lt;=" &amp; $A50, Table2[HomeTeam], T$1)</f>
        <v>4</v>
      </c>
      <c r="U50" s="145">
        <f>SUMIFS(Table2[NewPointsAway],Table2[GameDate], "&lt;=" &amp; $A50, Table2[AwayTeam], U$1)+SUMIFS(Table2[NewPointsHome],Table2[GameDate], "&lt;=" &amp; $A50, Table2[HomeTeam], U$1)</f>
        <v>2</v>
      </c>
      <c r="V50" s="145">
        <f>SUMIFS(Table2[NewPointsAway],Table2[GameDate], "&lt;=" &amp; $A50, Table2[AwayTeam], V$1)+SUMIFS(Table2[NewPointsHome],Table2[GameDate], "&lt;=" &amp; $A50, Table2[HomeTeam], V$1)</f>
        <v>3</v>
      </c>
      <c r="W50" s="145">
        <f>SUMIFS(Table2[NewPointsAway],Table2[GameDate], "&lt;=" &amp; $A50, Table2[AwayTeam], W$1)+SUMIFS(Table2[NewPointsHome],Table2[GameDate], "&lt;=" &amp; $A50, Table2[HomeTeam], W$1)</f>
        <v>4</v>
      </c>
      <c r="X50" s="145">
        <f>SUMIFS(Table2[NewPointsAway],Table2[GameDate], "&lt;=" &amp; $A50, Table2[AwayTeam], X$1)+SUMIFS(Table2[NewPointsHome],Table2[GameDate], "&lt;=" &amp; $A50, Table2[HomeTeam], X$1)</f>
        <v>4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4</v>
      </c>
      <c r="AA50" s="145">
        <f>SUMIFS(Table2[NewPointsAway],Table2[GameDate], "&lt;=" &amp; $A50, Table2[AwayTeam], AA$1)+SUMIFS(Table2[NewPointsHome],Table2[GameDate], "&lt;=" &amp; $A50, Table2[HomeTeam], AA$1)</f>
        <v>2</v>
      </c>
      <c r="AB50" s="145">
        <f>SUMIFS(Table2[NewPointsAway],Table2[GameDate], "&lt;=" &amp; $A50, Table2[AwayTeam], AB$1)+SUMIFS(Table2[NewPointsHome],Table2[GameDate], "&lt;=" &amp; $A50, Table2[HomeTeam], AB$1)</f>
        <v>2</v>
      </c>
      <c r="AC50" s="145">
        <f>SUMIFS(Table2[NewPointsAway],Table2[GameDate], "&lt;=" &amp; $A50, Table2[AwayTeam], AC$1)+SUMIFS(Table2[NewPointsHome],Table2[GameDate], "&lt;=" &amp; $A50, Table2[HomeTeam], AC$1)</f>
        <v>2</v>
      </c>
      <c r="AD50" s="145">
        <f>SUMIFS(Table2[NewPointsAway],Table2[GameDate], "&lt;=" &amp; $A50, Table2[AwayTeam], AD$1)+SUMIFS(Table2[NewPointsHome],Table2[GameDate], "&lt;=" &amp; $A50, Table2[HomeTeam], AD$1)</f>
        <v>2</v>
      </c>
      <c r="AE50" s="145">
        <f>SUMIFS(Table2[NewPointsAway],Table2[GameDate], "&lt;=" &amp; $A50, Table2[AwayTeam], AE$1)+SUMIFS(Table2[NewPointsHome],Table2[GameDate], "&lt;=" &amp; $A50, Table2[HomeTeam], AE$1)</f>
        <v>4</v>
      </c>
      <c r="AF50" s="145">
        <f>SUMIFS(Table2[NewPointsAway],Table2[GameDate], "&lt;=" &amp; $A50, Table2[AwayTeam], AF$1)+SUMIFS(Table2[NewPointsHome],Table2[GameDate], "&lt;=" &amp; $A50, Table2[HomeTeam], AF$1)</f>
        <v>4</v>
      </c>
      <c r="AG50" s="145">
        <f>SUMIFS(Table2[NewPointsAway],Table2[GameDate], "&lt;=" &amp; $A50, Table2[AwayTeam], AG$1)+SUMIFS(Table2[NewPointsHome],Table2[GameDate], "&lt;=" &amp; $A50, Table2[HomeTeam], AG$1)</f>
        <v>4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2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0</v>
      </c>
      <c r="E51" s="145">
        <f>SUMIFS(Table2[NewPointsAway],Table2[GameDate], "&lt;=" &amp; $A51, Table2[AwayTeam], E$1)+SUMIFS(Table2[NewPointsHome],Table2[GameDate], "&lt;=" &amp; $A51, Table2[HomeTeam], E$1)</f>
        <v>4</v>
      </c>
      <c r="F51" s="145">
        <f>SUMIFS(Table2[NewPointsAway],Table2[GameDate], "&lt;=" &amp; $A51, Table2[AwayTeam], F$1)+SUMIFS(Table2[NewPointsHome],Table2[GameDate], "&lt;=" &amp; $A51, Table2[HomeTeam], F$1)</f>
        <v>2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3</v>
      </c>
      <c r="I51" s="145">
        <f>SUMIFS(Table2[NewPointsAway],Table2[GameDate], "&lt;=" &amp; $A51, Table2[AwayTeam], I$1)+SUMIFS(Table2[NewPointsHome],Table2[GameDate], "&lt;=" &amp; $A51, Table2[HomeTeam], I$1)</f>
        <v>7</v>
      </c>
      <c r="J51" s="145">
        <f>SUMIFS(Table2[NewPointsAway],Table2[GameDate], "&lt;=" &amp; $A51, Table2[AwayTeam], J$1)+SUMIFS(Table2[NewPointsHome],Table2[GameDate], "&lt;=" &amp; $A51, Table2[HomeTeam], J$1)</f>
        <v>4</v>
      </c>
      <c r="K51" s="145">
        <f>SUMIFS(Table2[NewPointsAway],Table2[GameDate], "&lt;=" &amp; $A51, Table2[AwayTeam], K$1)+SUMIFS(Table2[NewPointsHome],Table2[GameDate], "&lt;=" &amp; $A51, Table2[HomeTeam], K$1)</f>
        <v>4</v>
      </c>
      <c r="L51" s="145">
        <f>SUMIFS(Table2[NewPointsAway],Table2[GameDate], "&lt;=" &amp; $A51, Table2[AwayTeam], L$1)+SUMIFS(Table2[NewPointsHome],Table2[GameDate], "&lt;=" &amp; $A51, Table2[HomeTeam], L$1)</f>
        <v>3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3</v>
      </c>
      <c r="O51" s="145">
        <f>SUMIFS(Table2[NewPointsAway],Table2[GameDate], "&lt;=" &amp; $A51, Table2[AwayTeam], O$1)+SUMIFS(Table2[NewPointsHome],Table2[GameDate], "&lt;=" &amp; $A51, Table2[HomeTeam], O$1)</f>
        <v>4</v>
      </c>
      <c r="P51" s="145">
        <f>SUMIFS(Table2[NewPointsAway],Table2[GameDate], "&lt;=" &amp; $A51, Table2[AwayTeam], P$1)+SUMIFS(Table2[NewPointsHome],Table2[GameDate], "&lt;=" &amp; $A51, Table2[HomeTeam], P$1)</f>
        <v>4</v>
      </c>
      <c r="Q51" s="145">
        <f>SUMIFS(Table2[NewPointsAway],Table2[GameDate], "&lt;=" &amp; $A51, Table2[AwayTeam], Q$1)+SUMIFS(Table2[NewPointsHome],Table2[GameDate], "&lt;=" &amp; $A51, Table2[HomeTeam], Q$1)</f>
        <v>4</v>
      </c>
      <c r="R51" s="145">
        <f>SUMIFS(Table2[NewPointsAway],Table2[GameDate], "&lt;=" &amp; $A51, Table2[AwayTeam], R$1)+SUMIFS(Table2[NewPointsHome],Table2[GameDate], "&lt;=" &amp; $A51, Table2[HomeTeam], R$1)</f>
        <v>5</v>
      </c>
      <c r="S51" s="145">
        <f>SUMIFS(Table2[NewPointsAway],Table2[GameDate], "&lt;=" &amp; $A51, Table2[AwayTeam], S$1)+SUMIFS(Table2[NewPointsHome],Table2[GameDate], "&lt;=" &amp; $A51, Table2[HomeTeam], S$1)</f>
        <v>0</v>
      </c>
      <c r="T51" s="145">
        <f>SUMIFS(Table2[NewPointsAway],Table2[GameDate], "&lt;=" &amp; $A51, Table2[AwayTeam], T$1)+SUMIFS(Table2[NewPointsHome],Table2[GameDate], "&lt;=" &amp; $A51, Table2[HomeTeam], T$1)</f>
        <v>4</v>
      </c>
      <c r="U51" s="145">
        <f>SUMIFS(Table2[NewPointsAway],Table2[GameDate], "&lt;=" &amp; $A51, Table2[AwayTeam], U$1)+SUMIFS(Table2[NewPointsHome],Table2[GameDate], "&lt;=" &amp; $A51, Table2[HomeTeam], U$1)</f>
        <v>2</v>
      </c>
      <c r="V51" s="145">
        <f>SUMIFS(Table2[NewPointsAway],Table2[GameDate], "&lt;=" &amp; $A51, Table2[AwayTeam], V$1)+SUMIFS(Table2[NewPointsHome],Table2[GameDate], "&lt;=" &amp; $A51, Table2[HomeTeam], V$1)</f>
        <v>3</v>
      </c>
      <c r="W51" s="145">
        <f>SUMIFS(Table2[NewPointsAway],Table2[GameDate], "&lt;=" &amp; $A51, Table2[AwayTeam], W$1)+SUMIFS(Table2[NewPointsHome],Table2[GameDate], "&lt;=" &amp; $A51, Table2[HomeTeam], W$1)</f>
        <v>4</v>
      </c>
      <c r="X51" s="145">
        <f>SUMIFS(Table2[NewPointsAway],Table2[GameDate], "&lt;=" &amp; $A51, Table2[AwayTeam], X$1)+SUMIFS(Table2[NewPointsHome],Table2[GameDate], "&lt;=" &amp; $A51, Table2[HomeTeam], X$1)</f>
        <v>4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4</v>
      </c>
      <c r="AA51" s="145">
        <f>SUMIFS(Table2[NewPointsAway],Table2[GameDate], "&lt;=" &amp; $A51, Table2[AwayTeam], AA$1)+SUMIFS(Table2[NewPointsHome],Table2[GameDate], "&lt;=" &amp; $A51, Table2[HomeTeam], AA$1)</f>
        <v>2</v>
      </c>
      <c r="AB51" s="145">
        <f>SUMIFS(Table2[NewPointsAway],Table2[GameDate], "&lt;=" &amp; $A51, Table2[AwayTeam], AB$1)+SUMIFS(Table2[NewPointsHome],Table2[GameDate], "&lt;=" &amp; $A51, Table2[HomeTeam], AB$1)</f>
        <v>2</v>
      </c>
      <c r="AC51" s="145">
        <f>SUMIFS(Table2[NewPointsAway],Table2[GameDate], "&lt;=" &amp; $A51, Table2[AwayTeam], AC$1)+SUMIFS(Table2[NewPointsHome],Table2[GameDate], "&lt;=" &amp; $A51, Table2[HomeTeam], AC$1)</f>
        <v>2</v>
      </c>
      <c r="AD51" s="145">
        <f>SUMIFS(Table2[NewPointsAway],Table2[GameDate], "&lt;=" &amp; $A51, Table2[AwayTeam], AD$1)+SUMIFS(Table2[NewPointsHome],Table2[GameDate], "&lt;=" &amp; $A51, Table2[HomeTeam], AD$1)</f>
        <v>2</v>
      </c>
      <c r="AE51" s="145">
        <f>SUMIFS(Table2[NewPointsAway],Table2[GameDate], "&lt;=" &amp; $A51, Table2[AwayTeam], AE$1)+SUMIFS(Table2[NewPointsHome],Table2[GameDate], "&lt;=" &amp; $A51, Table2[HomeTeam], AE$1)</f>
        <v>4</v>
      </c>
      <c r="AF51" s="145">
        <f>SUMIFS(Table2[NewPointsAway],Table2[GameDate], "&lt;=" &amp; $A51, Table2[AwayTeam], AF$1)+SUMIFS(Table2[NewPointsHome],Table2[GameDate], "&lt;=" &amp; $A51, Table2[HomeTeam], AF$1)</f>
        <v>4</v>
      </c>
      <c r="AG51" s="145">
        <f>SUMIFS(Table2[NewPointsAway],Table2[GameDate], "&lt;=" &amp; $A51, Table2[AwayTeam], AG$1)+SUMIFS(Table2[NewPointsHome],Table2[GameDate], "&lt;=" &amp; $A51, Table2[HomeTeam], AG$1)</f>
        <v>4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2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0</v>
      </c>
      <c r="E52" s="145">
        <f>SUMIFS(Table2[NewPointsAway],Table2[GameDate], "&lt;=" &amp; $A52, Table2[AwayTeam], E$1)+SUMIFS(Table2[NewPointsHome],Table2[GameDate], "&lt;=" &amp; $A52, Table2[HomeTeam], E$1)</f>
        <v>4</v>
      </c>
      <c r="F52" s="145">
        <f>SUMIFS(Table2[NewPointsAway],Table2[GameDate], "&lt;=" &amp; $A52, Table2[AwayTeam], F$1)+SUMIFS(Table2[NewPointsHome],Table2[GameDate], "&lt;=" &amp; $A52, Table2[HomeTeam], F$1)</f>
        <v>2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3</v>
      </c>
      <c r="I52" s="145">
        <f>SUMIFS(Table2[NewPointsAway],Table2[GameDate], "&lt;=" &amp; $A52, Table2[AwayTeam], I$1)+SUMIFS(Table2[NewPointsHome],Table2[GameDate], "&lt;=" &amp; $A52, Table2[HomeTeam], I$1)</f>
        <v>7</v>
      </c>
      <c r="J52" s="145">
        <f>SUMIFS(Table2[NewPointsAway],Table2[GameDate], "&lt;=" &amp; $A52, Table2[AwayTeam], J$1)+SUMIFS(Table2[NewPointsHome],Table2[GameDate], "&lt;=" &amp; $A52, Table2[HomeTeam], J$1)</f>
        <v>4</v>
      </c>
      <c r="K52" s="145">
        <f>SUMIFS(Table2[NewPointsAway],Table2[GameDate], "&lt;=" &amp; $A52, Table2[AwayTeam], K$1)+SUMIFS(Table2[NewPointsHome],Table2[GameDate], "&lt;=" &amp; $A52, Table2[HomeTeam], K$1)</f>
        <v>4</v>
      </c>
      <c r="L52" s="145">
        <f>SUMIFS(Table2[NewPointsAway],Table2[GameDate], "&lt;=" &amp; $A52, Table2[AwayTeam], L$1)+SUMIFS(Table2[NewPointsHome],Table2[GameDate], "&lt;=" &amp; $A52, Table2[HomeTeam], L$1)</f>
        <v>3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3</v>
      </c>
      <c r="O52" s="145">
        <f>SUMIFS(Table2[NewPointsAway],Table2[GameDate], "&lt;=" &amp; $A52, Table2[AwayTeam], O$1)+SUMIFS(Table2[NewPointsHome],Table2[GameDate], "&lt;=" &amp; $A52, Table2[HomeTeam], O$1)</f>
        <v>4</v>
      </c>
      <c r="P52" s="145">
        <f>SUMIFS(Table2[NewPointsAway],Table2[GameDate], "&lt;=" &amp; $A52, Table2[AwayTeam], P$1)+SUMIFS(Table2[NewPointsHome],Table2[GameDate], "&lt;=" &amp; $A52, Table2[HomeTeam], P$1)</f>
        <v>4</v>
      </c>
      <c r="Q52" s="145">
        <f>SUMIFS(Table2[NewPointsAway],Table2[GameDate], "&lt;=" &amp; $A52, Table2[AwayTeam], Q$1)+SUMIFS(Table2[NewPointsHome],Table2[GameDate], "&lt;=" &amp; $A52, Table2[HomeTeam], Q$1)</f>
        <v>4</v>
      </c>
      <c r="R52" s="145">
        <f>SUMIFS(Table2[NewPointsAway],Table2[GameDate], "&lt;=" &amp; $A52, Table2[AwayTeam], R$1)+SUMIFS(Table2[NewPointsHome],Table2[GameDate], "&lt;=" &amp; $A52, Table2[HomeTeam], R$1)</f>
        <v>5</v>
      </c>
      <c r="S52" s="145">
        <f>SUMIFS(Table2[NewPointsAway],Table2[GameDate], "&lt;=" &amp; $A52, Table2[AwayTeam], S$1)+SUMIFS(Table2[NewPointsHome],Table2[GameDate], "&lt;=" &amp; $A52, Table2[HomeTeam], S$1)</f>
        <v>0</v>
      </c>
      <c r="T52" s="145">
        <f>SUMIFS(Table2[NewPointsAway],Table2[GameDate], "&lt;=" &amp; $A52, Table2[AwayTeam], T$1)+SUMIFS(Table2[NewPointsHome],Table2[GameDate], "&lt;=" &amp; $A52, Table2[HomeTeam], T$1)</f>
        <v>4</v>
      </c>
      <c r="U52" s="145">
        <f>SUMIFS(Table2[NewPointsAway],Table2[GameDate], "&lt;=" &amp; $A52, Table2[AwayTeam], U$1)+SUMIFS(Table2[NewPointsHome],Table2[GameDate], "&lt;=" &amp; $A52, Table2[HomeTeam], U$1)</f>
        <v>2</v>
      </c>
      <c r="V52" s="145">
        <f>SUMIFS(Table2[NewPointsAway],Table2[GameDate], "&lt;=" &amp; $A52, Table2[AwayTeam], V$1)+SUMIFS(Table2[NewPointsHome],Table2[GameDate], "&lt;=" &amp; $A52, Table2[HomeTeam], V$1)</f>
        <v>3</v>
      </c>
      <c r="W52" s="145">
        <f>SUMIFS(Table2[NewPointsAway],Table2[GameDate], "&lt;=" &amp; $A52, Table2[AwayTeam], W$1)+SUMIFS(Table2[NewPointsHome],Table2[GameDate], "&lt;=" &amp; $A52, Table2[HomeTeam], W$1)</f>
        <v>4</v>
      </c>
      <c r="X52" s="145">
        <f>SUMIFS(Table2[NewPointsAway],Table2[GameDate], "&lt;=" &amp; $A52, Table2[AwayTeam], X$1)+SUMIFS(Table2[NewPointsHome],Table2[GameDate], "&lt;=" &amp; $A52, Table2[HomeTeam], X$1)</f>
        <v>4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4</v>
      </c>
      <c r="AA52" s="145">
        <f>SUMIFS(Table2[NewPointsAway],Table2[GameDate], "&lt;=" &amp; $A52, Table2[AwayTeam], AA$1)+SUMIFS(Table2[NewPointsHome],Table2[GameDate], "&lt;=" &amp; $A52, Table2[HomeTeam], AA$1)</f>
        <v>2</v>
      </c>
      <c r="AB52" s="145">
        <f>SUMIFS(Table2[NewPointsAway],Table2[GameDate], "&lt;=" &amp; $A52, Table2[AwayTeam], AB$1)+SUMIFS(Table2[NewPointsHome],Table2[GameDate], "&lt;=" &amp; $A52, Table2[HomeTeam], AB$1)</f>
        <v>2</v>
      </c>
      <c r="AC52" s="145">
        <f>SUMIFS(Table2[NewPointsAway],Table2[GameDate], "&lt;=" &amp; $A52, Table2[AwayTeam], AC$1)+SUMIFS(Table2[NewPointsHome],Table2[GameDate], "&lt;=" &amp; $A52, Table2[HomeTeam], AC$1)</f>
        <v>2</v>
      </c>
      <c r="AD52" s="145">
        <f>SUMIFS(Table2[NewPointsAway],Table2[GameDate], "&lt;=" &amp; $A52, Table2[AwayTeam], AD$1)+SUMIFS(Table2[NewPointsHome],Table2[GameDate], "&lt;=" &amp; $A52, Table2[HomeTeam], AD$1)</f>
        <v>2</v>
      </c>
      <c r="AE52" s="145">
        <f>SUMIFS(Table2[NewPointsAway],Table2[GameDate], "&lt;=" &amp; $A52, Table2[AwayTeam], AE$1)+SUMIFS(Table2[NewPointsHome],Table2[GameDate], "&lt;=" &amp; $A52, Table2[HomeTeam], AE$1)</f>
        <v>4</v>
      </c>
      <c r="AF52" s="145">
        <f>SUMIFS(Table2[NewPointsAway],Table2[GameDate], "&lt;=" &amp; $A52, Table2[AwayTeam], AF$1)+SUMIFS(Table2[NewPointsHome],Table2[GameDate], "&lt;=" &amp; $A52, Table2[HomeTeam], AF$1)</f>
        <v>4</v>
      </c>
      <c r="AG52" s="145">
        <f>SUMIFS(Table2[NewPointsAway],Table2[GameDate], "&lt;=" &amp; $A52, Table2[AwayTeam], AG$1)+SUMIFS(Table2[NewPointsHome],Table2[GameDate], "&lt;=" &amp; $A52, Table2[HomeTeam], AG$1)</f>
        <v>4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2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0</v>
      </c>
      <c r="E53" s="145">
        <f>SUMIFS(Table2[NewPointsAway],Table2[GameDate], "&lt;=" &amp; $A53, Table2[AwayTeam], E$1)+SUMIFS(Table2[NewPointsHome],Table2[GameDate], "&lt;=" &amp; $A53, Table2[HomeTeam], E$1)</f>
        <v>4</v>
      </c>
      <c r="F53" s="145">
        <f>SUMIFS(Table2[NewPointsAway],Table2[GameDate], "&lt;=" &amp; $A53, Table2[AwayTeam], F$1)+SUMIFS(Table2[NewPointsHome],Table2[GameDate], "&lt;=" &amp; $A53, Table2[HomeTeam], F$1)</f>
        <v>2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3</v>
      </c>
      <c r="I53" s="145">
        <f>SUMIFS(Table2[NewPointsAway],Table2[GameDate], "&lt;=" &amp; $A53, Table2[AwayTeam], I$1)+SUMIFS(Table2[NewPointsHome],Table2[GameDate], "&lt;=" &amp; $A53, Table2[HomeTeam], I$1)</f>
        <v>7</v>
      </c>
      <c r="J53" s="145">
        <f>SUMIFS(Table2[NewPointsAway],Table2[GameDate], "&lt;=" &amp; $A53, Table2[AwayTeam], J$1)+SUMIFS(Table2[NewPointsHome],Table2[GameDate], "&lt;=" &amp; $A53, Table2[HomeTeam], J$1)</f>
        <v>4</v>
      </c>
      <c r="K53" s="145">
        <f>SUMIFS(Table2[NewPointsAway],Table2[GameDate], "&lt;=" &amp; $A53, Table2[AwayTeam], K$1)+SUMIFS(Table2[NewPointsHome],Table2[GameDate], "&lt;=" &amp; $A53, Table2[HomeTeam], K$1)</f>
        <v>4</v>
      </c>
      <c r="L53" s="145">
        <f>SUMIFS(Table2[NewPointsAway],Table2[GameDate], "&lt;=" &amp; $A53, Table2[AwayTeam], L$1)+SUMIFS(Table2[NewPointsHome],Table2[GameDate], "&lt;=" &amp; $A53, Table2[HomeTeam], L$1)</f>
        <v>3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3</v>
      </c>
      <c r="O53" s="145">
        <f>SUMIFS(Table2[NewPointsAway],Table2[GameDate], "&lt;=" &amp; $A53, Table2[AwayTeam], O$1)+SUMIFS(Table2[NewPointsHome],Table2[GameDate], "&lt;=" &amp; $A53, Table2[HomeTeam], O$1)</f>
        <v>4</v>
      </c>
      <c r="P53" s="145">
        <f>SUMIFS(Table2[NewPointsAway],Table2[GameDate], "&lt;=" &amp; $A53, Table2[AwayTeam], P$1)+SUMIFS(Table2[NewPointsHome],Table2[GameDate], "&lt;=" &amp; $A53, Table2[HomeTeam], P$1)</f>
        <v>4</v>
      </c>
      <c r="Q53" s="145">
        <f>SUMIFS(Table2[NewPointsAway],Table2[GameDate], "&lt;=" &amp; $A53, Table2[AwayTeam], Q$1)+SUMIFS(Table2[NewPointsHome],Table2[GameDate], "&lt;=" &amp; $A53, Table2[HomeTeam], Q$1)</f>
        <v>4</v>
      </c>
      <c r="R53" s="145">
        <f>SUMIFS(Table2[NewPointsAway],Table2[GameDate], "&lt;=" &amp; $A53, Table2[AwayTeam], R$1)+SUMIFS(Table2[NewPointsHome],Table2[GameDate], "&lt;=" &amp; $A53, Table2[HomeTeam], R$1)</f>
        <v>5</v>
      </c>
      <c r="S53" s="145">
        <f>SUMIFS(Table2[NewPointsAway],Table2[GameDate], "&lt;=" &amp; $A53, Table2[AwayTeam], S$1)+SUMIFS(Table2[NewPointsHome],Table2[GameDate], "&lt;=" &amp; $A53, Table2[HomeTeam], S$1)</f>
        <v>0</v>
      </c>
      <c r="T53" s="145">
        <f>SUMIFS(Table2[NewPointsAway],Table2[GameDate], "&lt;=" &amp; $A53, Table2[AwayTeam], T$1)+SUMIFS(Table2[NewPointsHome],Table2[GameDate], "&lt;=" &amp; $A53, Table2[HomeTeam], T$1)</f>
        <v>4</v>
      </c>
      <c r="U53" s="145">
        <f>SUMIFS(Table2[NewPointsAway],Table2[GameDate], "&lt;=" &amp; $A53, Table2[AwayTeam], U$1)+SUMIFS(Table2[NewPointsHome],Table2[GameDate], "&lt;=" &amp; $A53, Table2[HomeTeam], U$1)</f>
        <v>2</v>
      </c>
      <c r="V53" s="145">
        <f>SUMIFS(Table2[NewPointsAway],Table2[GameDate], "&lt;=" &amp; $A53, Table2[AwayTeam], V$1)+SUMIFS(Table2[NewPointsHome],Table2[GameDate], "&lt;=" &amp; $A53, Table2[HomeTeam], V$1)</f>
        <v>3</v>
      </c>
      <c r="W53" s="145">
        <f>SUMIFS(Table2[NewPointsAway],Table2[GameDate], "&lt;=" &amp; $A53, Table2[AwayTeam], W$1)+SUMIFS(Table2[NewPointsHome],Table2[GameDate], "&lt;=" &amp; $A53, Table2[HomeTeam], W$1)</f>
        <v>4</v>
      </c>
      <c r="X53" s="145">
        <f>SUMIFS(Table2[NewPointsAway],Table2[GameDate], "&lt;=" &amp; $A53, Table2[AwayTeam], X$1)+SUMIFS(Table2[NewPointsHome],Table2[GameDate], "&lt;=" &amp; $A53, Table2[HomeTeam], X$1)</f>
        <v>4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4</v>
      </c>
      <c r="AA53" s="145">
        <f>SUMIFS(Table2[NewPointsAway],Table2[GameDate], "&lt;=" &amp; $A53, Table2[AwayTeam], AA$1)+SUMIFS(Table2[NewPointsHome],Table2[GameDate], "&lt;=" &amp; $A53, Table2[HomeTeam], AA$1)</f>
        <v>2</v>
      </c>
      <c r="AB53" s="145">
        <f>SUMIFS(Table2[NewPointsAway],Table2[GameDate], "&lt;=" &amp; $A53, Table2[AwayTeam], AB$1)+SUMIFS(Table2[NewPointsHome],Table2[GameDate], "&lt;=" &amp; $A53, Table2[HomeTeam], AB$1)</f>
        <v>2</v>
      </c>
      <c r="AC53" s="145">
        <f>SUMIFS(Table2[NewPointsAway],Table2[GameDate], "&lt;=" &amp; $A53, Table2[AwayTeam], AC$1)+SUMIFS(Table2[NewPointsHome],Table2[GameDate], "&lt;=" &amp; $A53, Table2[HomeTeam], AC$1)</f>
        <v>2</v>
      </c>
      <c r="AD53" s="145">
        <f>SUMIFS(Table2[NewPointsAway],Table2[GameDate], "&lt;=" &amp; $A53, Table2[AwayTeam], AD$1)+SUMIFS(Table2[NewPointsHome],Table2[GameDate], "&lt;=" &amp; $A53, Table2[HomeTeam], AD$1)</f>
        <v>2</v>
      </c>
      <c r="AE53" s="145">
        <f>SUMIFS(Table2[NewPointsAway],Table2[GameDate], "&lt;=" &amp; $A53, Table2[AwayTeam], AE$1)+SUMIFS(Table2[NewPointsHome],Table2[GameDate], "&lt;=" &amp; $A53, Table2[HomeTeam], AE$1)</f>
        <v>4</v>
      </c>
      <c r="AF53" s="145">
        <f>SUMIFS(Table2[NewPointsAway],Table2[GameDate], "&lt;=" &amp; $A53, Table2[AwayTeam], AF$1)+SUMIFS(Table2[NewPointsHome],Table2[GameDate], "&lt;=" &amp; $A53, Table2[HomeTeam], AF$1)</f>
        <v>4</v>
      </c>
      <c r="AG53" s="145">
        <f>SUMIFS(Table2[NewPointsAway],Table2[GameDate], "&lt;=" &amp; $A53, Table2[AwayTeam], AG$1)+SUMIFS(Table2[NewPointsHome],Table2[GameDate], "&lt;=" &amp; $A53, Table2[HomeTeam], AG$1)</f>
        <v>4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2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0</v>
      </c>
      <c r="E54" s="145">
        <f>SUMIFS(Table2[NewPointsAway],Table2[GameDate], "&lt;=" &amp; $A54, Table2[AwayTeam], E$1)+SUMIFS(Table2[NewPointsHome],Table2[GameDate], "&lt;=" &amp; $A54, Table2[HomeTeam], E$1)</f>
        <v>4</v>
      </c>
      <c r="F54" s="145">
        <f>SUMIFS(Table2[NewPointsAway],Table2[GameDate], "&lt;=" &amp; $A54, Table2[AwayTeam], F$1)+SUMIFS(Table2[NewPointsHome],Table2[GameDate], "&lt;=" &amp; $A54, Table2[HomeTeam], F$1)</f>
        <v>2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3</v>
      </c>
      <c r="I54" s="145">
        <f>SUMIFS(Table2[NewPointsAway],Table2[GameDate], "&lt;=" &amp; $A54, Table2[AwayTeam], I$1)+SUMIFS(Table2[NewPointsHome],Table2[GameDate], "&lt;=" &amp; $A54, Table2[HomeTeam], I$1)</f>
        <v>7</v>
      </c>
      <c r="J54" s="145">
        <f>SUMIFS(Table2[NewPointsAway],Table2[GameDate], "&lt;=" &amp; $A54, Table2[AwayTeam], J$1)+SUMIFS(Table2[NewPointsHome],Table2[GameDate], "&lt;=" &amp; $A54, Table2[HomeTeam], J$1)</f>
        <v>4</v>
      </c>
      <c r="K54" s="145">
        <f>SUMIFS(Table2[NewPointsAway],Table2[GameDate], "&lt;=" &amp; $A54, Table2[AwayTeam], K$1)+SUMIFS(Table2[NewPointsHome],Table2[GameDate], "&lt;=" &amp; $A54, Table2[HomeTeam], K$1)</f>
        <v>4</v>
      </c>
      <c r="L54" s="145">
        <f>SUMIFS(Table2[NewPointsAway],Table2[GameDate], "&lt;=" &amp; $A54, Table2[AwayTeam], L$1)+SUMIFS(Table2[NewPointsHome],Table2[GameDate], "&lt;=" &amp; $A54, Table2[HomeTeam], L$1)</f>
        <v>3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3</v>
      </c>
      <c r="O54" s="145">
        <f>SUMIFS(Table2[NewPointsAway],Table2[GameDate], "&lt;=" &amp; $A54, Table2[AwayTeam], O$1)+SUMIFS(Table2[NewPointsHome],Table2[GameDate], "&lt;=" &amp; $A54, Table2[HomeTeam], O$1)</f>
        <v>4</v>
      </c>
      <c r="P54" s="145">
        <f>SUMIFS(Table2[NewPointsAway],Table2[GameDate], "&lt;=" &amp; $A54, Table2[AwayTeam], P$1)+SUMIFS(Table2[NewPointsHome],Table2[GameDate], "&lt;=" &amp; $A54, Table2[HomeTeam], P$1)</f>
        <v>4</v>
      </c>
      <c r="Q54" s="145">
        <f>SUMIFS(Table2[NewPointsAway],Table2[GameDate], "&lt;=" &amp; $A54, Table2[AwayTeam], Q$1)+SUMIFS(Table2[NewPointsHome],Table2[GameDate], "&lt;=" &amp; $A54, Table2[HomeTeam], Q$1)</f>
        <v>4</v>
      </c>
      <c r="R54" s="145">
        <f>SUMIFS(Table2[NewPointsAway],Table2[GameDate], "&lt;=" &amp; $A54, Table2[AwayTeam], R$1)+SUMIFS(Table2[NewPointsHome],Table2[GameDate], "&lt;=" &amp; $A54, Table2[HomeTeam], R$1)</f>
        <v>5</v>
      </c>
      <c r="S54" s="145">
        <f>SUMIFS(Table2[NewPointsAway],Table2[GameDate], "&lt;=" &amp; $A54, Table2[AwayTeam], S$1)+SUMIFS(Table2[NewPointsHome],Table2[GameDate], "&lt;=" &amp; $A54, Table2[HomeTeam], S$1)</f>
        <v>0</v>
      </c>
      <c r="T54" s="145">
        <f>SUMIFS(Table2[NewPointsAway],Table2[GameDate], "&lt;=" &amp; $A54, Table2[AwayTeam], T$1)+SUMIFS(Table2[NewPointsHome],Table2[GameDate], "&lt;=" &amp; $A54, Table2[HomeTeam], T$1)</f>
        <v>4</v>
      </c>
      <c r="U54" s="145">
        <f>SUMIFS(Table2[NewPointsAway],Table2[GameDate], "&lt;=" &amp; $A54, Table2[AwayTeam], U$1)+SUMIFS(Table2[NewPointsHome],Table2[GameDate], "&lt;=" &amp; $A54, Table2[HomeTeam], U$1)</f>
        <v>2</v>
      </c>
      <c r="V54" s="145">
        <f>SUMIFS(Table2[NewPointsAway],Table2[GameDate], "&lt;=" &amp; $A54, Table2[AwayTeam], V$1)+SUMIFS(Table2[NewPointsHome],Table2[GameDate], "&lt;=" &amp; $A54, Table2[HomeTeam], V$1)</f>
        <v>3</v>
      </c>
      <c r="W54" s="145">
        <f>SUMIFS(Table2[NewPointsAway],Table2[GameDate], "&lt;=" &amp; $A54, Table2[AwayTeam], W$1)+SUMIFS(Table2[NewPointsHome],Table2[GameDate], "&lt;=" &amp; $A54, Table2[HomeTeam], W$1)</f>
        <v>4</v>
      </c>
      <c r="X54" s="145">
        <f>SUMIFS(Table2[NewPointsAway],Table2[GameDate], "&lt;=" &amp; $A54, Table2[AwayTeam], X$1)+SUMIFS(Table2[NewPointsHome],Table2[GameDate], "&lt;=" &amp; $A54, Table2[HomeTeam], X$1)</f>
        <v>4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4</v>
      </c>
      <c r="AA54" s="145">
        <f>SUMIFS(Table2[NewPointsAway],Table2[GameDate], "&lt;=" &amp; $A54, Table2[AwayTeam], AA$1)+SUMIFS(Table2[NewPointsHome],Table2[GameDate], "&lt;=" &amp; $A54, Table2[HomeTeam], AA$1)</f>
        <v>2</v>
      </c>
      <c r="AB54" s="145">
        <f>SUMIFS(Table2[NewPointsAway],Table2[GameDate], "&lt;=" &amp; $A54, Table2[AwayTeam], AB$1)+SUMIFS(Table2[NewPointsHome],Table2[GameDate], "&lt;=" &amp; $A54, Table2[HomeTeam], AB$1)</f>
        <v>2</v>
      </c>
      <c r="AC54" s="145">
        <f>SUMIFS(Table2[NewPointsAway],Table2[GameDate], "&lt;=" &amp; $A54, Table2[AwayTeam], AC$1)+SUMIFS(Table2[NewPointsHome],Table2[GameDate], "&lt;=" &amp; $A54, Table2[HomeTeam], AC$1)</f>
        <v>2</v>
      </c>
      <c r="AD54" s="145">
        <f>SUMIFS(Table2[NewPointsAway],Table2[GameDate], "&lt;=" &amp; $A54, Table2[AwayTeam], AD$1)+SUMIFS(Table2[NewPointsHome],Table2[GameDate], "&lt;=" &amp; $A54, Table2[HomeTeam], AD$1)</f>
        <v>2</v>
      </c>
      <c r="AE54" s="145">
        <f>SUMIFS(Table2[NewPointsAway],Table2[GameDate], "&lt;=" &amp; $A54, Table2[AwayTeam], AE$1)+SUMIFS(Table2[NewPointsHome],Table2[GameDate], "&lt;=" &amp; $A54, Table2[HomeTeam], AE$1)</f>
        <v>4</v>
      </c>
      <c r="AF54" s="145">
        <f>SUMIFS(Table2[NewPointsAway],Table2[GameDate], "&lt;=" &amp; $A54, Table2[AwayTeam], AF$1)+SUMIFS(Table2[NewPointsHome],Table2[GameDate], "&lt;=" &amp; $A54, Table2[HomeTeam], AF$1)</f>
        <v>4</v>
      </c>
      <c r="AG54" s="145">
        <f>SUMIFS(Table2[NewPointsAway],Table2[GameDate], "&lt;=" &amp; $A54, Table2[AwayTeam], AG$1)+SUMIFS(Table2[NewPointsHome],Table2[GameDate], "&lt;=" &amp; $A54, Table2[HomeTeam], AG$1)</f>
        <v>4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2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0</v>
      </c>
      <c r="E55" s="145">
        <f>SUMIFS(Table2[NewPointsAway],Table2[GameDate], "&lt;=" &amp; $A55, Table2[AwayTeam], E$1)+SUMIFS(Table2[NewPointsHome],Table2[GameDate], "&lt;=" &amp; $A55, Table2[HomeTeam], E$1)</f>
        <v>4</v>
      </c>
      <c r="F55" s="145">
        <f>SUMIFS(Table2[NewPointsAway],Table2[GameDate], "&lt;=" &amp; $A55, Table2[AwayTeam], F$1)+SUMIFS(Table2[NewPointsHome],Table2[GameDate], "&lt;=" &amp; $A55, Table2[HomeTeam], F$1)</f>
        <v>2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3</v>
      </c>
      <c r="I55" s="145">
        <f>SUMIFS(Table2[NewPointsAway],Table2[GameDate], "&lt;=" &amp; $A55, Table2[AwayTeam], I$1)+SUMIFS(Table2[NewPointsHome],Table2[GameDate], "&lt;=" &amp; $A55, Table2[HomeTeam], I$1)</f>
        <v>7</v>
      </c>
      <c r="J55" s="145">
        <f>SUMIFS(Table2[NewPointsAway],Table2[GameDate], "&lt;=" &amp; $A55, Table2[AwayTeam], J$1)+SUMIFS(Table2[NewPointsHome],Table2[GameDate], "&lt;=" &amp; $A55, Table2[HomeTeam], J$1)</f>
        <v>4</v>
      </c>
      <c r="K55" s="145">
        <f>SUMIFS(Table2[NewPointsAway],Table2[GameDate], "&lt;=" &amp; $A55, Table2[AwayTeam], K$1)+SUMIFS(Table2[NewPointsHome],Table2[GameDate], "&lt;=" &amp; $A55, Table2[HomeTeam], K$1)</f>
        <v>4</v>
      </c>
      <c r="L55" s="145">
        <f>SUMIFS(Table2[NewPointsAway],Table2[GameDate], "&lt;=" &amp; $A55, Table2[AwayTeam], L$1)+SUMIFS(Table2[NewPointsHome],Table2[GameDate], "&lt;=" &amp; $A55, Table2[HomeTeam], L$1)</f>
        <v>3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3</v>
      </c>
      <c r="O55" s="145">
        <f>SUMIFS(Table2[NewPointsAway],Table2[GameDate], "&lt;=" &amp; $A55, Table2[AwayTeam], O$1)+SUMIFS(Table2[NewPointsHome],Table2[GameDate], "&lt;=" &amp; $A55, Table2[HomeTeam], O$1)</f>
        <v>4</v>
      </c>
      <c r="P55" s="145">
        <f>SUMIFS(Table2[NewPointsAway],Table2[GameDate], "&lt;=" &amp; $A55, Table2[AwayTeam], P$1)+SUMIFS(Table2[NewPointsHome],Table2[GameDate], "&lt;=" &amp; $A55, Table2[HomeTeam], P$1)</f>
        <v>4</v>
      </c>
      <c r="Q55" s="145">
        <f>SUMIFS(Table2[NewPointsAway],Table2[GameDate], "&lt;=" &amp; $A55, Table2[AwayTeam], Q$1)+SUMIFS(Table2[NewPointsHome],Table2[GameDate], "&lt;=" &amp; $A55, Table2[HomeTeam], Q$1)</f>
        <v>4</v>
      </c>
      <c r="R55" s="145">
        <f>SUMIFS(Table2[NewPointsAway],Table2[GameDate], "&lt;=" &amp; $A55, Table2[AwayTeam], R$1)+SUMIFS(Table2[NewPointsHome],Table2[GameDate], "&lt;=" &amp; $A55, Table2[HomeTeam], R$1)</f>
        <v>5</v>
      </c>
      <c r="S55" s="145">
        <f>SUMIFS(Table2[NewPointsAway],Table2[GameDate], "&lt;=" &amp; $A55, Table2[AwayTeam], S$1)+SUMIFS(Table2[NewPointsHome],Table2[GameDate], "&lt;=" &amp; $A55, Table2[HomeTeam], S$1)</f>
        <v>0</v>
      </c>
      <c r="T55" s="145">
        <f>SUMIFS(Table2[NewPointsAway],Table2[GameDate], "&lt;=" &amp; $A55, Table2[AwayTeam], T$1)+SUMIFS(Table2[NewPointsHome],Table2[GameDate], "&lt;=" &amp; $A55, Table2[HomeTeam], T$1)</f>
        <v>4</v>
      </c>
      <c r="U55" s="145">
        <f>SUMIFS(Table2[NewPointsAway],Table2[GameDate], "&lt;=" &amp; $A55, Table2[AwayTeam], U$1)+SUMIFS(Table2[NewPointsHome],Table2[GameDate], "&lt;=" &amp; $A55, Table2[HomeTeam], U$1)</f>
        <v>2</v>
      </c>
      <c r="V55" s="145">
        <f>SUMIFS(Table2[NewPointsAway],Table2[GameDate], "&lt;=" &amp; $A55, Table2[AwayTeam], V$1)+SUMIFS(Table2[NewPointsHome],Table2[GameDate], "&lt;=" &amp; $A55, Table2[HomeTeam], V$1)</f>
        <v>3</v>
      </c>
      <c r="W55" s="145">
        <f>SUMIFS(Table2[NewPointsAway],Table2[GameDate], "&lt;=" &amp; $A55, Table2[AwayTeam], W$1)+SUMIFS(Table2[NewPointsHome],Table2[GameDate], "&lt;=" &amp; $A55, Table2[HomeTeam], W$1)</f>
        <v>4</v>
      </c>
      <c r="X55" s="145">
        <f>SUMIFS(Table2[NewPointsAway],Table2[GameDate], "&lt;=" &amp; $A55, Table2[AwayTeam], X$1)+SUMIFS(Table2[NewPointsHome],Table2[GameDate], "&lt;=" &amp; $A55, Table2[HomeTeam], X$1)</f>
        <v>4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4</v>
      </c>
      <c r="AA55" s="145">
        <f>SUMIFS(Table2[NewPointsAway],Table2[GameDate], "&lt;=" &amp; $A55, Table2[AwayTeam], AA$1)+SUMIFS(Table2[NewPointsHome],Table2[GameDate], "&lt;=" &amp; $A55, Table2[HomeTeam], AA$1)</f>
        <v>2</v>
      </c>
      <c r="AB55" s="145">
        <f>SUMIFS(Table2[NewPointsAway],Table2[GameDate], "&lt;=" &amp; $A55, Table2[AwayTeam], AB$1)+SUMIFS(Table2[NewPointsHome],Table2[GameDate], "&lt;=" &amp; $A55, Table2[HomeTeam], AB$1)</f>
        <v>2</v>
      </c>
      <c r="AC55" s="145">
        <f>SUMIFS(Table2[NewPointsAway],Table2[GameDate], "&lt;=" &amp; $A55, Table2[AwayTeam], AC$1)+SUMIFS(Table2[NewPointsHome],Table2[GameDate], "&lt;=" &amp; $A55, Table2[HomeTeam], AC$1)</f>
        <v>2</v>
      </c>
      <c r="AD55" s="145">
        <f>SUMIFS(Table2[NewPointsAway],Table2[GameDate], "&lt;=" &amp; $A55, Table2[AwayTeam], AD$1)+SUMIFS(Table2[NewPointsHome],Table2[GameDate], "&lt;=" &amp; $A55, Table2[HomeTeam], AD$1)</f>
        <v>2</v>
      </c>
      <c r="AE55" s="145">
        <f>SUMIFS(Table2[NewPointsAway],Table2[GameDate], "&lt;=" &amp; $A55, Table2[AwayTeam], AE$1)+SUMIFS(Table2[NewPointsHome],Table2[GameDate], "&lt;=" &amp; $A55, Table2[HomeTeam], AE$1)</f>
        <v>4</v>
      </c>
      <c r="AF55" s="145">
        <f>SUMIFS(Table2[NewPointsAway],Table2[GameDate], "&lt;=" &amp; $A55, Table2[AwayTeam], AF$1)+SUMIFS(Table2[NewPointsHome],Table2[GameDate], "&lt;=" &amp; $A55, Table2[HomeTeam], AF$1)</f>
        <v>4</v>
      </c>
      <c r="AG55" s="145">
        <f>SUMIFS(Table2[NewPointsAway],Table2[GameDate], "&lt;=" &amp; $A55, Table2[AwayTeam], AG$1)+SUMIFS(Table2[NewPointsHome],Table2[GameDate], "&lt;=" &amp; $A55, Table2[HomeTeam], AG$1)</f>
        <v>4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2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0</v>
      </c>
      <c r="E56" s="145">
        <f>SUMIFS(Table2[NewPointsAway],Table2[GameDate], "&lt;=" &amp; $A56, Table2[AwayTeam], E$1)+SUMIFS(Table2[NewPointsHome],Table2[GameDate], "&lt;=" &amp; $A56, Table2[HomeTeam], E$1)</f>
        <v>4</v>
      </c>
      <c r="F56" s="145">
        <f>SUMIFS(Table2[NewPointsAway],Table2[GameDate], "&lt;=" &amp; $A56, Table2[AwayTeam], F$1)+SUMIFS(Table2[NewPointsHome],Table2[GameDate], "&lt;=" &amp; $A56, Table2[HomeTeam], F$1)</f>
        <v>2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3</v>
      </c>
      <c r="I56" s="145">
        <f>SUMIFS(Table2[NewPointsAway],Table2[GameDate], "&lt;=" &amp; $A56, Table2[AwayTeam], I$1)+SUMIFS(Table2[NewPointsHome],Table2[GameDate], "&lt;=" &amp; $A56, Table2[HomeTeam], I$1)</f>
        <v>7</v>
      </c>
      <c r="J56" s="145">
        <f>SUMIFS(Table2[NewPointsAway],Table2[GameDate], "&lt;=" &amp; $A56, Table2[AwayTeam], J$1)+SUMIFS(Table2[NewPointsHome],Table2[GameDate], "&lt;=" &amp; $A56, Table2[HomeTeam], J$1)</f>
        <v>4</v>
      </c>
      <c r="K56" s="145">
        <f>SUMIFS(Table2[NewPointsAway],Table2[GameDate], "&lt;=" &amp; $A56, Table2[AwayTeam], K$1)+SUMIFS(Table2[NewPointsHome],Table2[GameDate], "&lt;=" &amp; $A56, Table2[HomeTeam], K$1)</f>
        <v>4</v>
      </c>
      <c r="L56" s="145">
        <f>SUMIFS(Table2[NewPointsAway],Table2[GameDate], "&lt;=" &amp; $A56, Table2[AwayTeam], L$1)+SUMIFS(Table2[NewPointsHome],Table2[GameDate], "&lt;=" &amp; $A56, Table2[HomeTeam], L$1)</f>
        <v>3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3</v>
      </c>
      <c r="O56" s="145">
        <f>SUMIFS(Table2[NewPointsAway],Table2[GameDate], "&lt;=" &amp; $A56, Table2[AwayTeam], O$1)+SUMIFS(Table2[NewPointsHome],Table2[GameDate], "&lt;=" &amp; $A56, Table2[HomeTeam], O$1)</f>
        <v>4</v>
      </c>
      <c r="P56" s="145">
        <f>SUMIFS(Table2[NewPointsAway],Table2[GameDate], "&lt;=" &amp; $A56, Table2[AwayTeam], P$1)+SUMIFS(Table2[NewPointsHome],Table2[GameDate], "&lt;=" &amp; $A56, Table2[HomeTeam], P$1)</f>
        <v>4</v>
      </c>
      <c r="Q56" s="145">
        <f>SUMIFS(Table2[NewPointsAway],Table2[GameDate], "&lt;=" &amp; $A56, Table2[AwayTeam], Q$1)+SUMIFS(Table2[NewPointsHome],Table2[GameDate], "&lt;=" &amp; $A56, Table2[HomeTeam], Q$1)</f>
        <v>4</v>
      </c>
      <c r="R56" s="145">
        <f>SUMIFS(Table2[NewPointsAway],Table2[GameDate], "&lt;=" &amp; $A56, Table2[AwayTeam], R$1)+SUMIFS(Table2[NewPointsHome],Table2[GameDate], "&lt;=" &amp; $A56, Table2[HomeTeam], R$1)</f>
        <v>5</v>
      </c>
      <c r="S56" s="145">
        <f>SUMIFS(Table2[NewPointsAway],Table2[GameDate], "&lt;=" &amp; $A56, Table2[AwayTeam], S$1)+SUMIFS(Table2[NewPointsHome],Table2[GameDate], "&lt;=" &amp; $A56, Table2[HomeTeam], S$1)</f>
        <v>0</v>
      </c>
      <c r="T56" s="145">
        <f>SUMIFS(Table2[NewPointsAway],Table2[GameDate], "&lt;=" &amp; $A56, Table2[AwayTeam], T$1)+SUMIFS(Table2[NewPointsHome],Table2[GameDate], "&lt;=" &amp; $A56, Table2[HomeTeam], T$1)</f>
        <v>4</v>
      </c>
      <c r="U56" s="145">
        <f>SUMIFS(Table2[NewPointsAway],Table2[GameDate], "&lt;=" &amp; $A56, Table2[AwayTeam], U$1)+SUMIFS(Table2[NewPointsHome],Table2[GameDate], "&lt;=" &amp; $A56, Table2[HomeTeam], U$1)</f>
        <v>2</v>
      </c>
      <c r="V56" s="145">
        <f>SUMIFS(Table2[NewPointsAway],Table2[GameDate], "&lt;=" &amp; $A56, Table2[AwayTeam], V$1)+SUMIFS(Table2[NewPointsHome],Table2[GameDate], "&lt;=" &amp; $A56, Table2[HomeTeam], V$1)</f>
        <v>3</v>
      </c>
      <c r="W56" s="145">
        <f>SUMIFS(Table2[NewPointsAway],Table2[GameDate], "&lt;=" &amp; $A56, Table2[AwayTeam], W$1)+SUMIFS(Table2[NewPointsHome],Table2[GameDate], "&lt;=" &amp; $A56, Table2[HomeTeam], W$1)</f>
        <v>4</v>
      </c>
      <c r="X56" s="145">
        <f>SUMIFS(Table2[NewPointsAway],Table2[GameDate], "&lt;=" &amp; $A56, Table2[AwayTeam], X$1)+SUMIFS(Table2[NewPointsHome],Table2[GameDate], "&lt;=" &amp; $A56, Table2[HomeTeam], X$1)</f>
        <v>4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4</v>
      </c>
      <c r="AA56" s="145">
        <f>SUMIFS(Table2[NewPointsAway],Table2[GameDate], "&lt;=" &amp; $A56, Table2[AwayTeam], AA$1)+SUMIFS(Table2[NewPointsHome],Table2[GameDate], "&lt;=" &amp; $A56, Table2[HomeTeam], AA$1)</f>
        <v>2</v>
      </c>
      <c r="AB56" s="145">
        <f>SUMIFS(Table2[NewPointsAway],Table2[GameDate], "&lt;=" &amp; $A56, Table2[AwayTeam], AB$1)+SUMIFS(Table2[NewPointsHome],Table2[GameDate], "&lt;=" &amp; $A56, Table2[HomeTeam], AB$1)</f>
        <v>2</v>
      </c>
      <c r="AC56" s="145">
        <f>SUMIFS(Table2[NewPointsAway],Table2[GameDate], "&lt;=" &amp; $A56, Table2[AwayTeam], AC$1)+SUMIFS(Table2[NewPointsHome],Table2[GameDate], "&lt;=" &amp; $A56, Table2[HomeTeam], AC$1)</f>
        <v>2</v>
      </c>
      <c r="AD56" s="145">
        <f>SUMIFS(Table2[NewPointsAway],Table2[GameDate], "&lt;=" &amp; $A56, Table2[AwayTeam], AD$1)+SUMIFS(Table2[NewPointsHome],Table2[GameDate], "&lt;=" &amp; $A56, Table2[HomeTeam], AD$1)</f>
        <v>2</v>
      </c>
      <c r="AE56" s="145">
        <f>SUMIFS(Table2[NewPointsAway],Table2[GameDate], "&lt;=" &amp; $A56, Table2[AwayTeam], AE$1)+SUMIFS(Table2[NewPointsHome],Table2[GameDate], "&lt;=" &amp; $A56, Table2[HomeTeam], AE$1)</f>
        <v>4</v>
      </c>
      <c r="AF56" s="145">
        <f>SUMIFS(Table2[NewPointsAway],Table2[GameDate], "&lt;=" &amp; $A56, Table2[AwayTeam], AF$1)+SUMIFS(Table2[NewPointsHome],Table2[GameDate], "&lt;=" &amp; $A56, Table2[HomeTeam], AF$1)</f>
        <v>4</v>
      </c>
      <c r="AG56" s="145">
        <f>SUMIFS(Table2[NewPointsAway],Table2[GameDate], "&lt;=" &amp; $A56, Table2[AwayTeam], AG$1)+SUMIFS(Table2[NewPointsHome],Table2[GameDate], "&lt;=" &amp; $A56, Table2[HomeTeam], AG$1)</f>
        <v>4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2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0</v>
      </c>
      <c r="E57" s="145">
        <f>SUMIFS(Table2[NewPointsAway],Table2[GameDate], "&lt;=" &amp; $A57, Table2[AwayTeam], E$1)+SUMIFS(Table2[NewPointsHome],Table2[GameDate], "&lt;=" &amp; $A57, Table2[HomeTeam], E$1)</f>
        <v>4</v>
      </c>
      <c r="F57" s="145">
        <f>SUMIFS(Table2[NewPointsAway],Table2[GameDate], "&lt;=" &amp; $A57, Table2[AwayTeam], F$1)+SUMIFS(Table2[NewPointsHome],Table2[GameDate], "&lt;=" &amp; $A57, Table2[HomeTeam], F$1)</f>
        <v>2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3</v>
      </c>
      <c r="I57" s="145">
        <f>SUMIFS(Table2[NewPointsAway],Table2[GameDate], "&lt;=" &amp; $A57, Table2[AwayTeam], I$1)+SUMIFS(Table2[NewPointsHome],Table2[GameDate], "&lt;=" &amp; $A57, Table2[HomeTeam], I$1)</f>
        <v>7</v>
      </c>
      <c r="J57" s="145">
        <f>SUMIFS(Table2[NewPointsAway],Table2[GameDate], "&lt;=" &amp; $A57, Table2[AwayTeam], J$1)+SUMIFS(Table2[NewPointsHome],Table2[GameDate], "&lt;=" &amp; $A57, Table2[HomeTeam], J$1)</f>
        <v>4</v>
      </c>
      <c r="K57" s="145">
        <f>SUMIFS(Table2[NewPointsAway],Table2[GameDate], "&lt;=" &amp; $A57, Table2[AwayTeam], K$1)+SUMIFS(Table2[NewPointsHome],Table2[GameDate], "&lt;=" &amp; $A57, Table2[HomeTeam], K$1)</f>
        <v>4</v>
      </c>
      <c r="L57" s="145">
        <f>SUMIFS(Table2[NewPointsAway],Table2[GameDate], "&lt;=" &amp; $A57, Table2[AwayTeam], L$1)+SUMIFS(Table2[NewPointsHome],Table2[GameDate], "&lt;=" &amp; $A57, Table2[HomeTeam], L$1)</f>
        <v>3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3</v>
      </c>
      <c r="O57" s="145">
        <f>SUMIFS(Table2[NewPointsAway],Table2[GameDate], "&lt;=" &amp; $A57, Table2[AwayTeam], O$1)+SUMIFS(Table2[NewPointsHome],Table2[GameDate], "&lt;=" &amp; $A57, Table2[HomeTeam], O$1)</f>
        <v>4</v>
      </c>
      <c r="P57" s="145">
        <f>SUMIFS(Table2[NewPointsAway],Table2[GameDate], "&lt;=" &amp; $A57, Table2[AwayTeam], P$1)+SUMIFS(Table2[NewPointsHome],Table2[GameDate], "&lt;=" &amp; $A57, Table2[HomeTeam], P$1)</f>
        <v>4</v>
      </c>
      <c r="Q57" s="145">
        <f>SUMIFS(Table2[NewPointsAway],Table2[GameDate], "&lt;=" &amp; $A57, Table2[AwayTeam], Q$1)+SUMIFS(Table2[NewPointsHome],Table2[GameDate], "&lt;=" &amp; $A57, Table2[HomeTeam], Q$1)</f>
        <v>4</v>
      </c>
      <c r="R57" s="145">
        <f>SUMIFS(Table2[NewPointsAway],Table2[GameDate], "&lt;=" &amp; $A57, Table2[AwayTeam], R$1)+SUMIFS(Table2[NewPointsHome],Table2[GameDate], "&lt;=" &amp; $A57, Table2[HomeTeam], R$1)</f>
        <v>5</v>
      </c>
      <c r="S57" s="145">
        <f>SUMIFS(Table2[NewPointsAway],Table2[GameDate], "&lt;=" &amp; $A57, Table2[AwayTeam], S$1)+SUMIFS(Table2[NewPointsHome],Table2[GameDate], "&lt;=" &amp; $A57, Table2[HomeTeam], S$1)</f>
        <v>0</v>
      </c>
      <c r="T57" s="145">
        <f>SUMIFS(Table2[NewPointsAway],Table2[GameDate], "&lt;=" &amp; $A57, Table2[AwayTeam], T$1)+SUMIFS(Table2[NewPointsHome],Table2[GameDate], "&lt;=" &amp; $A57, Table2[HomeTeam], T$1)</f>
        <v>4</v>
      </c>
      <c r="U57" s="145">
        <f>SUMIFS(Table2[NewPointsAway],Table2[GameDate], "&lt;=" &amp; $A57, Table2[AwayTeam], U$1)+SUMIFS(Table2[NewPointsHome],Table2[GameDate], "&lt;=" &amp; $A57, Table2[HomeTeam], U$1)</f>
        <v>2</v>
      </c>
      <c r="V57" s="145">
        <f>SUMIFS(Table2[NewPointsAway],Table2[GameDate], "&lt;=" &amp; $A57, Table2[AwayTeam], V$1)+SUMIFS(Table2[NewPointsHome],Table2[GameDate], "&lt;=" &amp; $A57, Table2[HomeTeam], V$1)</f>
        <v>3</v>
      </c>
      <c r="W57" s="145">
        <f>SUMIFS(Table2[NewPointsAway],Table2[GameDate], "&lt;=" &amp; $A57, Table2[AwayTeam], W$1)+SUMIFS(Table2[NewPointsHome],Table2[GameDate], "&lt;=" &amp; $A57, Table2[HomeTeam], W$1)</f>
        <v>4</v>
      </c>
      <c r="X57" s="145">
        <f>SUMIFS(Table2[NewPointsAway],Table2[GameDate], "&lt;=" &amp; $A57, Table2[AwayTeam], X$1)+SUMIFS(Table2[NewPointsHome],Table2[GameDate], "&lt;=" &amp; $A57, Table2[HomeTeam], X$1)</f>
        <v>4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4</v>
      </c>
      <c r="AA57" s="145">
        <f>SUMIFS(Table2[NewPointsAway],Table2[GameDate], "&lt;=" &amp; $A57, Table2[AwayTeam], AA$1)+SUMIFS(Table2[NewPointsHome],Table2[GameDate], "&lt;=" &amp; $A57, Table2[HomeTeam], AA$1)</f>
        <v>2</v>
      </c>
      <c r="AB57" s="145">
        <f>SUMIFS(Table2[NewPointsAway],Table2[GameDate], "&lt;=" &amp; $A57, Table2[AwayTeam], AB$1)+SUMIFS(Table2[NewPointsHome],Table2[GameDate], "&lt;=" &amp; $A57, Table2[HomeTeam], AB$1)</f>
        <v>2</v>
      </c>
      <c r="AC57" s="145">
        <f>SUMIFS(Table2[NewPointsAway],Table2[GameDate], "&lt;=" &amp; $A57, Table2[AwayTeam], AC$1)+SUMIFS(Table2[NewPointsHome],Table2[GameDate], "&lt;=" &amp; $A57, Table2[HomeTeam], AC$1)</f>
        <v>2</v>
      </c>
      <c r="AD57" s="145">
        <f>SUMIFS(Table2[NewPointsAway],Table2[GameDate], "&lt;=" &amp; $A57, Table2[AwayTeam], AD$1)+SUMIFS(Table2[NewPointsHome],Table2[GameDate], "&lt;=" &amp; $A57, Table2[HomeTeam], AD$1)</f>
        <v>2</v>
      </c>
      <c r="AE57" s="145">
        <f>SUMIFS(Table2[NewPointsAway],Table2[GameDate], "&lt;=" &amp; $A57, Table2[AwayTeam], AE$1)+SUMIFS(Table2[NewPointsHome],Table2[GameDate], "&lt;=" &amp; $A57, Table2[HomeTeam], AE$1)</f>
        <v>4</v>
      </c>
      <c r="AF57" s="145">
        <f>SUMIFS(Table2[NewPointsAway],Table2[GameDate], "&lt;=" &amp; $A57, Table2[AwayTeam], AF$1)+SUMIFS(Table2[NewPointsHome],Table2[GameDate], "&lt;=" &amp; $A57, Table2[HomeTeam], AF$1)</f>
        <v>4</v>
      </c>
      <c r="AG57" s="145">
        <f>SUMIFS(Table2[NewPointsAway],Table2[GameDate], "&lt;=" &amp; $A57, Table2[AwayTeam], AG$1)+SUMIFS(Table2[NewPointsHome],Table2[GameDate], "&lt;=" &amp; $A57, Table2[HomeTeam], AG$1)</f>
        <v>4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2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0</v>
      </c>
      <c r="E58" s="145">
        <f>SUMIFS(Table2[NewPointsAway],Table2[GameDate], "&lt;=" &amp; $A58, Table2[AwayTeam], E$1)+SUMIFS(Table2[NewPointsHome],Table2[GameDate], "&lt;=" &amp; $A58, Table2[HomeTeam], E$1)</f>
        <v>4</v>
      </c>
      <c r="F58" s="145">
        <f>SUMIFS(Table2[NewPointsAway],Table2[GameDate], "&lt;=" &amp; $A58, Table2[AwayTeam], F$1)+SUMIFS(Table2[NewPointsHome],Table2[GameDate], "&lt;=" &amp; $A58, Table2[HomeTeam], F$1)</f>
        <v>2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3</v>
      </c>
      <c r="I58" s="145">
        <f>SUMIFS(Table2[NewPointsAway],Table2[GameDate], "&lt;=" &amp; $A58, Table2[AwayTeam], I$1)+SUMIFS(Table2[NewPointsHome],Table2[GameDate], "&lt;=" &amp; $A58, Table2[HomeTeam], I$1)</f>
        <v>7</v>
      </c>
      <c r="J58" s="145">
        <f>SUMIFS(Table2[NewPointsAway],Table2[GameDate], "&lt;=" &amp; $A58, Table2[AwayTeam], J$1)+SUMIFS(Table2[NewPointsHome],Table2[GameDate], "&lt;=" &amp; $A58, Table2[HomeTeam], J$1)</f>
        <v>4</v>
      </c>
      <c r="K58" s="145">
        <f>SUMIFS(Table2[NewPointsAway],Table2[GameDate], "&lt;=" &amp; $A58, Table2[AwayTeam], K$1)+SUMIFS(Table2[NewPointsHome],Table2[GameDate], "&lt;=" &amp; $A58, Table2[HomeTeam], K$1)</f>
        <v>4</v>
      </c>
      <c r="L58" s="145">
        <f>SUMIFS(Table2[NewPointsAway],Table2[GameDate], "&lt;=" &amp; $A58, Table2[AwayTeam], L$1)+SUMIFS(Table2[NewPointsHome],Table2[GameDate], "&lt;=" &amp; $A58, Table2[HomeTeam], L$1)</f>
        <v>3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3</v>
      </c>
      <c r="O58" s="145">
        <f>SUMIFS(Table2[NewPointsAway],Table2[GameDate], "&lt;=" &amp; $A58, Table2[AwayTeam], O$1)+SUMIFS(Table2[NewPointsHome],Table2[GameDate], "&lt;=" &amp; $A58, Table2[HomeTeam], O$1)</f>
        <v>4</v>
      </c>
      <c r="P58" s="145">
        <f>SUMIFS(Table2[NewPointsAway],Table2[GameDate], "&lt;=" &amp; $A58, Table2[AwayTeam], P$1)+SUMIFS(Table2[NewPointsHome],Table2[GameDate], "&lt;=" &amp; $A58, Table2[HomeTeam], P$1)</f>
        <v>4</v>
      </c>
      <c r="Q58" s="145">
        <f>SUMIFS(Table2[NewPointsAway],Table2[GameDate], "&lt;=" &amp; $A58, Table2[AwayTeam], Q$1)+SUMIFS(Table2[NewPointsHome],Table2[GameDate], "&lt;=" &amp; $A58, Table2[HomeTeam], Q$1)</f>
        <v>4</v>
      </c>
      <c r="R58" s="145">
        <f>SUMIFS(Table2[NewPointsAway],Table2[GameDate], "&lt;=" &amp; $A58, Table2[AwayTeam], R$1)+SUMIFS(Table2[NewPointsHome],Table2[GameDate], "&lt;=" &amp; $A58, Table2[HomeTeam], R$1)</f>
        <v>5</v>
      </c>
      <c r="S58" s="145">
        <f>SUMIFS(Table2[NewPointsAway],Table2[GameDate], "&lt;=" &amp; $A58, Table2[AwayTeam], S$1)+SUMIFS(Table2[NewPointsHome],Table2[GameDate], "&lt;=" &amp; $A58, Table2[HomeTeam], S$1)</f>
        <v>0</v>
      </c>
      <c r="T58" s="145">
        <f>SUMIFS(Table2[NewPointsAway],Table2[GameDate], "&lt;=" &amp; $A58, Table2[AwayTeam], T$1)+SUMIFS(Table2[NewPointsHome],Table2[GameDate], "&lt;=" &amp; $A58, Table2[HomeTeam], T$1)</f>
        <v>4</v>
      </c>
      <c r="U58" s="145">
        <f>SUMIFS(Table2[NewPointsAway],Table2[GameDate], "&lt;=" &amp; $A58, Table2[AwayTeam], U$1)+SUMIFS(Table2[NewPointsHome],Table2[GameDate], "&lt;=" &amp; $A58, Table2[HomeTeam], U$1)</f>
        <v>2</v>
      </c>
      <c r="V58" s="145">
        <f>SUMIFS(Table2[NewPointsAway],Table2[GameDate], "&lt;=" &amp; $A58, Table2[AwayTeam], V$1)+SUMIFS(Table2[NewPointsHome],Table2[GameDate], "&lt;=" &amp; $A58, Table2[HomeTeam], V$1)</f>
        <v>3</v>
      </c>
      <c r="W58" s="145">
        <f>SUMIFS(Table2[NewPointsAway],Table2[GameDate], "&lt;=" &amp; $A58, Table2[AwayTeam], W$1)+SUMIFS(Table2[NewPointsHome],Table2[GameDate], "&lt;=" &amp; $A58, Table2[HomeTeam], W$1)</f>
        <v>4</v>
      </c>
      <c r="X58" s="145">
        <f>SUMIFS(Table2[NewPointsAway],Table2[GameDate], "&lt;=" &amp; $A58, Table2[AwayTeam], X$1)+SUMIFS(Table2[NewPointsHome],Table2[GameDate], "&lt;=" &amp; $A58, Table2[HomeTeam], X$1)</f>
        <v>4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4</v>
      </c>
      <c r="AA58" s="145">
        <f>SUMIFS(Table2[NewPointsAway],Table2[GameDate], "&lt;=" &amp; $A58, Table2[AwayTeam], AA$1)+SUMIFS(Table2[NewPointsHome],Table2[GameDate], "&lt;=" &amp; $A58, Table2[HomeTeam], AA$1)</f>
        <v>2</v>
      </c>
      <c r="AB58" s="145">
        <f>SUMIFS(Table2[NewPointsAway],Table2[GameDate], "&lt;=" &amp; $A58, Table2[AwayTeam], AB$1)+SUMIFS(Table2[NewPointsHome],Table2[GameDate], "&lt;=" &amp; $A58, Table2[HomeTeam], AB$1)</f>
        <v>2</v>
      </c>
      <c r="AC58" s="145">
        <f>SUMIFS(Table2[NewPointsAway],Table2[GameDate], "&lt;=" &amp; $A58, Table2[AwayTeam], AC$1)+SUMIFS(Table2[NewPointsHome],Table2[GameDate], "&lt;=" &amp; $A58, Table2[HomeTeam], AC$1)</f>
        <v>2</v>
      </c>
      <c r="AD58" s="145">
        <f>SUMIFS(Table2[NewPointsAway],Table2[GameDate], "&lt;=" &amp; $A58, Table2[AwayTeam], AD$1)+SUMIFS(Table2[NewPointsHome],Table2[GameDate], "&lt;=" &amp; $A58, Table2[HomeTeam], AD$1)</f>
        <v>2</v>
      </c>
      <c r="AE58" s="145">
        <f>SUMIFS(Table2[NewPointsAway],Table2[GameDate], "&lt;=" &amp; $A58, Table2[AwayTeam], AE$1)+SUMIFS(Table2[NewPointsHome],Table2[GameDate], "&lt;=" &amp; $A58, Table2[HomeTeam], AE$1)</f>
        <v>4</v>
      </c>
      <c r="AF58" s="145">
        <f>SUMIFS(Table2[NewPointsAway],Table2[GameDate], "&lt;=" &amp; $A58, Table2[AwayTeam], AF$1)+SUMIFS(Table2[NewPointsHome],Table2[GameDate], "&lt;=" &amp; $A58, Table2[HomeTeam], AF$1)</f>
        <v>4</v>
      </c>
      <c r="AG58" s="145">
        <f>SUMIFS(Table2[NewPointsAway],Table2[GameDate], "&lt;=" &amp; $A58, Table2[AwayTeam], AG$1)+SUMIFS(Table2[NewPointsHome],Table2[GameDate], "&lt;=" &amp; $A58, Table2[HomeTeam], AG$1)</f>
        <v>4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2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0</v>
      </c>
      <c r="E59" s="145">
        <f>SUMIFS(Table2[NewPointsAway],Table2[GameDate], "&lt;=" &amp; $A59, Table2[AwayTeam], E$1)+SUMIFS(Table2[NewPointsHome],Table2[GameDate], "&lt;=" &amp; $A59, Table2[HomeTeam], E$1)</f>
        <v>4</v>
      </c>
      <c r="F59" s="145">
        <f>SUMIFS(Table2[NewPointsAway],Table2[GameDate], "&lt;=" &amp; $A59, Table2[AwayTeam], F$1)+SUMIFS(Table2[NewPointsHome],Table2[GameDate], "&lt;=" &amp; $A59, Table2[HomeTeam], F$1)</f>
        <v>2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3</v>
      </c>
      <c r="I59" s="145">
        <f>SUMIFS(Table2[NewPointsAway],Table2[GameDate], "&lt;=" &amp; $A59, Table2[AwayTeam], I$1)+SUMIFS(Table2[NewPointsHome],Table2[GameDate], "&lt;=" &amp; $A59, Table2[HomeTeam], I$1)</f>
        <v>7</v>
      </c>
      <c r="J59" s="145">
        <f>SUMIFS(Table2[NewPointsAway],Table2[GameDate], "&lt;=" &amp; $A59, Table2[AwayTeam], J$1)+SUMIFS(Table2[NewPointsHome],Table2[GameDate], "&lt;=" &amp; $A59, Table2[HomeTeam], J$1)</f>
        <v>4</v>
      </c>
      <c r="K59" s="145">
        <f>SUMIFS(Table2[NewPointsAway],Table2[GameDate], "&lt;=" &amp; $A59, Table2[AwayTeam], K$1)+SUMIFS(Table2[NewPointsHome],Table2[GameDate], "&lt;=" &amp; $A59, Table2[HomeTeam], K$1)</f>
        <v>4</v>
      </c>
      <c r="L59" s="145">
        <f>SUMIFS(Table2[NewPointsAway],Table2[GameDate], "&lt;=" &amp; $A59, Table2[AwayTeam], L$1)+SUMIFS(Table2[NewPointsHome],Table2[GameDate], "&lt;=" &amp; $A59, Table2[HomeTeam], L$1)</f>
        <v>3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3</v>
      </c>
      <c r="O59" s="145">
        <f>SUMIFS(Table2[NewPointsAway],Table2[GameDate], "&lt;=" &amp; $A59, Table2[AwayTeam], O$1)+SUMIFS(Table2[NewPointsHome],Table2[GameDate], "&lt;=" &amp; $A59, Table2[HomeTeam], O$1)</f>
        <v>4</v>
      </c>
      <c r="P59" s="145">
        <f>SUMIFS(Table2[NewPointsAway],Table2[GameDate], "&lt;=" &amp; $A59, Table2[AwayTeam], P$1)+SUMIFS(Table2[NewPointsHome],Table2[GameDate], "&lt;=" &amp; $A59, Table2[HomeTeam], P$1)</f>
        <v>4</v>
      </c>
      <c r="Q59" s="145">
        <f>SUMIFS(Table2[NewPointsAway],Table2[GameDate], "&lt;=" &amp; $A59, Table2[AwayTeam], Q$1)+SUMIFS(Table2[NewPointsHome],Table2[GameDate], "&lt;=" &amp; $A59, Table2[HomeTeam], Q$1)</f>
        <v>4</v>
      </c>
      <c r="R59" s="145">
        <f>SUMIFS(Table2[NewPointsAway],Table2[GameDate], "&lt;=" &amp; $A59, Table2[AwayTeam], R$1)+SUMIFS(Table2[NewPointsHome],Table2[GameDate], "&lt;=" &amp; $A59, Table2[HomeTeam], R$1)</f>
        <v>5</v>
      </c>
      <c r="S59" s="145">
        <f>SUMIFS(Table2[NewPointsAway],Table2[GameDate], "&lt;=" &amp; $A59, Table2[AwayTeam], S$1)+SUMIFS(Table2[NewPointsHome],Table2[GameDate], "&lt;=" &amp; $A59, Table2[HomeTeam], S$1)</f>
        <v>0</v>
      </c>
      <c r="T59" s="145">
        <f>SUMIFS(Table2[NewPointsAway],Table2[GameDate], "&lt;=" &amp; $A59, Table2[AwayTeam], T$1)+SUMIFS(Table2[NewPointsHome],Table2[GameDate], "&lt;=" &amp; $A59, Table2[HomeTeam], T$1)</f>
        <v>4</v>
      </c>
      <c r="U59" s="145">
        <f>SUMIFS(Table2[NewPointsAway],Table2[GameDate], "&lt;=" &amp; $A59, Table2[AwayTeam], U$1)+SUMIFS(Table2[NewPointsHome],Table2[GameDate], "&lt;=" &amp; $A59, Table2[HomeTeam], U$1)</f>
        <v>2</v>
      </c>
      <c r="V59" s="145">
        <f>SUMIFS(Table2[NewPointsAway],Table2[GameDate], "&lt;=" &amp; $A59, Table2[AwayTeam], V$1)+SUMIFS(Table2[NewPointsHome],Table2[GameDate], "&lt;=" &amp; $A59, Table2[HomeTeam], V$1)</f>
        <v>3</v>
      </c>
      <c r="W59" s="145">
        <f>SUMIFS(Table2[NewPointsAway],Table2[GameDate], "&lt;=" &amp; $A59, Table2[AwayTeam], W$1)+SUMIFS(Table2[NewPointsHome],Table2[GameDate], "&lt;=" &amp; $A59, Table2[HomeTeam], W$1)</f>
        <v>4</v>
      </c>
      <c r="X59" s="145">
        <f>SUMIFS(Table2[NewPointsAway],Table2[GameDate], "&lt;=" &amp; $A59, Table2[AwayTeam], X$1)+SUMIFS(Table2[NewPointsHome],Table2[GameDate], "&lt;=" &amp; $A59, Table2[HomeTeam], X$1)</f>
        <v>4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4</v>
      </c>
      <c r="AA59" s="145">
        <f>SUMIFS(Table2[NewPointsAway],Table2[GameDate], "&lt;=" &amp; $A59, Table2[AwayTeam], AA$1)+SUMIFS(Table2[NewPointsHome],Table2[GameDate], "&lt;=" &amp; $A59, Table2[HomeTeam], AA$1)</f>
        <v>2</v>
      </c>
      <c r="AB59" s="145">
        <f>SUMIFS(Table2[NewPointsAway],Table2[GameDate], "&lt;=" &amp; $A59, Table2[AwayTeam], AB$1)+SUMIFS(Table2[NewPointsHome],Table2[GameDate], "&lt;=" &amp; $A59, Table2[HomeTeam], AB$1)</f>
        <v>2</v>
      </c>
      <c r="AC59" s="145">
        <f>SUMIFS(Table2[NewPointsAway],Table2[GameDate], "&lt;=" &amp; $A59, Table2[AwayTeam], AC$1)+SUMIFS(Table2[NewPointsHome],Table2[GameDate], "&lt;=" &amp; $A59, Table2[HomeTeam], AC$1)</f>
        <v>2</v>
      </c>
      <c r="AD59" s="145">
        <f>SUMIFS(Table2[NewPointsAway],Table2[GameDate], "&lt;=" &amp; $A59, Table2[AwayTeam], AD$1)+SUMIFS(Table2[NewPointsHome],Table2[GameDate], "&lt;=" &amp; $A59, Table2[HomeTeam], AD$1)</f>
        <v>2</v>
      </c>
      <c r="AE59" s="145">
        <f>SUMIFS(Table2[NewPointsAway],Table2[GameDate], "&lt;=" &amp; $A59, Table2[AwayTeam], AE$1)+SUMIFS(Table2[NewPointsHome],Table2[GameDate], "&lt;=" &amp; $A59, Table2[HomeTeam], AE$1)</f>
        <v>4</v>
      </c>
      <c r="AF59" s="145">
        <f>SUMIFS(Table2[NewPointsAway],Table2[GameDate], "&lt;=" &amp; $A59, Table2[AwayTeam], AF$1)+SUMIFS(Table2[NewPointsHome],Table2[GameDate], "&lt;=" &amp; $A59, Table2[HomeTeam], AF$1)</f>
        <v>4</v>
      </c>
      <c r="AG59" s="145">
        <f>SUMIFS(Table2[NewPointsAway],Table2[GameDate], "&lt;=" &amp; $A59, Table2[AwayTeam], AG$1)+SUMIFS(Table2[NewPointsHome],Table2[GameDate], "&lt;=" &amp; $A59, Table2[HomeTeam], AG$1)</f>
        <v>4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2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0</v>
      </c>
      <c r="E60" s="145">
        <f>SUMIFS(Table2[NewPointsAway],Table2[GameDate], "&lt;=" &amp; $A60, Table2[AwayTeam], E$1)+SUMIFS(Table2[NewPointsHome],Table2[GameDate], "&lt;=" &amp; $A60, Table2[HomeTeam], E$1)</f>
        <v>4</v>
      </c>
      <c r="F60" s="145">
        <f>SUMIFS(Table2[NewPointsAway],Table2[GameDate], "&lt;=" &amp; $A60, Table2[AwayTeam], F$1)+SUMIFS(Table2[NewPointsHome],Table2[GameDate], "&lt;=" &amp; $A60, Table2[HomeTeam], F$1)</f>
        <v>2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3</v>
      </c>
      <c r="I60" s="145">
        <f>SUMIFS(Table2[NewPointsAway],Table2[GameDate], "&lt;=" &amp; $A60, Table2[AwayTeam], I$1)+SUMIFS(Table2[NewPointsHome],Table2[GameDate], "&lt;=" &amp; $A60, Table2[HomeTeam], I$1)</f>
        <v>7</v>
      </c>
      <c r="J60" s="145">
        <f>SUMIFS(Table2[NewPointsAway],Table2[GameDate], "&lt;=" &amp; $A60, Table2[AwayTeam], J$1)+SUMIFS(Table2[NewPointsHome],Table2[GameDate], "&lt;=" &amp; $A60, Table2[HomeTeam], J$1)</f>
        <v>4</v>
      </c>
      <c r="K60" s="145">
        <f>SUMIFS(Table2[NewPointsAway],Table2[GameDate], "&lt;=" &amp; $A60, Table2[AwayTeam], K$1)+SUMIFS(Table2[NewPointsHome],Table2[GameDate], "&lt;=" &amp; $A60, Table2[HomeTeam], K$1)</f>
        <v>4</v>
      </c>
      <c r="L60" s="145">
        <f>SUMIFS(Table2[NewPointsAway],Table2[GameDate], "&lt;=" &amp; $A60, Table2[AwayTeam], L$1)+SUMIFS(Table2[NewPointsHome],Table2[GameDate], "&lt;=" &amp; $A60, Table2[HomeTeam], L$1)</f>
        <v>3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3</v>
      </c>
      <c r="O60" s="145">
        <f>SUMIFS(Table2[NewPointsAway],Table2[GameDate], "&lt;=" &amp; $A60, Table2[AwayTeam], O$1)+SUMIFS(Table2[NewPointsHome],Table2[GameDate], "&lt;=" &amp; $A60, Table2[HomeTeam], O$1)</f>
        <v>4</v>
      </c>
      <c r="P60" s="145">
        <f>SUMIFS(Table2[NewPointsAway],Table2[GameDate], "&lt;=" &amp; $A60, Table2[AwayTeam], P$1)+SUMIFS(Table2[NewPointsHome],Table2[GameDate], "&lt;=" &amp; $A60, Table2[HomeTeam], P$1)</f>
        <v>4</v>
      </c>
      <c r="Q60" s="145">
        <f>SUMIFS(Table2[NewPointsAway],Table2[GameDate], "&lt;=" &amp; $A60, Table2[AwayTeam], Q$1)+SUMIFS(Table2[NewPointsHome],Table2[GameDate], "&lt;=" &amp; $A60, Table2[HomeTeam], Q$1)</f>
        <v>4</v>
      </c>
      <c r="R60" s="145">
        <f>SUMIFS(Table2[NewPointsAway],Table2[GameDate], "&lt;=" &amp; $A60, Table2[AwayTeam], R$1)+SUMIFS(Table2[NewPointsHome],Table2[GameDate], "&lt;=" &amp; $A60, Table2[HomeTeam], R$1)</f>
        <v>5</v>
      </c>
      <c r="S60" s="145">
        <f>SUMIFS(Table2[NewPointsAway],Table2[GameDate], "&lt;=" &amp; $A60, Table2[AwayTeam], S$1)+SUMIFS(Table2[NewPointsHome],Table2[GameDate], "&lt;=" &amp; $A60, Table2[HomeTeam], S$1)</f>
        <v>0</v>
      </c>
      <c r="T60" s="145">
        <f>SUMIFS(Table2[NewPointsAway],Table2[GameDate], "&lt;=" &amp; $A60, Table2[AwayTeam], T$1)+SUMIFS(Table2[NewPointsHome],Table2[GameDate], "&lt;=" &amp; $A60, Table2[HomeTeam], T$1)</f>
        <v>4</v>
      </c>
      <c r="U60" s="145">
        <f>SUMIFS(Table2[NewPointsAway],Table2[GameDate], "&lt;=" &amp; $A60, Table2[AwayTeam], U$1)+SUMIFS(Table2[NewPointsHome],Table2[GameDate], "&lt;=" &amp; $A60, Table2[HomeTeam], U$1)</f>
        <v>2</v>
      </c>
      <c r="V60" s="145">
        <f>SUMIFS(Table2[NewPointsAway],Table2[GameDate], "&lt;=" &amp; $A60, Table2[AwayTeam], V$1)+SUMIFS(Table2[NewPointsHome],Table2[GameDate], "&lt;=" &amp; $A60, Table2[HomeTeam], V$1)</f>
        <v>3</v>
      </c>
      <c r="W60" s="145">
        <f>SUMIFS(Table2[NewPointsAway],Table2[GameDate], "&lt;=" &amp; $A60, Table2[AwayTeam], W$1)+SUMIFS(Table2[NewPointsHome],Table2[GameDate], "&lt;=" &amp; $A60, Table2[HomeTeam], W$1)</f>
        <v>4</v>
      </c>
      <c r="X60" s="145">
        <f>SUMIFS(Table2[NewPointsAway],Table2[GameDate], "&lt;=" &amp; $A60, Table2[AwayTeam], X$1)+SUMIFS(Table2[NewPointsHome],Table2[GameDate], "&lt;=" &amp; $A60, Table2[HomeTeam], X$1)</f>
        <v>4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4</v>
      </c>
      <c r="AA60" s="145">
        <f>SUMIFS(Table2[NewPointsAway],Table2[GameDate], "&lt;=" &amp; $A60, Table2[AwayTeam], AA$1)+SUMIFS(Table2[NewPointsHome],Table2[GameDate], "&lt;=" &amp; $A60, Table2[HomeTeam], AA$1)</f>
        <v>2</v>
      </c>
      <c r="AB60" s="145">
        <f>SUMIFS(Table2[NewPointsAway],Table2[GameDate], "&lt;=" &amp; $A60, Table2[AwayTeam], AB$1)+SUMIFS(Table2[NewPointsHome],Table2[GameDate], "&lt;=" &amp; $A60, Table2[HomeTeam], AB$1)</f>
        <v>2</v>
      </c>
      <c r="AC60" s="145">
        <f>SUMIFS(Table2[NewPointsAway],Table2[GameDate], "&lt;=" &amp; $A60, Table2[AwayTeam], AC$1)+SUMIFS(Table2[NewPointsHome],Table2[GameDate], "&lt;=" &amp; $A60, Table2[HomeTeam], AC$1)</f>
        <v>2</v>
      </c>
      <c r="AD60" s="145">
        <f>SUMIFS(Table2[NewPointsAway],Table2[GameDate], "&lt;=" &amp; $A60, Table2[AwayTeam], AD$1)+SUMIFS(Table2[NewPointsHome],Table2[GameDate], "&lt;=" &amp; $A60, Table2[HomeTeam], AD$1)</f>
        <v>2</v>
      </c>
      <c r="AE60" s="145">
        <f>SUMIFS(Table2[NewPointsAway],Table2[GameDate], "&lt;=" &amp; $A60, Table2[AwayTeam], AE$1)+SUMIFS(Table2[NewPointsHome],Table2[GameDate], "&lt;=" &amp; $A60, Table2[HomeTeam], AE$1)</f>
        <v>4</v>
      </c>
      <c r="AF60" s="145">
        <f>SUMIFS(Table2[NewPointsAway],Table2[GameDate], "&lt;=" &amp; $A60, Table2[AwayTeam], AF$1)+SUMIFS(Table2[NewPointsHome],Table2[GameDate], "&lt;=" &amp; $A60, Table2[HomeTeam], AF$1)</f>
        <v>4</v>
      </c>
      <c r="AG60" s="145">
        <f>SUMIFS(Table2[NewPointsAway],Table2[GameDate], "&lt;=" &amp; $A60, Table2[AwayTeam], AG$1)+SUMIFS(Table2[NewPointsHome],Table2[GameDate], "&lt;=" &amp; $A60, Table2[HomeTeam], AG$1)</f>
        <v>4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2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0</v>
      </c>
      <c r="E61" s="145">
        <f>SUMIFS(Table2[NewPointsAway],Table2[GameDate], "&lt;=" &amp; $A61, Table2[AwayTeam], E$1)+SUMIFS(Table2[NewPointsHome],Table2[GameDate], "&lt;=" &amp; $A61, Table2[HomeTeam], E$1)</f>
        <v>4</v>
      </c>
      <c r="F61" s="145">
        <f>SUMIFS(Table2[NewPointsAway],Table2[GameDate], "&lt;=" &amp; $A61, Table2[AwayTeam], F$1)+SUMIFS(Table2[NewPointsHome],Table2[GameDate], "&lt;=" &amp; $A61, Table2[HomeTeam], F$1)</f>
        <v>2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3</v>
      </c>
      <c r="I61" s="145">
        <f>SUMIFS(Table2[NewPointsAway],Table2[GameDate], "&lt;=" &amp; $A61, Table2[AwayTeam], I$1)+SUMIFS(Table2[NewPointsHome],Table2[GameDate], "&lt;=" &amp; $A61, Table2[HomeTeam], I$1)</f>
        <v>7</v>
      </c>
      <c r="J61" s="145">
        <f>SUMIFS(Table2[NewPointsAway],Table2[GameDate], "&lt;=" &amp; $A61, Table2[AwayTeam], J$1)+SUMIFS(Table2[NewPointsHome],Table2[GameDate], "&lt;=" &amp; $A61, Table2[HomeTeam], J$1)</f>
        <v>4</v>
      </c>
      <c r="K61" s="145">
        <f>SUMIFS(Table2[NewPointsAway],Table2[GameDate], "&lt;=" &amp; $A61, Table2[AwayTeam], K$1)+SUMIFS(Table2[NewPointsHome],Table2[GameDate], "&lt;=" &amp; $A61, Table2[HomeTeam], K$1)</f>
        <v>4</v>
      </c>
      <c r="L61" s="145">
        <f>SUMIFS(Table2[NewPointsAway],Table2[GameDate], "&lt;=" &amp; $A61, Table2[AwayTeam], L$1)+SUMIFS(Table2[NewPointsHome],Table2[GameDate], "&lt;=" &amp; $A61, Table2[HomeTeam], L$1)</f>
        <v>3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3</v>
      </c>
      <c r="O61" s="145">
        <f>SUMIFS(Table2[NewPointsAway],Table2[GameDate], "&lt;=" &amp; $A61, Table2[AwayTeam], O$1)+SUMIFS(Table2[NewPointsHome],Table2[GameDate], "&lt;=" &amp; $A61, Table2[HomeTeam], O$1)</f>
        <v>4</v>
      </c>
      <c r="P61" s="145">
        <f>SUMIFS(Table2[NewPointsAway],Table2[GameDate], "&lt;=" &amp; $A61, Table2[AwayTeam], P$1)+SUMIFS(Table2[NewPointsHome],Table2[GameDate], "&lt;=" &amp; $A61, Table2[HomeTeam], P$1)</f>
        <v>4</v>
      </c>
      <c r="Q61" s="145">
        <f>SUMIFS(Table2[NewPointsAway],Table2[GameDate], "&lt;=" &amp; $A61, Table2[AwayTeam], Q$1)+SUMIFS(Table2[NewPointsHome],Table2[GameDate], "&lt;=" &amp; $A61, Table2[HomeTeam], Q$1)</f>
        <v>4</v>
      </c>
      <c r="R61" s="145">
        <f>SUMIFS(Table2[NewPointsAway],Table2[GameDate], "&lt;=" &amp; $A61, Table2[AwayTeam], R$1)+SUMIFS(Table2[NewPointsHome],Table2[GameDate], "&lt;=" &amp; $A61, Table2[HomeTeam], R$1)</f>
        <v>5</v>
      </c>
      <c r="S61" s="145">
        <f>SUMIFS(Table2[NewPointsAway],Table2[GameDate], "&lt;=" &amp; $A61, Table2[AwayTeam], S$1)+SUMIFS(Table2[NewPointsHome],Table2[GameDate], "&lt;=" &amp; $A61, Table2[HomeTeam], S$1)</f>
        <v>0</v>
      </c>
      <c r="T61" s="145">
        <f>SUMIFS(Table2[NewPointsAway],Table2[GameDate], "&lt;=" &amp; $A61, Table2[AwayTeam], T$1)+SUMIFS(Table2[NewPointsHome],Table2[GameDate], "&lt;=" &amp; $A61, Table2[HomeTeam], T$1)</f>
        <v>4</v>
      </c>
      <c r="U61" s="145">
        <f>SUMIFS(Table2[NewPointsAway],Table2[GameDate], "&lt;=" &amp; $A61, Table2[AwayTeam], U$1)+SUMIFS(Table2[NewPointsHome],Table2[GameDate], "&lt;=" &amp; $A61, Table2[HomeTeam], U$1)</f>
        <v>2</v>
      </c>
      <c r="V61" s="145">
        <f>SUMIFS(Table2[NewPointsAway],Table2[GameDate], "&lt;=" &amp; $A61, Table2[AwayTeam], V$1)+SUMIFS(Table2[NewPointsHome],Table2[GameDate], "&lt;=" &amp; $A61, Table2[HomeTeam], V$1)</f>
        <v>3</v>
      </c>
      <c r="W61" s="145">
        <f>SUMIFS(Table2[NewPointsAway],Table2[GameDate], "&lt;=" &amp; $A61, Table2[AwayTeam], W$1)+SUMIFS(Table2[NewPointsHome],Table2[GameDate], "&lt;=" &amp; $A61, Table2[HomeTeam], W$1)</f>
        <v>4</v>
      </c>
      <c r="X61" s="145">
        <f>SUMIFS(Table2[NewPointsAway],Table2[GameDate], "&lt;=" &amp; $A61, Table2[AwayTeam], X$1)+SUMIFS(Table2[NewPointsHome],Table2[GameDate], "&lt;=" &amp; $A61, Table2[HomeTeam], X$1)</f>
        <v>4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4</v>
      </c>
      <c r="AA61" s="145">
        <f>SUMIFS(Table2[NewPointsAway],Table2[GameDate], "&lt;=" &amp; $A61, Table2[AwayTeam], AA$1)+SUMIFS(Table2[NewPointsHome],Table2[GameDate], "&lt;=" &amp; $A61, Table2[HomeTeam], AA$1)</f>
        <v>2</v>
      </c>
      <c r="AB61" s="145">
        <f>SUMIFS(Table2[NewPointsAway],Table2[GameDate], "&lt;=" &amp; $A61, Table2[AwayTeam], AB$1)+SUMIFS(Table2[NewPointsHome],Table2[GameDate], "&lt;=" &amp; $A61, Table2[HomeTeam], AB$1)</f>
        <v>2</v>
      </c>
      <c r="AC61" s="145">
        <f>SUMIFS(Table2[NewPointsAway],Table2[GameDate], "&lt;=" &amp; $A61, Table2[AwayTeam], AC$1)+SUMIFS(Table2[NewPointsHome],Table2[GameDate], "&lt;=" &amp; $A61, Table2[HomeTeam], AC$1)</f>
        <v>2</v>
      </c>
      <c r="AD61" s="145">
        <f>SUMIFS(Table2[NewPointsAway],Table2[GameDate], "&lt;=" &amp; $A61, Table2[AwayTeam], AD$1)+SUMIFS(Table2[NewPointsHome],Table2[GameDate], "&lt;=" &amp; $A61, Table2[HomeTeam], AD$1)</f>
        <v>2</v>
      </c>
      <c r="AE61" s="145">
        <f>SUMIFS(Table2[NewPointsAway],Table2[GameDate], "&lt;=" &amp; $A61, Table2[AwayTeam], AE$1)+SUMIFS(Table2[NewPointsHome],Table2[GameDate], "&lt;=" &amp; $A61, Table2[HomeTeam], AE$1)</f>
        <v>4</v>
      </c>
      <c r="AF61" s="145">
        <f>SUMIFS(Table2[NewPointsAway],Table2[GameDate], "&lt;=" &amp; $A61, Table2[AwayTeam], AF$1)+SUMIFS(Table2[NewPointsHome],Table2[GameDate], "&lt;=" &amp; $A61, Table2[HomeTeam], AF$1)</f>
        <v>4</v>
      </c>
      <c r="AG61" s="145">
        <f>SUMIFS(Table2[NewPointsAway],Table2[GameDate], "&lt;=" &amp; $A61, Table2[AwayTeam], AG$1)+SUMIFS(Table2[NewPointsHome],Table2[GameDate], "&lt;=" &amp; $A61, Table2[HomeTeam], AG$1)</f>
        <v>4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2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0</v>
      </c>
      <c r="E62" s="145">
        <f>SUMIFS(Table2[NewPointsAway],Table2[GameDate], "&lt;=" &amp; $A62, Table2[AwayTeam], E$1)+SUMIFS(Table2[NewPointsHome],Table2[GameDate], "&lt;=" &amp; $A62, Table2[HomeTeam], E$1)</f>
        <v>4</v>
      </c>
      <c r="F62" s="145">
        <f>SUMIFS(Table2[NewPointsAway],Table2[GameDate], "&lt;=" &amp; $A62, Table2[AwayTeam], F$1)+SUMIFS(Table2[NewPointsHome],Table2[GameDate], "&lt;=" &amp; $A62, Table2[HomeTeam], F$1)</f>
        <v>2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3</v>
      </c>
      <c r="I62" s="145">
        <f>SUMIFS(Table2[NewPointsAway],Table2[GameDate], "&lt;=" &amp; $A62, Table2[AwayTeam], I$1)+SUMIFS(Table2[NewPointsHome],Table2[GameDate], "&lt;=" &amp; $A62, Table2[HomeTeam], I$1)</f>
        <v>7</v>
      </c>
      <c r="J62" s="145">
        <f>SUMIFS(Table2[NewPointsAway],Table2[GameDate], "&lt;=" &amp; $A62, Table2[AwayTeam], J$1)+SUMIFS(Table2[NewPointsHome],Table2[GameDate], "&lt;=" &amp; $A62, Table2[HomeTeam], J$1)</f>
        <v>4</v>
      </c>
      <c r="K62" s="145">
        <f>SUMIFS(Table2[NewPointsAway],Table2[GameDate], "&lt;=" &amp; $A62, Table2[AwayTeam], K$1)+SUMIFS(Table2[NewPointsHome],Table2[GameDate], "&lt;=" &amp; $A62, Table2[HomeTeam], K$1)</f>
        <v>4</v>
      </c>
      <c r="L62" s="145">
        <f>SUMIFS(Table2[NewPointsAway],Table2[GameDate], "&lt;=" &amp; $A62, Table2[AwayTeam], L$1)+SUMIFS(Table2[NewPointsHome],Table2[GameDate], "&lt;=" &amp; $A62, Table2[HomeTeam], L$1)</f>
        <v>3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3</v>
      </c>
      <c r="O62" s="145">
        <f>SUMIFS(Table2[NewPointsAway],Table2[GameDate], "&lt;=" &amp; $A62, Table2[AwayTeam], O$1)+SUMIFS(Table2[NewPointsHome],Table2[GameDate], "&lt;=" &amp; $A62, Table2[HomeTeam], O$1)</f>
        <v>4</v>
      </c>
      <c r="P62" s="145">
        <f>SUMIFS(Table2[NewPointsAway],Table2[GameDate], "&lt;=" &amp; $A62, Table2[AwayTeam], P$1)+SUMIFS(Table2[NewPointsHome],Table2[GameDate], "&lt;=" &amp; $A62, Table2[HomeTeam], P$1)</f>
        <v>4</v>
      </c>
      <c r="Q62" s="145">
        <f>SUMIFS(Table2[NewPointsAway],Table2[GameDate], "&lt;=" &amp; $A62, Table2[AwayTeam], Q$1)+SUMIFS(Table2[NewPointsHome],Table2[GameDate], "&lt;=" &amp; $A62, Table2[HomeTeam], Q$1)</f>
        <v>4</v>
      </c>
      <c r="R62" s="145">
        <f>SUMIFS(Table2[NewPointsAway],Table2[GameDate], "&lt;=" &amp; $A62, Table2[AwayTeam], R$1)+SUMIFS(Table2[NewPointsHome],Table2[GameDate], "&lt;=" &amp; $A62, Table2[HomeTeam], R$1)</f>
        <v>5</v>
      </c>
      <c r="S62" s="145">
        <f>SUMIFS(Table2[NewPointsAway],Table2[GameDate], "&lt;=" &amp; $A62, Table2[AwayTeam], S$1)+SUMIFS(Table2[NewPointsHome],Table2[GameDate], "&lt;=" &amp; $A62, Table2[HomeTeam], S$1)</f>
        <v>0</v>
      </c>
      <c r="T62" s="145">
        <f>SUMIFS(Table2[NewPointsAway],Table2[GameDate], "&lt;=" &amp; $A62, Table2[AwayTeam], T$1)+SUMIFS(Table2[NewPointsHome],Table2[GameDate], "&lt;=" &amp; $A62, Table2[HomeTeam], T$1)</f>
        <v>4</v>
      </c>
      <c r="U62" s="145">
        <f>SUMIFS(Table2[NewPointsAway],Table2[GameDate], "&lt;=" &amp; $A62, Table2[AwayTeam], U$1)+SUMIFS(Table2[NewPointsHome],Table2[GameDate], "&lt;=" &amp; $A62, Table2[HomeTeam], U$1)</f>
        <v>2</v>
      </c>
      <c r="V62" s="145">
        <f>SUMIFS(Table2[NewPointsAway],Table2[GameDate], "&lt;=" &amp; $A62, Table2[AwayTeam], V$1)+SUMIFS(Table2[NewPointsHome],Table2[GameDate], "&lt;=" &amp; $A62, Table2[HomeTeam], V$1)</f>
        <v>3</v>
      </c>
      <c r="W62" s="145">
        <f>SUMIFS(Table2[NewPointsAway],Table2[GameDate], "&lt;=" &amp; $A62, Table2[AwayTeam], W$1)+SUMIFS(Table2[NewPointsHome],Table2[GameDate], "&lt;=" &amp; $A62, Table2[HomeTeam], W$1)</f>
        <v>4</v>
      </c>
      <c r="X62" s="145">
        <f>SUMIFS(Table2[NewPointsAway],Table2[GameDate], "&lt;=" &amp; $A62, Table2[AwayTeam], X$1)+SUMIFS(Table2[NewPointsHome],Table2[GameDate], "&lt;=" &amp; $A62, Table2[HomeTeam], X$1)</f>
        <v>4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4</v>
      </c>
      <c r="AA62" s="145">
        <f>SUMIFS(Table2[NewPointsAway],Table2[GameDate], "&lt;=" &amp; $A62, Table2[AwayTeam], AA$1)+SUMIFS(Table2[NewPointsHome],Table2[GameDate], "&lt;=" &amp; $A62, Table2[HomeTeam], AA$1)</f>
        <v>2</v>
      </c>
      <c r="AB62" s="145">
        <f>SUMIFS(Table2[NewPointsAway],Table2[GameDate], "&lt;=" &amp; $A62, Table2[AwayTeam], AB$1)+SUMIFS(Table2[NewPointsHome],Table2[GameDate], "&lt;=" &amp; $A62, Table2[HomeTeam], AB$1)</f>
        <v>2</v>
      </c>
      <c r="AC62" s="145">
        <f>SUMIFS(Table2[NewPointsAway],Table2[GameDate], "&lt;=" &amp; $A62, Table2[AwayTeam], AC$1)+SUMIFS(Table2[NewPointsHome],Table2[GameDate], "&lt;=" &amp; $A62, Table2[HomeTeam], AC$1)</f>
        <v>2</v>
      </c>
      <c r="AD62" s="145">
        <f>SUMIFS(Table2[NewPointsAway],Table2[GameDate], "&lt;=" &amp; $A62, Table2[AwayTeam], AD$1)+SUMIFS(Table2[NewPointsHome],Table2[GameDate], "&lt;=" &amp; $A62, Table2[HomeTeam], AD$1)</f>
        <v>2</v>
      </c>
      <c r="AE62" s="145">
        <f>SUMIFS(Table2[NewPointsAway],Table2[GameDate], "&lt;=" &amp; $A62, Table2[AwayTeam], AE$1)+SUMIFS(Table2[NewPointsHome],Table2[GameDate], "&lt;=" &amp; $A62, Table2[HomeTeam], AE$1)</f>
        <v>4</v>
      </c>
      <c r="AF62" s="145">
        <f>SUMIFS(Table2[NewPointsAway],Table2[GameDate], "&lt;=" &amp; $A62, Table2[AwayTeam], AF$1)+SUMIFS(Table2[NewPointsHome],Table2[GameDate], "&lt;=" &amp; $A62, Table2[HomeTeam], AF$1)</f>
        <v>4</v>
      </c>
      <c r="AG62" s="145">
        <f>SUMIFS(Table2[NewPointsAway],Table2[GameDate], "&lt;=" &amp; $A62, Table2[AwayTeam], AG$1)+SUMIFS(Table2[NewPointsHome],Table2[GameDate], "&lt;=" &amp; $A62, Table2[HomeTeam], AG$1)</f>
        <v>4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2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0</v>
      </c>
      <c r="E63" s="145">
        <f>SUMIFS(Table2[NewPointsAway],Table2[GameDate], "&lt;=" &amp; $A63, Table2[AwayTeam], E$1)+SUMIFS(Table2[NewPointsHome],Table2[GameDate], "&lt;=" &amp; $A63, Table2[HomeTeam], E$1)</f>
        <v>4</v>
      </c>
      <c r="F63" s="145">
        <f>SUMIFS(Table2[NewPointsAway],Table2[GameDate], "&lt;=" &amp; $A63, Table2[AwayTeam], F$1)+SUMIFS(Table2[NewPointsHome],Table2[GameDate], "&lt;=" &amp; $A63, Table2[HomeTeam], F$1)</f>
        <v>2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3</v>
      </c>
      <c r="I63" s="145">
        <f>SUMIFS(Table2[NewPointsAway],Table2[GameDate], "&lt;=" &amp; $A63, Table2[AwayTeam], I$1)+SUMIFS(Table2[NewPointsHome],Table2[GameDate], "&lt;=" &amp; $A63, Table2[HomeTeam], I$1)</f>
        <v>7</v>
      </c>
      <c r="J63" s="145">
        <f>SUMIFS(Table2[NewPointsAway],Table2[GameDate], "&lt;=" &amp; $A63, Table2[AwayTeam], J$1)+SUMIFS(Table2[NewPointsHome],Table2[GameDate], "&lt;=" &amp; $A63, Table2[HomeTeam], J$1)</f>
        <v>4</v>
      </c>
      <c r="K63" s="145">
        <f>SUMIFS(Table2[NewPointsAway],Table2[GameDate], "&lt;=" &amp; $A63, Table2[AwayTeam], K$1)+SUMIFS(Table2[NewPointsHome],Table2[GameDate], "&lt;=" &amp; $A63, Table2[HomeTeam], K$1)</f>
        <v>4</v>
      </c>
      <c r="L63" s="145">
        <f>SUMIFS(Table2[NewPointsAway],Table2[GameDate], "&lt;=" &amp; $A63, Table2[AwayTeam], L$1)+SUMIFS(Table2[NewPointsHome],Table2[GameDate], "&lt;=" &amp; $A63, Table2[HomeTeam], L$1)</f>
        <v>3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3</v>
      </c>
      <c r="O63" s="145">
        <f>SUMIFS(Table2[NewPointsAway],Table2[GameDate], "&lt;=" &amp; $A63, Table2[AwayTeam], O$1)+SUMIFS(Table2[NewPointsHome],Table2[GameDate], "&lt;=" &amp; $A63, Table2[HomeTeam], O$1)</f>
        <v>4</v>
      </c>
      <c r="P63" s="145">
        <f>SUMIFS(Table2[NewPointsAway],Table2[GameDate], "&lt;=" &amp; $A63, Table2[AwayTeam], P$1)+SUMIFS(Table2[NewPointsHome],Table2[GameDate], "&lt;=" &amp; $A63, Table2[HomeTeam], P$1)</f>
        <v>4</v>
      </c>
      <c r="Q63" s="145">
        <f>SUMIFS(Table2[NewPointsAway],Table2[GameDate], "&lt;=" &amp; $A63, Table2[AwayTeam], Q$1)+SUMIFS(Table2[NewPointsHome],Table2[GameDate], "&lt;=" &amp; $A63, Table2[HomeTeam], Q$1)</f>
        <v>4</v>
      </c>
      <c r="R63" s="145">
        <f>SUMIFS(Table2[NewPointsAway],Table2[GameDate], "&lt;=" &amp; $A63, Table2[AwayTeam], R$1)+SUMIFS(Table2[NewPointsHome],Table2[GameDate], "&lt;=" &amp; $A63, Table2[HomeTeam], R$1)</f>
        <v>5</v>
      </c>
      <c r="S63" s="145">
        <f>SUMIFS(Table2[NewPointsAway],Table2[GameDate], "&lt;=" &amp; $A63, Table2[AwayTeam], S$1)+SUMIFS(Table2[NewPointsHome],Table2[GameDate], "&lt;=" &amp; $A63, Table2[HomeTeam], S$1)</f>
        <v>0</v>
      </c>
      <c r="T63" s="145">
        <f>SUMIFS(Table2[NewPointsAway],Table2[GameDate], "&lt;=" &amp; $A63, Table2[AwayTeam], T$1)+SUMIFS(Table2[NewPointsHome],Table2[GameDate], "&lt;=" &amp; $A63, Table2[HomeTeam], T$1)</f>
        <v>4</v>
      </c>
      <c r="U63" s="145">
        <f>SUMIFS(Table2[NewPointsAway],Table2[GameDate], "&lt;=" &amp; $A63, Table2[AwayTeam], U$1)+SUMIFS(Table2[NewPointsHome],Table2[GameDate], "&lt;=" &amp; $A63, Table2[HomeTeam], U$1)</f>
        <v>2</v>
      </c>
      <c r="V63" s="145">
        <f>SUMIFS(Table2[NewPointsAway],Table2[GameDate], "&lt;=" &amp; $A63, Table2[AwayTeam], V$1)+SUMIFS(Table2[NewPointsHome],Table2[GameDate], "&lt;=" &amp; $A63, Table2[HomeTeam], V$1)</f>
        <v>3</v>
      </c>
      <c r="W63" s="145">
        <f>SUMIFS(Table2[NewPointsAway],Table2[GameDate], "&lt;=" &amp; $A63, Table2[AwayTeam], W$1)+SUMIFS(Table2[NewPointsHome],Table2[GameDate], "&lt;=" &amp; $A63, Table2[HomeTeam], W$1)</f>
        <v>4</v>
      </c>
      <c r="X63" s="145">
        <f>SUMIFS(Table2[NewPointsAway],Table2[GameDate], "&lt;=" &amp; $A63, Table2[AwayTeam], X$1)+SUMIFS(Table2[NewPointsHome],Table2[GameDate], "&lt;=" &amp; $A63, Table2[HomeTeam], X$1)</f>
        <v>4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4</v>
      </c>
      <c r="AA63" s="145">
        <f>SUMIFS(Table2[NewPointsAway],Table2[GameDate], "&lt;=" &amp; $A63, Table2[AwayTeam], AA$1)+SUMIFS(Table2[NewPointsHome],Table2[GameDate], "&lt;=" &amp; $A63, Table2[HomeTeam], AA$1)</f>
        <v>2</v>
      </c>
      <c r="AB63" s="145">
        <f>SUMIFS(Table2[NewPointsAway],Table2[GameDate], "&lt;=" &amp; $A63, Table2[AwayTeam], AB$1)+SUMIFS(Table2[NewPointsHome],Table2[GameDate], "&lt;=" &amp; $A63, Table2[HomeTeam], AB$1)</f>
        <v>2</v>
      </c>
      <c r="AC63" s="145">
        <f>SUMIFS(Table2[NewPointsAway],Table2[GameDate], "&lt;=" &amp; $A63, Table2[AwayTeam], AC$1)+SUMIFS(Table2[NewPointsHome],Table2[GameDate], "&lt;=" &amp; $A63, Table2[HomeTeam], AC$1)</f>
        <v>2</v>
      </c>
      <c r="AD63" s="145">
        <f>SUMIFS(Table2[NewPointsAway],Table2[GameDate], "&lt;=" &amp; $A63, Table2[AwayTeam], AD$1)+SUMIFS(Table2[NewPointsHome],Table2[GameDate], "&lt;=" &amp; $A63, Table2[HomeTeam], AD$1)</f>
        <v>2</v>
      </c>
      <c r="AE63" s="145">
        <f>SUMIFS(Table2[NewPointsAway],Table2[GameDate], "&lt;=" &amp; $A63, Table2[AwayTeam], AE$1)+SUMIFS(Table2[NewPointsHome],Table2[GameDate], "&lt;=" &amp; $A63, Table2[HomeTeam], AE$1)</f>
        <v>4</v>
      </c>
      <c r="AF63" s="145">
        <f>SUMIFS(Table2[NewPointsAway],Table2[GameDate], "&lt;=" &amp; $A63, Table2[AwayTeam], AF$1)+SUMIFS(Table2[NewPointsHome],Table2[GameDate], "&lt;=" &amp; $A63, Table2[HomeTeam], AF$1)</f>
        <v>4</v>
      </c>
      <c r="AG63" s="145">
        <f>SUMIFS(Table2[NewPointsAway],Table2[GameDate], "&lt;=" &amp; $A63, Table2[AwayTeam], AG$1)+SUMIFS(Table2[NewPointsHome],Table2[GameDate], "&lt;=" &amp; $A63, Table2[HomeTeam], AG$1)</f>
        <v>4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2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0</v>
      </c>
      <c r="E64" s="145">
        <f>SUMIFS(Table2[NewPointsAway],Table2[GameDate], "&lt;=" &amp; $A64, Table2[AwayTeam], E$1)+SUMIFS(Table2[NewPointsHome],Table2[GameDate], "&lt;=" &amp; $A64, Table2[HomeTeam], E$1)</f>
        <v>4</v>
      </c>
      <c r="F64" s="145">
        <f>SUMIFS(Table2[NewPointsAway],Table2[GameDate], "&lt;=" &amp; $A64, Table2[AwayTeam], F$1)+SUMIFS(Table2[NewPointsHome],Table2[GameDate], "&lt;=" &amp; $A64, Table2[HomeTeam], F$1)</f>
        <v>2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3</v>
      </c>
      <c r="I64" s="145">
        <f>SUMIFS(Table2[NewPointsAway],Table2[GameDate], "&lt;=" &amp; $A64, Table2[AwayTeam], I$1)+SUMIFS(Table2[NewPointsHome],Table2[GameDate], "&lt;=" &amp; $A64, Table2[HomeTeam], I$1)</f>
        <v>7</v>
      </c>
      <c r="J64" s="145">
        <f>SUMIFS(Table2[NewPointsAway],Table2[GameDate], "&lt;=" &amp; $A64, Table2[AwayTeam], J$1)+SUMIFS(Table2[NewPointsHome],Table2[GameDate], "&lt;=" &amp; $A64, Table2[HomeTeam], J$1)</f>
        <v>4</v>
      </c>
      <c r="K64" s="145">
        <f>SUMIFS(Table2[NewPointsAway],Table2[GameDate], "&lt;=" &amp; $A64, Table2[AwayTeam], K$1)+SUMIFS(Table2[NewPointsHome],Table2[GameDate], "&lt;=" &amp; $A64, Table2[HomeTeam], K$1)</f>
        <v>4</v>
      </c>
      <c r="L64" s="145">
        <f>SUMIFS(Table2[NewPointsAway],Table2[GameDate], "&lt;=" &amp; $A64, Table2[AwayTeam], L$1)+SUMIFS(Table2[NewPointsHome],Table2[GameDate], "&lt;=" &amp; $A64, Table2[HomeTeam], L$1)</f>
        <v>3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3</v>
      </c>
      <c r="O64" s="145">
        <f>SUMIFS(Table2[NewPointsAway],Table2[GameDate], "&lt;=" &amp; $A64, Table2[AwayTeam], O$1)+SUMIFS(Table2[NewPointsHome],Table2[GameDate], "&lt;=" &amp; $A64, Table2[HomeTeam], O$1)</f>
        <v>4</v>
      </c>
      <c r="P64" s="145">
        <f>SUMIFS(Table2[NewPointsAway],Table2[GameDate], "&lt;=" &amp; $A64, Table2[AwayTeam], P$1)+SUMIFS(Table2[NewPointsHome],Table2[GameDate], "&lt;=" &amp; $A64, Table2[HomeTeam], P$1)</f>
        <v>4</v>
      </c>
      <c r="Q64" s="145">
        <f>SUMIFS(Table2[NewPointsAway],Table2[GameDate], "&lt;=" &amp; $A64, Table2[AwayTeam], Q$1)+SUMIFS(Table2[NewPointsHome],Table2[GameDate], "&lt;=" &amp; $A64, Table2[HomeTeam], Q$1)</f>
        <v>4</v>
      </c>
      <c r="R64" s="145">
        <f>SUMIFS(Table2[NewPointsAway],Table2[GameDate], "&lt;=" &amp; $A64, Table2[AwayTeam], R$1)+SUMIFS(Table2[NewPointsHome],Table2[GameDate], "&lt;=" &amp; $A64, Table2[HomeTeam], R$1)</f>
        <v>5</v>
      </c>
      <c r="S64" s="145">
        <f>SUMIFS(Table2[NewPointsAway],Table2[GameDate], "&lt;=" &amp; $A64, Table2[AwayTeam], S$1)+SUMIFS(Table2[NewPointsHome],Table2[GameDate], "&lt;=" &amp; $A64, Table2[HomeTeam], S$1)</f>
        <v>0</v>
      </c>
      <c r="T64" s="145">
        <f>SUMIFS(Table2[NewPointsAway],Table2[GameDate], "&lt;=" &amp; $A64, Table2[AwayTeam], T$1)+SUMIFS(Table2[NewPointsHome],Table2[GameDate], "&lt;=" &amp; $A64, Table2[HomeTeam], T$1)</f>
        <v>4</v>
      </c>
      <c r="U64" s="145">
        <f>SUMIFS(Table2[NewPointsAway],Table2[GameDate], "&lt;=" &amp; $A64, Table2[AwayTeam], U$1)+SUMIFS(Table2[NewPointsHome],Table2[GameDate], "&lt;=" &amp; $A64, Table2[HomeTeam], U$1)</f>
        <v>2</v>
      </c>
      <c r="V64" s="145">
        <f>SUMIFS(Table2[NewPointsAway],Table2[GameDate], "&lt;=" &amp; $A64, Table2[AwayTeam], V$1)+SUMIFS(Table2[NewPointsHome],Table2[GameDate], "&lt;=" &amp; $A64, Table2[HomeTeam], V$1)</f>
        <v>3</v>
      </c>
      <c r="W64" s="145">
        <f>SUMIFS(Table2[NewPointsAway],Table2[GameDate], "&lt;=" &amp; $A64, Table2[AwayTeam], W$1)+SUMIFS(Table2[NewPointsHome],Table2[GameDate], "&lt;=" &amp; $A64, Table2[HomeTeam], W$1)</f>
        <v>4</v>
      </c>
      <c r="X64" s="145">
        <f>SUMIFS(Table2[NewPointsAway],Table2[GameDate], "&lt;=" &amp; $A64, Table2[AwayTeam], X$1)+SUMIFS(Table2[NewPointsHome],Table2[GameDate], "&lt;=" &amp; $A64, Table2[HomeTeam], X$1)</f>
        <v>4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4</v>
      </c>
      <c r="AA64" s="145">
        <f>SUMIFS(Table2[NewPointsAway],Table2[GameDate], "&lt;=" &amp; $A64, Table2[AwayTeam], AA$1)+SUMIFS(Table2[NewPointsHome],Table2[GameDate], "&lt;=" &amp; $A64, Table2[HomeTeam], AA$1)</f>
        <v>2</v>
      </c>
      <c r="AB64" s="145">
        <f>SUMIFS(Table2[NewPointsAway],Table2[GameDate], "&lt;=" &amp; $A64, Table2[AwayTeam], AB$1)+SUMIFS(Table2[NewPointsHome],Table2[GameDate], "&lt;=" &amp; $A64, Table2[HomeTeam], AB$1)</f>
        <v>2</v>
      </c>
      <c r="AC64" s="145">
        <f>SUMIFS(Table2[NewPointsAway],Table2[GameDate], "&lt;=" &amp; $A64, Table2[AwayTeam], AC$1)+SUMIFS(Table2[NewPointsHome],Table2[GameDate], "&lt;=" &amp; $A64, Table2[HomeTeam], AC$1)</f>
        <v>2</v>
      </c>
      <c r="AD64" s="145">
        <f>SUMIFS(Table2[NewPointsAway],Table2[GameDate], "&lt;=" &amp; $A64, Table2[AwayTeam], AD$1)+SUMIFS(Table2[NewPointsHome],Table2[GameDate], "&lt;=" &amp; $A64, Table2[HomeTeam], AD$1)</f>
        <v>2</v>
      </c>
      <c r="AE64" s="145">
        <f>SUMIFS(Table2[NewPointsAway],Table2[GameDate], "&lt;=" &amp; $A64, Table2[AwayTeam], AE$1)+SUMIFS(Table2[NewPointsHome],Table2[GameDate], "&lt;=" &amp; $A64, Table2[HomeTeam], AE$1)</f>
        <v>4</v>
      </c>
      <c r="AF64" s="145">
        <f>SUMIFS(Table2[NewPointsAway],Table2[GameDate], "&lt;=" &amp; $A64, Table2[AwayTeam], AF$1)+SUMIFS(Table2[NewPointsHome],Table2[GameDate], "&lt;=" &amp; $A64, Table2[HomeTeam], AF$1)</f>
        <v>4</v>
      </c>
      <c r="AG64" s="145">
        <f>SUMIFS(Table2[NewPointsAway],Table2[GameDate], "&lt;=" &amp; $A64, Table2[AwayTeam], AG$1)+SUMIFS(Table2[NewPointsHome],Table2[GameDate], "&lt;=" &amp; $A64, Table2[HomeTeam], AG$1)</f>
        <v>4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2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0</v>
      </c>
      <c r="E65" s="145">
        <f>SUMIFS(Table2[NewPointsAway],Table2[GameDate], "&lt;=" &amp; $A65, Table2[AwayTeam], E$1)+SUMIFS(Table2[NewPointsHome],Table2[GameDate], "&lt;=" &amp; $A65, Table2[HomeTeam], E$1)</f>
        <v>4</v>
      </c>
      <c r="F65" s="145">
        <f>SUMIFS(Table2[NewPointsAway],Table2[GameDate], "&lt;=" &amp; $A65, Table2[AwayTeam], F$1)+SUMIFS(Table2[NewPointsHome],Table2[GameDate], "&lt;=" &amp; $A65, Table2[HomeTeam], F$1)</f>
        <v>2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3</v>
      </c>
      <c r="I65" s="145">
        <f>SUMIFS(Table2[NewPointsAway],Table2[GameDate], "&lt;=" &amp; $A65, Table2[AwayTeam], I$1)+SUMIFS(Table2[NewPointsHome],Table2[GameDate], "&lt;=" &amp; $A65, Table2[HomeTeam], I$1)</f>
        <v>7</v>
      </c>
      <c r="J65" s="145">
        <f>SUMIFS(Table2[NewPointsAway],Table2[GameDate], "&lt;=" &amp; $A65, Table2[AwayTeam], J$1)+SUMIFS(Table2[NewPointsHome],Table2[GameDate], "&lt;=" &amp; $A65, Table2[HomeTeam], J$1)</f>
        <v>4</v>
      </c>
      <c r="K65" s="145">
        <f>SUMIFS(Table2[NewPointsAway],Table2[GameDate], "&lt;=" &amp; $A65, Table2[AwayTeam], K$1)+SUMIFS(Table2[NewPointsHome],Table2[GameDate], "&lt;=" &amp; $A65, Table2[HomeTeam], K$1)</f>
        <v>4</v>
      </c>
      <c r="L65" s="145">
        <f>SUMIFS(Table2[NewPointsAway],Table2[GameDate], "&lt;=" &amp; $A65, Table2[AwayTeam], L$1)+SUMIFS(Table2[NewPointsHome],Table2[GameDate], "&lt;=" &amp; $A65, Table2[HomeTeam], L$1)</f>
        <v>3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3</v>
      </c>
      <c r="O65" s="145">
        <f>SUMIFS(Table2[NewPointsAway],Table2[GameDate], "&lt;=" &amp; $A65, Table2[AwayTeam], O$1)+SUMIFS(Table2[NewPointsHome],Table2[GameDate], "&lt;=" &amp; $A65, Table2[HomeTeam], O$1)</f>
        <v>4</v>
      </c>
      <c r="P65" s="145">
        <f>SUMIFS(Table2[NewPointsAway],Table2[GameDate], "&lt;=" &amp; $A65, Table2[AwayTeam], P$1)+SUMIFS(Table2[NewPointsHome],Table2[GameDate], "&lt;=" &amp; $A65, Table2[HomeTeam], P$1)</f>
        <v>4</v>
      </c>
      <c r="Q65" s="145">
        <f>SUMIFS(Table2[NewPointsAway],Table2[GameDate], "&lt;=" &amp; $A65, Table2[AwayTeam], Q$1)+SUMIFS(Table2[NewPointsHome],Table2[GameDate], "&lt;=" &amp; $A65, Table2[HomeTeam], Q$1)</f>
        <v>4</v>
      </c>
      <c r="R65" s="145">
        <f>SUMIFS(Table2[NewPointsAway],Table2[GameDate], "&lt;=" &amp; $A65, Table2[AwayTeam], R$1)+SUMIFS(Table2[NewPointsHome],Table2[GameDate], "&lt;=" &amp; $A65, Table2[HomeTeam], R$1)</f>
        <v>5</v>
      </c>
      <c r="S65" s="145">
        <f>SUMIFS(Table2[NewPointsAway],Table2[GameDate], "&lt;=" &amp; $A65, Table2[AwayTeam], S$1)+SUMIFS(Table2[NewPointsHome],Table2[GameDate], "&lt;=" &amp; $A65, Table2[HomeTeam], S$1)</f>
        <v>0</v>
      </c>
      <c r="T65" s="145">
        <f>SUMIFS(Table2[NewPointsAway],Table2[GameDate], "&lt;=" &amp; $A65, Table2[AwayTeam], T$1)+SUMIFS(Table2[NewPointsHome],Table2[GameDate], "&lt;=" &amp; $A65, Table2[HomeTeam], T$1)</f>
        <v>4</v>
      </c>
      <c r="U65" s="145">
        <f>SUMIFS(Table2[NewPointsAway],Table2[GameDate], "&lt;=" &amp; $A65, Table2[AwayTeam], U$1)+SUMIFS(Table2[NewPointsHome],Table2[GameDate], "&lt;=" &amp; $A65, Table2[HomeTeam], U$1)</f>
        <v>2</v>
      </c>
      <c r="V65" s="145">
        <f>SUMIFS(Table2[NewPointsAway],Table2[GameDate], "&lt;=" &amp; $A65, Table2[AwayTeam], V$1)+SUMIFS(Table2[NewPointsHome],Table2[GameDate], "&lt;=" &amp; $A65, Table2[HomeTeam], V$1)</f>
        <v>3</v>
      </c>
      <c r="W65" s="145">
        <f>SUMIFS(Table2[NewPointsAway],Table2[GameDate], "&lt;=" &amp; $A65, Table2[AwayTeam], W$1)+SUMIFS(Table2[NewPointsHome],Table2[GameDate], "&lt;=" &amp; $A65, Table2[HomeTeam], W$1)</f>
        <v>4</v>
      </c>
      <c r="X65" s="145">
        <f>SUMIFS(Table2[NewPointsAway],Table2[GameDate], "&lt;=" &amp; $A65, Table2[AwayTeam], X$1)+SUMIFS(Table2[NewPointsHome],Table2[GameDate], "&lt;=" &amp; $A65, Table2[HomeTeam], X$1)</f>
        <v>4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4</v>
      </c>
      <c r="AA65" s="145">
        <f>SUMIFS(Table2[NewPointsAway],Table2[GameDate], "&lt;=" &amp; $A65, Table2[AwayTeam], AA$1)+SUMIFS(Table2[NewPointsHome],Table2[GameDate], "&lt;=" &amp; $A65, Table2[HomeTeam], AA$1)</f>
        <v>2</v>
      </c>
      <c r="AB65" s="145">
        <f>SUMIFS(Table2[NewPointsAway],Table2[GameDate], "&lt;=" &amp; $A65, Table2[AwayTeam], AB$1)+SUMIFS(Table2[NewPointsHome],Table2[GameDate], "&lt;=" &amp; $A65, Table2[HomeTeam], AB$1)</f>
        <v>2</v>
      </c>
      <c r="AC65" s="145">
        <f>SUMIFS(Table2[NewPointsAway],Table2[GameDate], "&lt;=" &amp; $A65, Table2[AwayTeam], AC$1)+SUMIFS(Table2[NewPointsHome],Table2[GameDate], "&lt;=" &amp; $A65, Table2[HomeTeam], AC$1)</f>
        <v>2</v>
      </c>
      <c r="AD65" s="145">
        <f>SUMIFS(Table2[NewPointsAway],Table2[GameDate], "&lt;=" &amp; $A65, Table2[AwayTeam], AD$1)+SUMIFS(Table2[NewPointsHome],Table2[GameDate], "&lt;=" &amp; $A65, Table2[HomeTeam], AD$1)</f>
        <v>2</v>
      </c>
      <c r="AE65" s="145">
        <f>SUMIFS(Table2[NewPointsAway],Table2[GameDate], "&lt;=" &amp; $A65, Table2[AwayTeam], AE$1)+SUMIFS(Table2[NewPointsHome],Table2[GameDate], "&lt;=" &amp; $A65, Table2[HomeTeam], AE$1)</f>
        <v>4</v>
      </c>
      <c r="AF65" s="145">
        <f>SUMIFS(Table2[NewPointsAway],Table2[GameDate], "&lt;=" &amp; $A65, Table2[AwayTeam], AF$1)+SUMIFS(Table2[NewPointsHome],Table2[GameDate], "&lt;=" &amp; $A65, Table2[HomeTeam], AF$1)</f>
        <v>4</v>
      </c>
      <c r="AG65" s="145">
        <f>SUMIFS(Table2[NewPointsAway],Table2[GameDate], "&lt;=" &amp; $A65, Table2[AwayTeam], AG$1)+SUMIFS(Table2[NewPointsHome],Table2[GameDate], "&lt;=" &amp; $A65, Table2[HomeTeam], AG$1)</f>
        <v>4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2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0</v>
      </c>
      <c r="E66" s="145">
        <f>SUMIFS(Table2[NewPointsAway],Table2[GameDate], "&lt;=" &amp; $A66, Table2[AwayTeam], E$1)+SUMIFS(Table2[NewPointsHome],Table2[GameDate], "&lt;=" &amp; $A66, Table2[HomeTeam], E$1)</f>
        <v>4</v>
      </c>
      <c r="F66" s="145">
        <f>SUMIFS(Table2[NewPointsAway],Table2[GameDate], "&lt;=" &amp; $A66, Table2[AwayTeam], F$1)+SUMIFS(Table2[NewPointsHome],Table2[GameDate], "&lt;=" &amp; $A66, Table2[HomeTeam], F$1)</f>
        <v>2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3</v>
      </c>
      <c r="I66" s="145">
        <f>SUMIFS(Table2[NewPointsAway],Table2[GameDate], "&lt;=" &amp; $A66, Table2[AwayTeam], I$1)+SUMIFS(Table2[NewPointsHome],Table2[GameDate], "&lt;=" &amp; $A66, Table2[HomeTeam], I$1)</f>
        <v>7</v>
      </c>
      <c r="J66" s="145">
        <f>SUMIFS(Table2[NewPointsAway],Table2[GameDate], "&lt;=" &amp; $A66, Table2[AwayTeam], J$1)+SUMIFS(Table2[NewPointsHome],Table2[GameDate], "&lt;=" &amp; $A66, Table2[HomeTeam], J$1)</f>
        <v>4</v>
      </c>
      <c r="K66" s="145">
        <f>SUMIFS(Table2[NewPointsAway],Table2[GameDate], "&lt;=" &amp; $A66, Table2[AwayTeam], K$1)+SUMIFS(Table2[NewPointsHome],Table2[GameDate], "&lt;=" &amp; $A66, Table2[HomeTeam], K$1)</f>
        <v>4</v>
      </c>
      <c r="L66" s="145">
        <f>SUMIFS(Table2[NewPointsAway],Table2[GameDate], "&lt;=" &amp; $A66, Table2[AwayTeam], L$1)+SUMIFS(Table2[NewPointsHome],Table2[GameDate], "&lt;=" &amp; $A66, Table2[HomeTeam], L$1)</f>
        <v>3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3</v>
      </c>
      <c r="O66" s="145">
        <f>SUMIFS(Table2[NewPointsAway],Table2[GameDate], "&lt;=" &amp; $A66, Table2[AwayTeam], O$1)+SUMIFS(Table2[NewPointsHome],Table2[GameDate], "&lt;=" &amp; $A66, Table2[HomeTeam], O$1)</f>
        <v>4</v>
      </c>
      <c r="P66" s="145">
        <f>SUMIFS(Table2[NewPointsAway],Table2[GameDate], "&lt;=" &amp; $A66, Table2[AwayTeam], P$1)+SUMIFS(Table2[NewPointsHome],Table2[GameDate], "&lt;=" &amp; $A66, Table2[HomeTeam], P$1)</f>
        <v>4</v>
      </c>
      <c r="Q66" s="145">
        <f>SUMIFS(Table2[NewPointsAway],Table2[GameDate], "&lt;=" &amp; $A66, Table2[AwayTeam], Q$1)+SUMIFS(Table2[NewPointsHome],Table2[GameDate], "&lt;=" &amp; $A66, Table2[HomeTeam], Q$1)</f>
        <v>4</v>
      </c>
      <c r="R66" s="145">
        <f>SUMIFS(Table2[NewPointsAway],Table2[GameDate], "&lt;=" &amp; $A66, Table2[AwayTeam], R$1)+SUMIFS(Table2[NewPointsHome],Table2[GameDate], "&lt;=" &amp; $A66, Table2[HomeTeam], R$1)</f>
        <v>5</v>
      </c>
      <c r="S66" s="145">
        <f>SUMIFS(Table2[NewPointsAway],Table2[GameDate], "&lt;=" &amp; $A66, Table2[AwayTeam], S$1)+SUMIFS(Table2[NewPointsHome],Table2[GameDate], "&lt;=" &amp; $A66, Table2[HomeTeam], S$1)</f>
        <v>0</v>
      </c>
      <c r="T66" s="145">
        <f>SUMIFS(Table2[NewPointsAway],Table2[GameDate], "&lt;=" &amp; $A66, Table2[AwayTeam], T$1)+SUMIFS(Table2[NewPointsHome],Table2[GameDate], "&lt;=" &amp; $A66, Table2[HomeTeam], T$1)</f>
        <v>4</v>
      </c>
      <c r="U66" s="145">
        <f>SUMIFS(Table2[NewPointsAway],Table2[GameDate], "&lt;=" &amp; $A66, Table2[AwayTeam], U$1)+SUMIFS(Table2[NewPointsHome],Table2[GameDate], "&lt;=" &amp; $A66, Table2[HomeTeam], U$1)</f>
        <v>2</v>
      </c>
      <c r="V66" s="145">
        <f>SUMIFS(Table2[NewPointsAway],Table2[GameDate], "&lt;=" &amp; $A66, Table2[AwayTeam], V$1)+SUMIFS(Table2[NewPointsHome],Table2[GameDate], "&lt;=" &amp; $A66, Table2[HomeTeam], V$1)</f>
        <v>3</v>
      </c>
      <c r="W66" s="145">
        <f>SUMIFS(Table2[NewPointsAway],Table2[GameDate], "&lt;=" &amp; $A66, Table2[AwayTeam], W$1)+SUMIFS(Table2[NewPointsHome],Table2[GameDate], "&lt;=" &amp; $A66, Table2[HomeTeam], W$1)</f>
        <v>4</v>
      </c>
      <c r="X66" s="145">
        <f>SUMIFS(Table2[NewPointsAway],Table2[GameDate], "&lt;=" &amp; $A66, Table2[AwayTeam], X$1)+SUMIFS(Table2[NewPointsHome],Table2[GameDate], "&lt;=" &amp; $A66, Table2[HomeTeam], X$1)</f>
        <v>4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4</v>
      </c>
      <c r="AA66" s="145">
        <f>SUMIFS(Table2[NewPointsAway],Table2[GameDate], "&lt;=" &amp; $A66, Table2[AwayTeam], AA$1)+SUMIFS(Table2[NewPointsHome],Table2[GameDate], "&lt;=" &amp; $A66, Table2[HomeTeam], AA$1)</f>
        <v>2</v>
      </c>
      <c r="AB66" s="145">
        <f>SUMIFS(Table2[NewPointsAway],Table2[GameDate], "&lt;=" &amp; $A66, Table2[AwayTeam], AB$1)+SUMIFS(Table2[NewPointsHome],Table2[GameDate], "&lt;=" &amp; $A66, Table2[HomeTeam], AB$1)</f>
        <v>2</v>
      </c>
      <c r="AC66" s="145">
        <f>SUMIFS(Table2[NewPointsAway],Table2[GameDate], "&lt;=" &amp; $A66, Table2[AwayTeam], AC$1)+SUMIFS(Table2[NewPointsHome],Table2[GameDate], "&lt;=" &amp; $A66, Table2[HomeTeam], AC$1)</f>
        <v>2</v>
      </c>
      <c r="AD66" s="145">
        <f>SUMIFS(Table2[NewPointsAway],Table2[GameDate], "&lt;=" &amp; $A66, Table2[AwayTeam], AD$1)+SUMIFS(Table2[NewPointsHome],Table2[GameDate], "&lt;=" &amp; $A66, Table2[HomeTeam], AD$1)</f>
        <v>2</v>
      </c>
      <c r="AE66" s="145">
        <f>SUMIFS(Table2[NewPointsAway],Table2[GameDate], "&lt;=" &amp; $A66, Table2[AwayTeam], AE$1)+SUMIFS(Table2[NewPointsHome],Table2[GameDate], "&lt;=" &amp; $A66, Table2[HomeTeam], AE$1)</f>
        <v>4</v>
      </c>
      <c r="AF66" s="145">
        <f>SUMIFS(Table2[NewPointsAway],Table2[GameDate], "&lt;=" &amp; $A66, Table2[AwayTeam], AF$1)+SUMIFS(Table2[NewPointsHome],Table2[GameDate], "&lt;=" &amp; $A66, Table2[HomeTeam], AF$1)</f>
        <v>4</v>
      </c>
      <c r="AG66" s="145">
        <f>SUMIFS(Table2[NewPointsAway],Table2[GameDate], "&lt;=" &amp; $A66, Table2[AwayTeam], AG$1)+SUMIFS(Table2[NewPointsHome],Table2[GameDate], "&lt;=" &amp; $A66, Table2[HomeTeam], AG$1)</f>
        <v>4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2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0</v>
      </c>
      <c r="E67" s="145">
        <f>SUMIFS(Table2[NewPointsAway],Table2[GameDate], "&lt;=" &amp; $A67, Table2[AwayTeam], E$1)+SUMIFS(Table2[NewPointsHome],Table2[GameDate], "&lt;=" &amp; $A67, Table2[HomeTeam], E$1)</f>
        <v>4</v>
      </c>
      <c r="F67" s="145">
        <f>SUMIFS(Table2[NewPointsAway],Table2[GameDate], "&lt;=" &amp; $A67, Table2[AwayTeam], F$1)+SUMIFS(Table2[NewPointsHome],Table2[GameDate], "&lt;=" &amp; $A67, Table2[HomeTeam], F$1)</f>
        <v>2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3</v>
      </c>
      <c r="I67" s="145">
        <f>SUMIFS(Table2[NewPointsAway],Table2[GameDate], "&lt;=" &amp; $A67, Table2[AwayTeam], I$1)+SUMIFS(Table2[NewPointsHome],Table2[GameDate], "&lt;=" &amp; $A67, Table2[HomeTeam], I$1)</f>
        <v>7</v>
      </c>
      <c r="J67" s="145">
        <f>SUMIFS(Table2[NewPointsAway],Table2[GameDate], "&lt;=" &amp; $A67, Table2[AwayTeam], J$1)+SUMIFS(Table2[NewPointsHome],Table2[GameDate], "&lt;=" &amp; $A67, Table2[HomeTeam], J$1)</f>
        <v>4</v>
      </c>
      <c r="K67" s="145">
        <f>SUMIFS(Table2[NewPointsAway],Table2[GameDate], "&lt;=" &amp; $A67, Table2[AwayTeam], K$1)+SUMIFS(Table2[NewPointsHome],Table2[GameDate], "&lt;=" &amp; $A67, Table2[HomeTeam], K$1)</f>
        <v>4</v>
      </c>
      <c r="L67" s="145">
        <f>SUMIFS(Table2[NewPointsAway],Table2[GameDate], "&lt;=" &amp; $A67, Table2[AwayTeam], L$1)+SUMIFS(Table2[NewPointsHome],Table2[GameDate], "&lt;=" &amp; $A67, Table2[HomeTeam], L$1)</f>
        <v>3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3</v>
      </c>
      <c r="O67" s="145">
        <f>SUMIFS(Table2[NewPointsAway],Table2[GameDate], "&lt;=" &amp; $A67, Table2[AwayTeam], O$1)+SUMIFS(Table2[NewPointsHome],Table2[GameDate], "&lt;=" &amp; $A67, Table2[HomeTeam], O$1)</f>
        <v>4</v>
      </c>
      <c r="P67" s="145">
        <f>SUMIFS(Table2[NewPointsAway],Table2[GameDate], "&lt;=" &amp; $A67, Table2[AwayTeam], P$1)+SUMIFS(Table2[NewPointsHome],Table2[GameDate], "&lt;=" &amp; $A67, Table2[HomeTeam], P$1)</f>
        <v>4</v>
      </c>
      <c r="Q67" s="145">
        <f>SUMIFS(Table2[NewPointsAway],Table2[GameDate], "&lt;=" &amp; $A67, Table2[AwayTeam], Q$1)+SUMIFS(Table2[NewPointsHome],Table2[GameDate], "&lt;=" &amp; $A67, Table2[HomeTeam], Q$1)</f>
        <v>4</v>
      </c>
      <c r="R67" s="145">
        <f>SUMIFS(Table2[NewPointsAway],Table2[GameDate], "&lt;=" &amp; $A67, Table2[AwayTeam], R$1)+SUMIFS(Table2[NewPointsHome],Table2[GameDate], "&lt;=" &amp; $A67, Table2[HomeTeam], R$1)</f>
        <v>5</v>
      </c>
      <c r="S67" s="145">
        <f>SUMIFS(Table2[NewPointsAway],Table2[GameDate], "&lt;=" &amp; $A67, Table2[AwayTeam], S$1)+SUMIFS(Table2[NewPointsHome],Table2[GameDate], "&lt;=" &amp; $A67, Table2[HomeTeam], S$1)</f>
        <v>0</v>
      </c>
      <c r="T67" s="145">
        <f>SUMIFS(Table2[NewPointsAway],Table2[GameDate], "&lt;=" &amp; $A67, Table2[AwayTeam], T$1)+SUMIFS(Table2[NewPointsHome],Table2[GameDate], "&lt;=" &amp; $A67, Table2[HomeTeam], T$1)</f>
        <v>4</v>
      </c>
      <c r="U67" s="145">
        <f>SUMIFS(Table2[NewPointsAway],Table2[GameDate], "&lt;=" &amp; $A67, Table2[AwayTeam], U$1)+SUMIFS(Table2[NewPointsHome],Table2[GameDate], "&lt;=" &amp; $A67, Table2[HomeTeam], U$1)</f>
        <v>2</v>
      </c>
      <c r="V67" s="145">
        <f>SUMIFS(Table2[NewPointsAway],Table2[GameDate], "&lt;=" &amp; $A67, Table2[AwayTeam], V$1)+SUMIFS(Table2[NewPointsHome],Table2[GameDate], "&lt;=" &amp; $A67, Table2[HomeTeam], V$1)</f>
        <v>3</v>
      </c>
      <c r="W67" s="145">
        <f>SUMIFS(Table2[NewPointsAway],Table2[GameDate], "&lt;=" &amp; $A67, Table2[AwayTeam], W$1)+SUMIFS(Table2[NewPointsHome],Table2[GameDate], "&lt;=" &amp; $A67, Table2[HomeTeam], W$1)</f>
        <v>4</v>
      </c>
      <c r="X67" s="145">
        <f>SUMIFS(Table2[NewPointsAway],Table2[GameDate], "&lt;=" &amp; $A67, Table2[AwayTeam], X$1)+SUMIFS(Table2[NewPointsHome],Table2[GameDate], "&lt;=" &amp; $A67, Table2[HomeTeam], X$1)</f>
        <v>4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4</v>
      </c>
      <c r="AA67" s="145">
        <f>SUMIFS(Table2[NewPointsAway],Table2[GameDate], "&lt;=" &amp; $A67, Table2[AwayTeam], AA$1)+SUMIFS(Table2[NewPointsHome],Table2[GameDate], "&lt;=" &amp; $A67, Table2[HomeTeam], AA$1)</f>
        <v>2</v>
      </c>
      <c r="AB67" s="145">
        <f>SUMIFS(Table2[NewPointsAway],Table2[GameDate], "&lt;=" &amp; $A67, Table2[AwayTeam], AB$1)+SUMIFS(Table2[NewPointsHome],Table2[GameDate], "&lt;=" &amp; $A67, Table2[HomeTeam], AB$1)</f>
        <v>2</v>
      </c>
      <c r="AC67" s="145">
        <f>SUMIFS(Table2[NewPointsAway],Table2[GameDate], "&lt;=" &amp; $A67, Table2[AwayTeam], AC$1)+SUMIFS(Table2[NewPointsHome],Table2[GameDate], "&lt;=" &amp; $A67, Table2[HomeTeam], AC$1)</f>
        <v>2</v>
      </c>
      <c r="AD67" s="145">
        <f>SUMIFS(Table2[NewPointsAway],Table2[GameDate], "&lt;=" &amp; $A67, Table2[AwayTeam], AD$1)+SUMIFS(Table2[NewPointsHome],Table2[GameDate], "&lt;=" &amp; $A67, Table2[HomeTeam], AD$1)</f>
        <v>2</v>
      </c>
      <c r="AE67" s="145">
        <f>SUMIFS(Table2[NewPointsAway],Table2[GameDate], "&lt;=" &amp; $A67, Table2[AwayTeam], AE$1)+SUMIFS(Table2[NewPointsHome],Table2[GameDate], "&lt;=" &amp; $A67, Table2[HomeTeam], AE$1)</f>
        <v>4</v>
      </c>
      <c r="AF67" s="145">
        <f>SUMIFS(Table2[NewPointsAway],Table2[GameDate], "&lt;=" &amp; $A67, Table2[AwayTeam], AF$1)+SUMIFS(Table2[NewPointsHome],Table2[GameDate], "&lt;=" &amp; $A67, Table2[HomeTeam], AF$1)</f>
        <v>4</v>
      </c>
      <c r="AG67" s="145">
        <f>SUMIFS(Table2[NewPointsAway],Table2[GameDate], "&lt;=" &amp; $A67, Table2[AwayTeam], AG$1)+SUMIFS(Table2[NewPointsHome],Table2[GameDate], "&lt;=" &amp; $A67, Table2[HomeTeam], AG$1)</f>
        <v>4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2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0</v>
      </c>
      <c r="E68" s="145">
        <f>SUMIFS(Table2[NewPointsAway],Table2[GameDate], "&lt;=" &amp; $A68, Table2[AwayTeam], E$1)+SUMIFS(Table2[NewPointsHome],Table2[GameDate], "&lt;=" &amp; $A68, Table2[HomeTeam], E$1)</f>
        <v>4</v>
      </c>
      <c r="F68" s="145">
        <f>SUMIFS(Table2[NewPointsAway],Table2[GameDate], "&lt;=" &amp; $A68, Table2[AwayTeam], F$1)+SUMIFS(Table2[NewPointsHome],Table2[GameDate], "&lt;=" &amp; $A68, Table2[HomeTeam], F$1)</f>
        <v>2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3</v>
      </c>
      <c r="I68" s="145">
        <f>SUMIFS(Table2[NewPointsAway],Table2[GameDate], "&lt;=" &amp; $A68, Table2[AwayTeam], I$1)+SUMIFS(Table2[NewPointsHome],Table2[GameDate], "&lt;=" &amp; $A68, Table2[HomeTeam], I$1)</f>
        <v>7</v>
      </c>
      <c r="J68" s="145">
        <f>SUMIFS(Table2[NewPointsAway],Table2[GameDate], "&lt;=" &amp; $A68, Table2[AwayTeam], J$1)+SUMIFS(Table2[NewPointsHome],Table2[GameDate], "&lt;=" &amp; $A68, Table2[HomeTeam], J$1)</f>
        <v>4</v>
      </c>
      <c r="K68" s="145">
        <f>SUMIFS(Table2[NewPointsAway],Table2[GameDate], "&lt;=" &amp; $A68, Table2[AwayTeam], K$1)+SUMIFS(Table2[NewPointsHome],Table2[GameDate], "&lt;=" &amp; $A68, Table2[HomeTeam], K$1)</f>
        <v>4</v>
      </c>
      <c r="L68" s="145">
        <f>SUMIFS(Table2[NewPointsAway],Table2[GameDate], "&lt;=" &amp; $A68, Table2[AwayTeam], L$1)+SUMIFS(Table2[NewPointsHome],Table2[GameDate], "&lt;=" &amp; $A68, Table2[HomeTeam], L$1)</f>
        <v>3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3</v>
      </c>
      <c r="O68" s="145">
        <f>SUMIFS(Table2[NewPointsAway],Table2[GameDate], "&lt;=" &amp; $A68, Table2[AwayTeam], O$1)+SUMIFS(Table2[NewPointsHome],Table2[GameDate], "&lt;=" &amp; $A68, Table2[HomeTeam], O$1)</f>
        <v>4</v>
      </c>
      <c r="P68" s="145">
        <f>SUMIFS(Table2[NewPointsAway],Table2[GameDate], "&lt;=" &amp; $A68, Table2[AwayTeam], P$1)+SUMIFS(Table2[NewPointsHome],Table2[GameDate], "&lt;=" &amp; $A68, Table2[HomeTeam], P$1)</f>
        <v>4</v>
      </c>
      <c r="Q68" s="145">
        <f>SUMIFS(Table2[NewPointsAway],Table2[GameDate], "&lt;=" &amp; $A68, Table2[AwayTeam], Q$1)+SUMIFS(Table2[NewPointsHome],Table2[GameDate], "&lt;=" &amp; $A68, Table2[HomeTeam], Q$1)</f>
        <v>4</v>
      </c>
      <c r="R68" s="145">
        <f>SUMIFS(Table2[NewPointsAway],Table2[GameDate], "&lt;=" &amp; $A68, Table2[AwayTeam], R$1)+SUMIFS(Table2[NewPointsHome],Table2[GameDate], "&lt;=" &amp; $A68, Table2[HomeTeam], R$1)</f>
        <v>5</v>
      </c>
      <c r="S68" s="145">
        <f>SUMIFS(Table2[NewPointsAway],Table2[GameDate], "&lt;=" &amp; $A68, Table2[AwayTeam], S$1)+SUMIFS(Table2[NewPointsHome],Table2[GameDate], "&lt;=" &amp; $A68, Table2[HomeTeam], S$1)</f>
        <v>0</v>
      </c>
      <c r="T68" s="145">
        <f>SUMIFS(Table2[NewPointsAway],Table2[GameDate], "&lt;=" &amp; $A68, Table2[AwayTeam], T$1)+SUMIFS(Table2[NewPointsHome],Table2[GameDate], "&lt;=" &amp; $A68, Table2[HomeTeam], T$1)</f>
        <v>4</v>
      </c>
      <c r="U68" s="145">
        <f>SUMIFS(Table2[NewPointsAway],Table2[GameDate], "&lt;=" &amp; $A68, Table2[AwayTeam], U$1)+SUMIFS(Table2[NewPointsHome],Table2[GameDate], "&lt;=" &amp; $A68, Table2[HomeTeam], U$1)</f>
        <v>2</v>
      </c>
      <c r="V68" s="145">
        <f>SUMIFS(Table2[NewPointsAway],Table2[GameDate], "&lt;=" &amp; $A68, Table2[AwayTeam], V$1)+SUMIFS(Table2[NewPointsHome],Table2[GameDate], "&lt;=" &amp; $A68, Table2[HomeTeam], V$1)</f>
        <v>3</v>
      </c>
      <c r="W68" s="145">
        <f>SUMIFS(Table2[NewPointsAway],Table2[GameDate], "&lt;=" &amp; $A68, Table2[AwayTeam], W$1)+SUMIFS(Table2[NewPointsHome],Table2[GameDate], "&lt;=" &amp; $A68, Table2[HomeTeam], W$1)</f>
        <v>4</v>
      </c>
      <c r="X68" s="145">
        <f>SUMIFS(Table2[NewPointsAway],Table2[GameDate], "&lt;=" &amp; $A68, Table2[AwayTeam], X$1)+SUMIFS(Table2[NewPointsHome],Table2[GameDate], "&lt;=" &amp; $A68, Table2[HomeTeam], X$1)</f>
        <v>4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4</v>
      </c>
      <c r="AA68" s="145">
        <f>SUMIFS(Table2[NewPointsAway],Table2[GameDate], "&lt;=" &amp; $A68, Table2[AwayTeam], AA$1)+SUMIFS(Table2[NewPointsHome],Table2[GameDate], "&lt;=" &amp; $A68, Table2[HomeTeam], AA$1)</f>
        <v>2</v>
      </c>
      <c r="AB68" s="145">
        <f>SUMIFS(Table2[NewPointsAway],Table2[GameDate], "&lt;=" &amp; $A68, Table2[AwayTeam], AB$1)+SUMIFS(Table2[NewPointsHome],Table2[GameDate], "&lt;=" &amp; $A68, Table2[HomeTeam], AB$1)</f>
        <v>2</v>
      </c>
      <c r="AC68" s="145">
        <f>SUMIFS(Table2[NewPointsAway],Table2[GameDate], "&lt;=" &amp; $A68, Table2[AwayTeam], AC$1)+SUMIFS(Table2[NewPointsHome],Table2[GameDate], "&lt;=" &amp; $A68, Table2[HomeTeam], AC$1)</f>
        <v>2</v>
      </c>
      <c r="AD68" s="145">
        <f>SUMIFS(Table2[NewPointsAway],Table2[GameDate], "&lt;=" &amp; $A68, Table2[AwayTeam], AD$1)+SUMIFS(Table2[NewPointsHome],Table2[GameDate], "&lt;=" &amp; $A68, Table2[HomeTeam], AD$1)</f>
        <v>2</v>
      </c>
      <c r="AE68" s="145">
        <f>SUMIFS(Table2[NewPointsAway],Table2[GameDate], "&lt;=" &amp; $A68, Table2[AwayTeam], AE$1)+SUMIFS(Table2[NewPointsHome],Table2[GameDate], "&lt;=" &amp; $A68, Table2[HomeTeam], AE$1)</f>
        <v>4</v>
      </c>
      <c r="AF68" s="145">
        <f>SUMIFS(Table2[NewPointsAway],Table2[GameDate], "&lt;=" &amp; $A68, Table2[AwayTeam], AF$1)+SUMIFS(Table2[NewPointsHome],Table2[GameDate], "&lt;=" &amp; $A68, Table2[HomeTeam], AF$1)</f>
        <v>4</v>
      </c>
      <c r="AG68" s="145">
        <f>SUMIFS(Table2[NewPointsAway],Table2[GameDate], "&lt;=" &amp; $A68, Table2[AwayTeam], AG$1)+SUMIFS(Table2[NewPointsHome],Table2[GameDate], "&lt;=" &amp; $A68, Table2[HomeTeam], AG$1)</f>
        <v>4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2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0</v>
      </c>
      <c r="E69" s="145">
        <f>SUMIFS(Table2[NewPointsAway],Table2[GameDate], "&lt;=" &amp; $A69, Table2[AwayTeam], E$1)+SUMIFS(Table2[NewPointsHome],Table2[GameDate], "&lt;=" &amp; $A69, Table2[HomeTeam], E$1)</f>
        <v>4</v>
      </c>
      <c r="F69" s="145">
        <f>SUMIFS(Table2[NewPointsAway],Table2[GameDate], "&lt;=" &amp; $A69, Table2[AwayTeam], F$1)+SUMIFS(Table2[NewPointsHome],Table2[GameDate], "&lt;=" &amp; $A69, Table2[HomeTeam], F$1)</f>
        <v>2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3</v>
      </c>
      <c r="I69" s="145">
        <f>SUMIFS(Table2[NewPointsAway],Table2[GameDate], "&lt;=" &amp; $A69, Table2[AwayTeam], I$1)+SUMIFS(Table2[NewPointsHome],Table2[GameDate], "&lt;=" &amp; $A69, Table2[HomeTeam], I$1)</f>
        <v>7</v>
      </c>
      <c r="J69" s="145">
        <f>SUMIFS(Table2[NewPointsAway],Table2[GameDate], "&lt;=" &amp; $A69, Table2[AwayTeam], J$1)+SUMIFS(Table2[NewPointsHome],Table2[GameDate], "&lt;=" &amp; $A69, Table2[HomeTeam], J$1)</f>
        <v>4</v>
      </c>
      <c r="K69" s="145">
        <f>SUMIFS(Table2[NewPointsAway],Table2[GameDate], "&lt;=" &amp; $A69, Table2[AwayTeam], K$1)+SUMIFS(Table2[NewPointsHome],Table2[GameDate], "&lt;=" &amp; $A69, Table2[HomeTeam], K$1)</f>
        <v>4</v>
      </c>
      <c r="L69" s="145">
        <f>SUMIFS(Table2[NewPointsAway],Table2[GameDate], "&lt;=" &amp; $A69, Table2[AwayTeam], L$1)+SUMIFS(Table2[NewPointsHome],Table2[GameDate], "&lt;=" &amp; $A69, Table2[HomeTeam], L$1)</f>
        <v>3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3</v>
      </c>
      <c r="O69" s="145">
        <f>SUMIFS(Table2[NewPointsAway],Table2[GameDate], "&lt;=" &amp; $A69, Table2[AwayTeam], O$1)+SUMIFS(Table2[NewPointsHome],Table2[GameDate], "&lt;=" &amp; $A69, Table2[HomeTeam], O$1)</f>
        <v>4</v>
      </c>
      <c r="P69" s="145">
        <f>SUMIFS(Table2[NewPointsAway],Table2[GameDate], "&lt;=" &amp; $A69, Table2[AwayTeam], P$1)+SUMIFS(Table2[NewPointsHome],Table2[GameDate], "&lt;=" &amp; $A69, Table2[HomeTeam], P$1)</f>
        <v>4</v>
      </c>
      <c r="Q69" s="145">
        <f>SUMIFS(Table2[NewPointsAway],Table2[GameDate], "&lt;=" &amp; $A69, Table2[AwayTeam], Q$1)+SUMIFS(Table2[NewPointsHome],Table2[GameDate], "&lt;=" &amp; $A69, Table2[HomeTeam], Q$1)</f>
        <v>4</v>
      </c>
      <c r="R69" s="145">
        <f>SUMIFS(Table2[NewPointsAway],Table2[GameDate], "&lt;=" &amp; $A69, Table2[AwayTeam], R$1)+SUMIFS(Table2[NewPointsHome],Table2[GameDate], "&lt;=" &amp; $A69, Table2[HomeTeam], R$1)</f>
        <v>5</v>
      </c>
      <c r="S69" s="145">
        <f>SUMIFS(Table2[NewPointsAway],Table2[GameDate], "&lt;=" &amp; $A69, Table2[AwayTeam], S$1)+SUMIFS(Table2[NewPointsHome],Table2[GameDate], "&lt;=" &amp; $A69, Table2[HomeTeam], S$1)</f>
        <v>0</v>
      </c>
      <c r="T69" s="145">
        <f>SUMIFS(Table2[NewPointsAway],Table2[GameDate], "&lt;=" &amp; $A69, Table2[AwayTeam], T$1)+SUMIFS(Table2[NewPointsHome],Table2[GameDate], "&lt;=" &amp; $A69, Table2[HomeTeam], T$1)</f>
        <v>4</v>
      </c>
      <c r="U69" s="145">
        <f>SUMIFS(Table2[NewPointsAway],Table2[GameDate], "&lt;=" &amp; $A69, Table2[AwayTeam], U$1)+SUMIFS(Table2[NewPointsHome],Table2[GameDate], "&lt;=" &amp; $A69, Table2[HomeTeam], U$1)</f>
        <v>2</v>
      </c>
      <c r="V69" s="145">
        <f>SUMIFS(Table2[NewPointsAway],Table2[GameDate], "&lt;=" &amp; $A69, Table2[AwayTeam], V$1)+SUMIFS(Table2[NewPointsHome],Table2[GameDate], "&lt;=" &amp; $A69, Table2[HomeTeam], V$1)</f>
        <v>3</v>
      </c>
      <c r="W69" s="145">
        <f>SUMIFS(Table2[NewPointsAway],Table2[GameDate], "&lt;=" &amp; $A69, Table2[AwayTeam], W$1)+SUMIFS(Table2[NewPointsHome],Table2[GameDate], "&lt;=" &amp; $A69, Table2[HomeTeam], W$1)</f>
        <v>4</v>
      </c>
      <c r="X69" s="145">
        <f>SUMIFS(Table2[NewPointsAway],Table2[GameDate], "&lt;=" &amp; $A69, Table2[AwayTeam], X$1)+SUMIFS(Table2[NewPointsHome],Table2[GameDate], "&lt;=" &amp; $A69, Table2[HomeTeam], X$1)</f>
        <v>4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4</v>
      </c>
      <c r="AA69" s="145">
        <f>SUMIFS(Table2[NewPointsAway],Table2[GameDate], "&lt;=" &amp; $A69, Table2[AwayTeam], AA$1)+SUMIFS(Table2[NewPointsHome],Table2[GameDate], "&lt;=" &amp; $A69, Table2[HomeTeam], AA$1)</f>
        <v>2</v>
      </c>
      <c r="AB69" s="145">
        <f>SUMIFS(Table2[NewPointsAway],Table2[GameDate], "&lt;=" &amp; $A69, Table2[AwayTeam], AB$1)+SUMIFS(Table2[NewPointsHome],Table2[GameDate], "&lt;=" &amp; $A69, Table2[HomeTeam], AB$1)</f>
        <v>2</v>
      </c>
      <c r="AC69" s="145">
        <f>SUMIFS(Table2[NewPointsAway],Table2[GameDate], "&lt;=" &amp; $A69, Table2[AwayTeam], AC$1)+SUMIFS(Table2[NewPointsHome],Table2[GameDate], "&lt;=" &amp; $A69, Table2[HomeTeam], AC$1)</f>
        <v>2</v>
      </c>
      <c r="AD69" s="145">
        <f>SUMIFS(Table2[NewPointsAway],Table2[GameDate], "&lt;=" &amp; $A69, Table2[AwayTeam], AD$1)+SUMIFS(Table2[NewPointsHome],Table2[GameDate], "&lt;=" &amp; $A69, Table2[HomeTeam], AD$1)</f>
        <v>2</v>
      </c>
      <c r="AE69" s="145">
        <f>SUMIFS(Table2[NewPointsAway],Table2[GameDate], "&lt;=" &amp; $A69, Table2[AwayTeam], AE$1)+SUMIFS(Table2[NewPointsHome],Table2[GameDate], "&lt;=" &amp; $A69, Table2[HomeTeam], AE$1)</f>
        <v>4</v>
      </c>
      <c r="AF69" s="145">
        <f>SUMIFS(Table2[NewPointsAway],Table2[GameDate], "&lt;=" &amp; $A69, Table2[AwayTeam], AF$1)+SUMIFS(Table2[NewPointsHome],Table2[GameDate], "&lt;=" &amp; $A69, Table2[HomeTeam], AF$1)</f>
        <v>4</v>
      </c>
      <c r="AG69" s="145">
        <f>SUMIFS(Table2[NewPointsAway],Table2[GameDate], "&lt;=" &amp; $A69, Table2[AwayTeam], AG$1)+SUMIFS(Table2[NewPointsHome],Table2[GameDate], "&lt;=" &amp; $A69, Table2[HomeTeam], AG$1)</f>
        <v>4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2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0</v>
      </c>
      <c r="E70" s="145">
        <f>SUMIFS(Table2[NewPointsAway],Table2[GameDate], "&lt;=" &amp; $A70, Table2[AwayTeam], E$1)+SUMIFS(Table2[NewPointsHome],Table2[GameDate], "&lt;=" &amp; $A70, Table2[HomeTeam], E$1)</f>
        <v>4</v>
      </c>
      <c r="F70" s="145">
        <f>SUMIFS(Table2[NewPointsAway],Table2[GameDate], "&lt;=" &amp; $A70, Table2[AwayTeam], F$1)+SUMIFS(Table2[NewPointsHome],Table2[GameDate], "&lt;=" &amp; $A70, Table2[HomeTeam], F$1)</f>
        <v>2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3</v>
      </c>
      <c r="I70" s="145">
        <f>SUMIFS(Table2[NewPointsAway],Table2[GameDate], "&lt;=" &amp; $A70, Table2[AwayTeam], I$1)+SUMIFS(Table2[NewPointsHome],Table2[GameDate], "&lt;=" &amp; $A70, Table2[HomeTeam], I$1)</f>
        <v>7</v>
      </c>
      <c r="J70" s="145">
        <f>SUMIFS(Table2[NewPointsAway],Table2[GameDate], "&lt;=" &amp; $A70, Table2[AwayTeam], J$1)+SUMIFS(Table2[NewPointsHome],Table2[GameDate], "&lt;=" &amp; $A70, Table2[HomeTeam], J$1)</f>
        <v>4</v>
      </c>
      <c r="K70" s="145">
        <f>SUMIFS(Table2[NewPointsAway],Table2[GameDate], "&lt;=" &amp; $A70, Table2[AwayTeam], K$1)+SUMIFS(Table2[NewPointsHome],Table2[GameDate], "&lt;=" &amp; $A70, Table2[HomeTeam], K$1)</f>
        <v>4</v>
      </c>
      <c r="L70" s="145">
        <f>SUMIFS(Table2[NewPointsAway],Table2[GameDate], "&lt;=" &amp; $A70, Table2[AwayTeam], L$1)+SUMIFS(Table2[NewPointsHome],Table2[GameDate], "&lt;=" &amp; $A70, Table2[HomeTeam], L$1)</f>
        <v>3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3</v>
      </c>
      <c r="O70" s="145">
        <f>SUMIFS(Table2[NewPointsAway],Table2[GameDate], "&lt;=" &amp; $A70, Table2[AwayTeam], O$1)+SUMIFS(Table2[NewPointsHome],Table2[GameDate], "&lt;=" &amp; $A70, Table2[HomeTeam], O$1)</f>
        <v>4</v>
      </c>
      <c r="P70" s="145">
        <f>SUMIFS(Table2[NewPointsAway],Table2[GameDate], "&lt;=" &amp; $A70, Table2[AwayTeam], P$1)+SUMIFS(Table2[NewPointsHome],Table2[GameDate], "&lt;=" &amp; $A70, Table2[HomeTeam], P$1)</f>
        <v>4</v>
      </c>
      <c r="Q70" s="145">
        <f>SUMIFS(Table2[NewPointsAway],Table2[GameDate], "&lt;=" &amp; $A70, Table2[AwayTeam], Q$1)+SUMIFS(Table2[NewPointsHome],Table2[GameDate], "&lt;=" &amp; $A70, Table2[HomeTeam], Q$1)</f>
        <v>4</v>
      </c>
      <c r="R70" s="145">
        <f>SUMIFS(Table2[NewPointsAway],Table2[GameDate], "&lt;=" &amp; $A70, Table2[AwayTeam], R$1)+SUMIFS(Table2[NewPointsHome],Table2[GameDate], "&lt;=" &amp; $A70, Table2[HomeTeam], R$1)</f>
        <v>5</v>
      </c>
      <c r="S70" s="145">
        <f>SUMIFS(Table2[NewPointsAway],Table2[GameDate], "&lt;=" &amp; $A70, Table2[AwayTeam], S$1)+SUMIFS(Table2[NewPointsHome],Table2[GameDate], "&lt;=" &amp; $A70, Table2[HomeTeam], S$1)</f>
        <v>0</v>
      </c>
      <c r="T70" s="145">
        <f>SUMIFS(Table2[NewPointsAway],Table2[GameDate], "&lt;=" &amp; $A70, Table2[AwayTeam], T$1)+SUMIFS(Table2[NewPointsHome],Table2[GameDate], "&lt;=" &amp; $A70, Table2[HomeTeam], T$1)</f>
        <v>4</v>
      </c>
      <c r="U70" s="145">
        <f>SUMIFS(Table2[NewPointsAway],Table2[GameDate], "&lt;=" &amp; $A70, Table2[AwayTeam], U$1)+SUMIFS(Table2[NewPointsHome],Table2[GameDate], "&lt;=" &amp; $A70, Table2[HomeTeam], U$1)</f>
        <v>2</v>
      </c>
      <c r="V70" s="145">
        <f>SUMIFS(Table2[NewPointsAway],Table2[GameDate], "&lt;=" &amp; $A70, Table2[AwayTeam], V$1)+SUMIFS(Table2[NewPointsHome],Table2[GameDate], "&lt;=" &amp; $A70, Table2[HomeTeam], V$1)</f>
        <v>3</v>
      </c>
      <c r="W70" s="145">
        <f>SUMIFS(Table2[NewPointsAway],Table2[GameDate], "&lt;=" &amp; $A70, Table2[AwayTeam], W$1)+SUMIFS(Table2[NewPointsHome],Table2[GameDate], "&lt;=" &amp; $A70, Table2[HomeTeam], W$1)</f>
        <v>4</v>
      </c>
      <c r="X70" s="145">
        <f>SUMIFS(Table2[NewPointsAway],Table2[GameDate], "&lt;=" &amp; $A70, Table2[AwayTeam], X$1)+SUMIFS(Table2[NewPointsHome],Table2[GameDate], "&lt;=" &amp; $A70, Table2[HomeTeam], X$1)</f>
        <v>4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4</v>
      </c>
      <c r="AA70" s="145">
        <f>SUMIFS(Table2[NewPointsAway],Table2[GameDate], "&lt;=" &amp; $A70, Table2[AwayTeam], AA$1)+SUMIFS(Table2[NewPointsHome],Table2[GameDate], "&lt;=" &amp; $A70, Table2[HomeTeam], AA$1)</f>
        <v>2</v>
      </c>
      <c r="AB70" s="145">
        <f>SUMIFS(Table2[NewPointsAway],Table2[GameDate], "&lt;=" &amp; $A70, Table2[AwayTeam], AB$1)+SUMIFS(Table2[NewPointsHome],Table2[GameDate], "&lt;=" &amp; $A70, Table2[HomeTeam], AB$1)</f>
        <v>2</v>
      </c>
      <c r="AC70" s="145">
        <f>SUMIFS(Table2[NewPointsAway],Table2[GameDate], "&lt;=" &amp; $A70, Table2[AwayTeam], AC$1)+SUMIFS(Table2[NewPointsHome],Table2[GameDate], "&lt;=" &amp; $A70, Table2[HomeTeam], AC$1)</f>
        <v>2</v>
      </c>
      <c r="AD70" s="145">
        <f>SUMIFS(Table2[NewPointsAway],Table2[GameDate], "&lt;=" &amp; $A70, Table2[AwayTeam], AD$1)+SUMIFS(Table2[NewPointsHome],Table2[GameDate], "&lt;=" &amp; $A70, Table2[HomeTeam], AD$1)</f>
        <v>2</v>
      </c>
      <c r="AE70" s="145">
        <f>SUMIFS(Table2[NewPointsAway],Table2[GameDate], "&lt;=" &amp; $A70, Table2[AwayTeam], AE$1)+SUMIFS(Table2[NewPointsHome],Table2[GameDate], "&lt;=" &amp; $A70, Table2[HomeTeam], AE$1)</f>
        <v>4</v>
      </c>
      <c r="AF70" s="145">
        <f>SUMIFS(Table2[NewPointsAway],Table2[GameDate], "&lt;=" &amp; $A70, Table2[AwayTeam], AF$1)+SUMIFS(Table2[NewPointsHome],Table2[GameDate], "&lt;=" &amp; $A70, Table2[HomeTeam], AF$1)</f>
        <v>4</v>
      </c>
      <c r="AG70" s="145">
        <f>SUMIFS(Table2[NewPointsAway],Table2[GameDate], "&lt;=" &amp; $A70, Table2[AwayTeam], AG$1)+SUMIFS(Table2[NewPointsHome],Table2[GameDate], "&lt;=" &amp; $A70, Table2[HomeTeam], AG$1)</f>
        <v>4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2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0</v>
      </c>
      <c r="E71" s="145">
        <f>SUMIFS(Table2[NewPointsAway],Table2[GameDate], "&lt;=" &amp; $A71, Table2[AwayTeam], E$1)+SUMIFS(Table2[NewPointsHome],Table2[GameDate], "&lt;=" &amp; $A71, Table2[HomeTeam], E$1)</f>
        <v>4</v>
      </c>
      <c r="F71" s="145">
        <f>SUMIFS(Table2[NewPointsAway],Table2[GameDate], "&lt;=" &amp; $A71, Table2[AwayTeam], F$1)+SUMIFS(Table2[NewPointsHome],Table2[GameDate], "&lt;=" &amp; $A71, Table2[HomeTeam], F$1)</f>
        <v>2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3</v>
      </c>
      <c r="I71" s="145">
        <f>SUMIFS(Table2[NewPointsAway],Table2[GameDate], "&lt;=" &amp; $A71, Table2[AwayTeam], I$1)+SUMIFS(Table2[NewPointsHome],Table2[GameDate], "&lt;=" &amp; $A71, Table2[HomeTeam], I$1)</f>
        <v>7</v>
      </c>
      <c r="J71" s="145">
        <f>SUMIFS(Table2[NewPointsAway],Table2[GameDate], "&lt;=" &amp; $A71, Table2[AwayTeam], J$1)+SUMIFS(Table2[NewPointsHome],Table2[GameDate], "&lt;=" &amp; $A71, Table2[HomeTeam], J$1)</f>
        <v>4</v>
      </c>
      <c r="K71" s="145">
        <f>SUMIFS(Table2[NewPointsAway],Table2[GameDate], "&lt;=" &amp; $A71, Table2[AwayTeam], K$1)+SUMIFS(Table2[NewPointsHome],Table2[GameDate], "&lt;=" &amp; $A71, Table2[HomeTeam], K$1)</f>
        <v>4</v>
      </c>
      <c r="L71" s="145">
        <f>SUMIFS(Table2[NewPointsAway],Table2[GameDate], "&lt;=" &amp; $A71, Table2[AwayTeam], L$1)+SUMIFS(Table2[NewPointsHome],Table2[GameDate], "&lt;=" &amp; $A71, Table2[HomeTeam], L$1)</f>
        <v>3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3</v>
      </c>
      <c r="O71" s="145">
        <f>SUMIFS(Table2[NewPointsAway],Table2[GameDate], "&lt;=" &amp; $A71, Table2[AwayTeam], O$1)+SUMIFS(Table2[NewPointsHome],Table2[GameDate], "&lt;=" &amp; $A71, Table2[HomeTeam], O$1)</f>
        <v>4</v>
      </c>
      <c r="P71" s="145">
        <f>SUMIFS(Table2[NewPointsAway],Table2[GameDate], "&lt;=" &amp; $A71, Table2[AwayTeam], P$1)+SUMIFS(Table2[NewPointsHome],Table2[GameDate], "&lt;=" &amp; $A71, Table2[HomeTeam], P$1)</f>
        <v>4</v>
      </c>
      <c r="Q71" s="145">
        <f>SUMIFS(Table2[NewPointsAway],Table2[GameDate], "&lt;=" &amp; $A71, Table2[AwayTeam], Q$1)+SUMIFS(Table2[NewPointsHome],Table2[GameDate], "&lt;=" &amp; $A71, Table2[HomeTeam], Q$1)</f>
        <v>4</v>
      </c>
      <c r="R71" s="145">
        <f>SUMIFS(Table2[NewPointsAway],Table2[GameDate], "&lt;=" &amp; $A71, Table2[AwayTeam], R$1)+SUMIFS(Table2[NewPointsHome],Table2[GameDate], "&lt;=" &amp; $A71, Table2[HomeTeam], R$1)</f>
        <v>5</v>
      </c>
      <c r="S71" s="145">
        <f>SUMIFS(Table2[NewPointsAway],Table2[GameDate], "&lt;=" &amp; $A71, Table2[AwayTeam], S$1)+SUMIFS(Table2[NewPointsHome],Table2[GameDate], "&lt;=" &amp; $A71, Table2[HomeTeam], S$1)</f>
        <v>0</v>
      </c>
      <c r="T71" s="145">
        <f>SUMIFS(Table2[NewPointsAway],Table2[GameDate], "&lt;=" &amp; $A71, Table2[AwayTeam], T$1)+SUMIFS(Table2[NewPointsHome],Table2[GameDate], "&lt;=" &amp; $A71, Table2[HomeTeam], T$1)</f>
        <v>4</v>
      </c>
      <c r="U71" s="145">
        <f>SUMIFS(Table2[NewPointsAway],Table2[GameDate], "&lt;=" &amp; $A71, Table2[AwayTeam], U$1)+SUMIFS(Table2[NewPointsHome],Table2[GameDate], "&lt;=" &amp; $A71, Table2[HomeTeam], U$1)</f>
        <v>2</v>
      </c>
      <c r="V71" s="145">
        <f>SUMIFS(Table2[NewPointsAway],Table2[GameDate], "&lt;=" &amp; $A71, Table2[AwayTeam], V$1)+SUMIFS(Table2[NewPointsHome],Table2[GameDate], "&lt;=" &amp; $A71, Table2[HomeTeam], V$1)</f>
        <v>3</v>
      </c>
      <c r="W71" s="145">
        <f>SUMIFS(Table2[NewPointsAway],Table2[GameDate], "&lt;=" &amp; $A71, Table2[AwayTeam], W$1)+SUMIFS(Table2[NewPointsHome],Table2[GameDate], "&lt;=" &amp; $A71, Table2[HomeTeam], W$1)</f>
        <v>4</v>
      </c>
      <c r="X71" s="145">
        <f>SUMIFS(Table2[NewPointsAway],Table2[GameDate], "&lt;=" &amp; $A71, Table2[AwayTeam], X$1)+SUMIFS(Table2[NewPointsHome],Table2[GameDate], "&lt;=" &amp; $A71, Table2[HomeTeam], X$1)</f>
        <v>4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4</v>
      </c>
      <c r="AA71" s="145">
        <f>SUMIFS(Table2[NewPointsAway],Table2[GameDate], "&lt;=" &amp; $A71, Table2[AwayTeam], AA$1)+SUMIFS(Table2[NewPointsHome],Table2[GameDate], "&lt;=" &amp; $A71, Table2[HomeTeam], AA$1)</f>
        <v>2</v>
      </c>
      <c r="AB71" s="145">
        <f>SUMIFS(Table2[NewPointsAway],Table2[GameDate], "&lt;=" &amp; $A71, Table2[AwayTeam], AB$1)+SUMIFS(Table2[NewPointsHome],Table2[GameDate], "&lt;=" &amp; $A71, Table2[HomeTeam], AB$1)</f>
        <v>2</v>
      </c>
      <c r="AC71" s="145">
        <f>SUMIFS(Table2[NewPointsAway],Table2[GameDate], "&lt;=" &amp; $A71, Table2[AwayTeam], AC$1)+SUMIFS(Table2[NewPointsHome],Table2[GameDate], "&lt;=" &amp; $A71, Table2[HomeTeam], AC$1)</f>
        <v>2</v>
      </c>
      <c r="AD71" s="145">
        <f>SUMIFS(Table2[NewPointsAway],Table2[GameDate], "&lt;=" &amp; $A71, Table2[AwayTeam], AD$1)+SUMIFS(Table2[NewPointsHome],Table2[GameDate], "&lt;=" &amp; $A71, Table2[HomeTeam], AD$1)</f>
        <v>2</v>
      </c>
      <c r="AE71" s="145">
        <f>SUMIFS(Table2[NewPointsAway],Table2[GameDate], "&lt;=" &amp; $A71, Table2[AwayTeam], AE$1)+SUMIFS(Table2[NewPointsHome],Table2[GameDate], "&lt;=" &amp; $A71, Table2[HomeTeam], AE$1)</f>
        <v>4</v>
      </c>
      <c r="AF71" s="145">
        <f>SUMIFS(Table2[NewPointsAway],Table2[GameDate], "&lt;=" &amp; $A71, Table2[AwayTeam], AF$1)+SUMIFS(Table2[NewPointsHome],Table2[GameDate], "&lt;=" &amp; $A71, Table2[HomeTeam], AF$1)</f>
        <v>4</v>
      </c>
      <c r="AG71" s="145">
        <f>SUMIFS(Table2[NewPointsAway],Table2[GameDate], "&lt;=" &amp; $A71, Table2[AwayTeam], AG$1)+SUMIFS(Table2[NewPointsHome],Table2[GameDate], "&lt;=" &amp; $A71, Table2[HomeTeam], AG$1)</f>
        <v>4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2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0</v>
      </c>
      <c r="E72" s="145">
        <f>SUMIFS(Table2[NewPointsAway],Table2[GameDate], "&lt;=" &amp; $A72, Table2[AwayTeam], E$1)+SUMIFS(Table2[NewPointsHome],Table2[GameDate], "&lt;=" &amp; $A72, Table2[HomeTeam], E$1)</f>
        <v>4</v>
      </c>
      <c r="F72" s="145">
        <f>SUMIFS(Table2[NewPointsAway],Table2[GameDate], "&lt;=" &amp; $A72, Table2[AwayTeam], F$1)+SUMIFS(Table2[NewPointsHome],Table2[GameDate], "&lt;=" &amp; $A72, Table2[HomeTeam], F$1)</f>
        <v>2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3</v>
      </c>
      <c r="I72" s="145">
        <f>SUMIFS(Table2[NewPointsAway],Table2[GameDate], "&lt;=" &amp; $A72, Table2[AwayTeam], I$1)+SUMIFS(Table2[NewPointsHome],Table2[GameDate], "&lt;=" &amp; $A72, Table2[HomeTeam], I$1)</f>
        <v>7</v>
      </c>
      <c r="J72" s="145">
        <f>SUMIFS(Table2[NewPointsAway],Table2[GameDate], "&lt;=" &amp; $A72, Table2[AwayTeam], J$1)+SUMIFS(Table2[NewPointsHome],Table2[GameDate], "&lt;=" &amp; $A72, Table2[HomeTeam], J$1)</f>
        <v>4</v>
      </c>
      <c r="K72" s="145">
        <f>SUMIFS(Table2[NewPointsAway],Table2[GameDate], "&lt;=" &amp; $A72, Table2[AwayTeam], K$1)+SUMIFS(Table2[NewPointsHome],Table2[GameDate], "&lt;=" &amp; $A72, Table2[HomeTeam], K$1)</f>
        <v>4</v>
      </c>
      <c r="L72" s="145">
        <f>SUMIFS(Table2[NewPointsAway],Table2[GameDate], "&lt;=" &amp; $A72, Table2[AwayTeam], L$1)+SUMIFS(Table2[NewPointsHome],Table2[GameDate], "&lt;=" &amp; $A72, Table2[HomeTeam], L$1)</f>
        <v>3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3</v>
      </c>
      <c r="O72" s="145">
        <f>SUMIFS(Table2[NewPointsAway],Table2[GameDate], "&lt;=" &amp; $A72, Table2[AwayTeam], O$1)+SUMIFS(Table2[NewPointsHome],Table2[GameDate], "&lt;=" &amp; $A72, Table2[HomeTeam], O$1)</f>
        <v>4</v>
      </c>
      <c r="P72" s="145">
        <f>SUMIFS(Table2[NewPointsAway],Table2[GameDate], "&lt;=" &amp; $A72, Table2[AwayTeam], P$1)+SUMIFS(Table2[NewPointsHome],Table2[GameDate], "&lt;=" &amp; $A72, Table2[HomeTeam], P$1)</f>
        <v>4</v>
      </c>
      <c r="Q72" s="145">
        <f>SUMIFS(Table2[NewPointsAway],Table2[GameDate], "&lt;=" &amp; $A72, Table2[AwayTeam], Q$1)+SUMIFS(Table2[NewPointsHome],Table2[GameDate], "&lt;=" &amp; $A72, Table2[HomeTeam], Q$1)</f>
        <v>4</v>
      </c>
      <c r="R72" s="145">
        <f>SUMIFS(Table2[NewPointsAway],Table2[GameDate], "&lt;=" &amp; $A72, Table2[AwayTeam], R$1)+SUMIFS(Table2[NewPointsHome],Table2[GameDate], "&lt;=" &amp; $A72, Table2[HomeTeam], R$1)</f>
        <v>5</v>
      </c>
      <c r="S72" s="145">
        <f>SUMIFS(Table2[NewPointsAway],Table2[GameDate], "&lt;=" &amp; $A72, Table2[AwayTeam], S$1)+SUMIFS(Table2[NewPointsHome],Table2[GameDate], "&lt;=" &amp; $A72, Table2[HomeTeam], S$1)</f>
        <v>0</v>
      </c>
      <c r="T72" s="145">
        <f>SUMIFS(Table2[NewPointsAway],Table2[GameDate], "&lt;=" &amp; $A72, Table2[AwayTeam], T$1)+SUMIFS(Table2[NewPointsHome],Table2[GameDate], "&lt;=" &amp; $A72, Table2[HomeTeam], T$1)</f>
        <v>4</v>
      </c>
      <c r="U72" s="145">
        <f>SUMIFS(Table2[NewPointsAway],Table2[GameDate], "&lt;=" &amp; $A72, Table2[AwayTeam], U$1)+SUMIFS(Table2[NewPointsHome],Table2[GameDate], "&lt;=" &amp; $A72, Table2[HomeTeam], U$1)</f>
        <v>2</v>
      </c>
      <c r="V72" s="145">
        <f>SUMIFS(Table2[NewPointsAway],Table2[GameDate], "&lt;=" &amp; $A72, Table2[AwayTeam], V$1)+SUMIFS(Table2[NewPointsHome],Table2[GameDate], "&lt;=" &amp; $A72, Table2[HomeTeam], V$1)</f>
        <v>3</v>
      </c>
      <c r="W72" s="145">
        <f>SUMIFS(Table2[NewPointsAway],Table2[GameDate], "&lt;=" &amp; $A72, Table2[AwayTeam], W$1)+SUMIFS(Table2[NewPointsHome],Table2[GameDate], "&lt;=" &amp; $A72, Table2[HomeTeam], W$1)</f>
        <v>4</v>
      </c>
      <c r="X72" s="145">
        <f>SUMIFS(Table2[NewPointsAway],Table2[GameDate], "&lt;=" &amp; $A72, Table2[AwayTeam], X$1)+SUMIFS(Table2[NewPointsHome],Table2[GameDate], "&lt;=" &amp; $A72, Table2[HomeTeam], X$1)</f>
        <v>4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4</v>
      </c>
      <c r="AA72" s="145">
        <f>SUMIFS(Table2[NewPointsAway],Table2[GameDate], "&lt;=" &amp; $A72, Table2[AwayTeam], AA$1)+SUMIFS(Table2[NewPointsHome],Table2[GameDate], "&lt;=" &amp; $A72, Table2[HomeTeam], AA$1)</f>
        <v>2</v>
      </c>
      <c r="AB72" s="145">
        <f>SUMIFS(Table2[NewPointsAway],Table2[GameDate], "&lt;=" &amp; $A72, Table2[AwayTeam], AB$1)+SUMIFS(Table2[NewPointsHome],Table2[GameDate], "&lt;=" &amp; $A72, Table2[HomeTeam], AB$1)</f>
        <v>2</v>
      </c>
      <c r="AC72" s="145">
        <f>SUMIFS(Table2[NewPointsAway],Table2[GameDate], "&lt;=" &amp; $A72, Table2[AwayTeam], AC$1)+SUMIFS(Table2[NewPointsHome],Table2[GameDate], "&lt;=" &amp; $A72, Table2[HomeTeam], AC$1)</f>
        <v>2</v>
      </c>
      <c r="AD72" s="145">
        <f>SUMIFS(Table2[NewPointsAway],Table2[GameDate], "&lt;=" &amp; $A72, Table2[AwayTeam], AD$1)+SUMIFS(Table2[NewPointsHome],Table2[GameDate], "&lt;=" &amp; $A72, Table2[HomeTeam], AD$1)</f>
        <v>2</v>
      </c>
      <c r="AE72" s="145">
        <f>SUMIFS(Table2[NewPointsAway],Table2[GameDate], "&lt;=" &amp; $A72, Table2[AwayTeam], AE$1)+SUMIFS(Table2[NewPointsHome],Table2[GameDate], "&lt;=" &amp; $A72, Table2[HomeTeam], AE$1)</f>
        <v>4</v>
      </c>
      <c r="AF72" s="145">
        <f>SUMIFS(Table2[NewPointsAway],Table2[GameDate], "&lt;=" &amp; $A72, Table2[AwayTeam], AF$1)+SUMIFS(Table2[NewPointsHome],Table2[GameDate], "&lt;=" &amp; $A72, Table2[HomeTeam], AF$1)</f>
        <v>4</v>
      </c>
      <c r="AG72" s="145">
        <f>SUMIFS(Table2[NewPointsAway],Table2[GameDate], "&lt;=" &amp; $A72, Table2[AwayTeam], AG$1)+SUMIFS(Table2[NewPointsHome],Table2[GameDate], "&lt;=" &amp; $A72, Table2[HomeTeam], AG$1)</f>
        <v>4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2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0</v>
      </c>
      <c r="E73" s="145">
        <f>SUMIFS(Table2[NewPointsAway],Table2[GameDate], "&lt;=" &amp; $A73, Table2[AwayTeam], E$1)+SUMIFS(Table2[NewPointsHome],Table2[GameDate], "&lt;=" &amp; $A73, Table2[HomeTeam], E$1)</f>
        <v>4</v>
      </c>
      <c r="F73" s="145">
        <f>SUMIFS(Table2[NewPointsAway],Table2[GameDate], "&lt;=" &amp; $A73, Table2[AwayTeam], F$1)+SUMIFS(Table2[NewPointsHome],Table2[GameDate], "&lt;=" &amp; $A73, Table2[HomeTeam], F$1)</f>
        <v>2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3</v>
      </c>
      <c r="I73" s="145">
        <f>SUMIFS(Table2[NewPointsAway],Table2[GameDate], "&lt;=" &amp; $A73, Table2[AwayTeam], I$1)+SUMIFS(Table2[NewPointsHome],Table2[GameDate], "&lt;=" &amp; $A73, Table2[HomeTeam], I$1)</f>
        <v>7</v>
      </c>
      <c r="J73" s="145">
        <f>SUMIFS(Table2[NewPointsAway],Table2[GameDate], "&lt;=" &amp; $A73, Table2[AwayTeam], J$1)+SUMIFS(Table2[NewPointsHome],Table2[GameDate], "&lt;=" &amp; $A73, Table2[HomeTeam], J$1)</f>
        <v>4</v>
      </c>
      <c r="K73" s="145">
        <f>SUMIFS(Table2[NewPointsAway],Table2[GameDate], "&lt;=" &amp; $A73, Table2[AwayTeam], K$1)+SUMIFS(Table2[NewPointsHome],Table2[GameDate], "&lt;=" &amp; $A73, Table2[HomeTeam], K$1)</f>
        <v>4</v>
      </c>
      <c r="L73" s="145">
        <f>SUMIFS(Table2[NewPointsAway],Table2[GameDate], "&lt;=" &amp; $A73, Table2[AwayTeam], L$1)+SUMIFS(Table2[NewPointsHome],Table2[GameDate], "&lt;=" &amp; $A73, Table2[HomeTeam], L$1)</f>
        <v>3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3</v>
      </c>
      <c r="O73" s="145">
        <f>SUMIFS(Table2[NewPointsAway],Table2[GameDate], "&lt;=" &amp; $A73, Table2[AwayTeam], O$1)+SUMIFS(Table2[NewPointsHome],Table2[GameDate], "&lt;=" &amp; $A73, Table2[HomeTeam], O$1)</f>
        <v>4</v>
      </c>
      <c r="P73" s="145">
        <f>SUMIFS(Table2[NewPointsAway],Table2[GameDate], "&lt;=" &amp; $A73, Table2[AwayTeam], P$1)+SUMIFS(Table2[NewPointsHome],Table2[GameDate], "&lt;=" &amp; $A73, Table2[HomeTeam], P$1)</f>
        <v>4</v>
      </c>
      <c r="Q73" s="145">
        <f>SUMIFS(Table2[NewPointsAway],Table2[GameDate], "&lt;=" &amp; $A73, Table2[AwayTeam], Q$1)+SUMIFS(Table2[NewPointsHome],Table2[GameDate], "&lt;=" &amp; $A73, Table2[HomeTeam], Q$1)</f>
        <v>4</v>
      </c>
      <c r="R73" s="145">
        <f>SUMIFS(Table2[NewPointsAway],Table2[GameDate], "&lt;=" &amp; $A73, Table2[AwayTeam], R$1)+SUMIFS(Table2[NewPointsHome],Table2[GameDate], "&lt;=" &amp; $A73, Table2[HomeTeam], R$1)</f>
        <v>5</v>
      </c>
      <c r="S73" s="145">
        <f>SUMIFS(Table2[NewPointsAway],Table2[GameDate], "&lt;=" &amp; $A73, Table2[AwayTeam], S$1)+SUMIFS(Table2[NewPointsHome],Table2[GameDate], "&lt;=" &amp; $A73, Table2[HomeTeam], S$1)</f>
        <v>0</v>
      </c>
      <c r="T73" s="145">
        <f>SUMIFS(Table2[NewPointsAway],Table2[GameDate], "&lt;=" &amp; $A73, Table2[AwayTeam], T$1)+SUMIFS(Table2[NewPointsHome],Table2[GameDate], "&lt;=" &amp; $A73, Table2[HomeTeam], T$1)</f>
        <v>4</v>
      </c>
      <c r="U73" s="145">
        <f>SUMIFS(Table2[NewPointsAway],Table2[GameDate], "&lt;=" &amp; $A73, Table2[AwayTeam], U$1)+SUMIFS(Table2[NewPointsHome],Table2[GameDate], "&lt;=" &amp; $A73, Table2[HomeTeam], U$1)</f>
        <v>2</v>
      </c>
      <c r="V73" s="145">
        <f>SUMIFS(Table2[NewPointsAway],Table2[GameDate], "&lt;=" &amp; $A73, Table2[AwayTeam], V$1)+SUMIFS(Table2[NewPointsHome],Table2[GameDate], "&lt;=" &amp; $A73, Table2[HomeTeam], V$1)</f>
        <v>3</v>
      </c>
      <c r="W73" s="145">
        <f>SUMIFS(Table2[NewPointsAway],Table2[GameDate], "&lt;=" &amp; $A73, Table2[AwayTeam], W$1)+SUMIFS(Table2[NewPointsHome],Table2[GameDate], "&lt;=" &amp; $A73, Table2[HomeTeam], W$1)</f>
        <v>4</v>
      </c>
      <c r="X73" s="145">
        <f>SUMIFS(Table2[NewPointsAway],Table2[GameDate], "&lt;=" &amp; $A73, Table2[AwayTeam], X$1)+SUMIFS(Table2[NewPointsHome],Table2[GameDate], "&lt;=" &amp; $A73, Table2[HomeTeam], X$1)</f>
        <v>4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4</v>
      </c>
      <c r="AA73" s="145">
        <f>SUMIFS(Table2[NewPointsAway],Table2[GameDate], "&lt;=" &amp; $A73, Table2[AwayTeam], AA$1)+SUMIFS(Table2[NewPointsHome],Table2[GameDate], "&lt;=" &amp; $A73, Table2[HomeTeam], AA$1)</f>
        <v>2</v>
      </c>
      <c r="AB73" s="145">
        <f>SUMIFS(Table2[NewPointsAway],Table2[GameDate], "&lt;=" &amp; $A73, Table2[AwayTeam], AB$1)+SUMIFS(Table2[NewPointsHome],Table2[GameDate], "&lt;=" &amp; $A73, Table2[HomeTeam], AB$1)</f>
        <v>2</v>
      </c>
      <c r="AC73" s="145">
        <f>SUMIFS(Table2[NewPointsAway],Table2[GameDate], "&lt;=" &amp; $A73, Table2[AwayTeam], AC$1)+SUMIFS(Table2[NewPointsHome],Table2[GameDate], "&lt;=" &amp; $A73, Table2[HomeTeam], AC$1)</f>
        <v>2</v>
      </c>
      <c r="AD73" s="145">
        <f>SUMIFS(Table2[NewPointsAway],Table2[GameDate], "&lt;=" &amp; $A73, Table2[AwayTeam], AD$1)+SUMIFS(Table2[NewPointsHome],Table2[GameDate], "&lt;=" &amp; $A73, Table2[HomeTeam], AD$1)</f>
        <v>2</v>
      </c>
      <c r="AE73" s="145">
        <f>SUMIFS(Table2[NewPointsAway],Table2[GameDate], "&lt;=" &amp; $A73, Table2[AwayTeam], AE$1)+SUMIFS(Table2[NewPointsHome],Table2[GameDate], "&lt;=" &amp; $A73, Table2[HomeTeam], AE$1)</f>
        <v>4</v>
      </c>
      <c r="AF73" s="145">
        <f>SUMIFS(Table2[NewPointsAway],Table2[GameDate], "&lt;=" &amp; $A73, Table2[AwayTeam], AF$1)+SUMIFS(Table2[NewPointsHome],Table2[GameDate], "&lt;=" &amp; $A73, Table2[HomeTeam], AF$1)</f>
        <v>4</v>
      </c>
      <c r="AG73" s="145">
        <f>SUMIFS(Table2[NewPointsAway],Table2[GameDate], "&lt;=" &amp; $A73, Table2[AwayTeam], AG$1)+SUMIFS(Table2[NewPointsHome],Table2[GameDate], "&lt;=" &amp; $A73, Table2[HomeTeam], AG$1)</f>
        <v>4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2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0</v>
      </c>
      <c r="E74" s="145">
        <f>SUMIFS(Table2[NewPointsAway],Table2[GameDate], "&lt;=" &amp; $A74, Table2[AwayTeam], E$1)+SUMIFS(Table2[NewPointsHome],Table2[GameDate], "&lt;=" &amp; $A74, Table2[HomeTeam], E$1)</f>
        <v>4</v>
      </c>
      <c r="F74" s="145">
        <f>SUMIFS(Table2[NewPointsAway],Table2[GameDate], "&lt;=" &amp; $A74, Table2[AwayTeam], F$1)+SUMIFS(Table2[NewPointsHome],Table2[GameDate], "&lt;=" &amp; $A74, Table2[HomeTeam], F$1)</f>
        <v>2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3</v>
      </c>
      <c r="I74" s="145">
        <f>SUMIFS(Table2[NewPointsAway],Table2[GameDate], "&lt;=" &amp; $A74, Table2[AwayTeam], I$1)+SUMIFS(Table2[NewPointsHome],Table2[GameDate], "&lt;=" &amp; $A74, Table2[HomeTeam], I$1)</f>
        <v>7</v>
      </c>
      <c r="J74" s="145">
        <f>SUMIFS(Table2[NewPointsAway],Table2[GameDate], "&lt;=" &amp; $A74, Table2[AwayTeam], J$1)+SUMIFS(Table2[NewPointsHome],Table2[GameDate], "&lt;=" &amp; $A74, Table2[HomeTeam], J$1)</f>
        <v>4</v>
      </c>
      <c r="K74" s="145">
        <f>SUMIFS(Table2[NewPointsAway],Table2[GameDate], "&lt;=" &amp; $A74, Table2[AwayTeam], K$1)+SUMIFS(Table2[NewPointsHome],Table2[GameDate], "&lt;=" &amp; $A74, Table2[HomeTeam], K$1)</f>
        <v>4</v>
      </c>
      <c r="L74" s="145">
        <f>SUMIFS(Table2[NewPointsAway],Table2[GameDate], "&lt;=" &amp; $A74, Table2[AwayTeam], L$1)+SUMIFS(Table2[NewPointsHome],Table2[GameDate], "&lt;=" &amp; $A74, Table2[HomeTeam], L$1)</f>
        <v>3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3</v>
      </c>
      <c r="O74" s="145">
        <f>SUMIFS(Table2[NewPointsAway],Table2[GameDate], "&lt;=" &amp; $A74, Table2[AwayTeam], O$1)+SUMIFS(Table2[NewPointsHome],Table2[GameDate], "&lt;=" &amp; $A74, Table2[HomeTeam], O$1)</f>
        <v>4</v>
      </c>
      <c r="P74" s="145">
        <f>SUMIFS(Table2[NewPointsAway],Table2[GameDate], "&lt;=" &amp; $A74, Table2[AwayTeam], P$1)+SUMIFS(Table2[NewPointsHome],Table2[GameDate], "&lt;=" &amp; $A74, Table2[HomeTeam], P$1)</f>
        <v>4</v>
      </c>
      <c r="Q74" s="145">
        <f>SUMIFS(Table2[NewPointsAway],Table2[GameDate], "&lt;=" &amp; $A74, Table2[AwayTeam], Q$1)+SUMIFS(Table2[NewPointsHome],Table2[GameDate], "&lt;=" &amp; $A74, Table2[HomeTeam], Q$1)</f>
        <v>4</v>
      </c>
      <c r="R74" s="145">
        <f>SUMIFS(Table2[NewPointsAway],Table2[GameDate], "&lt;=" &amp; $A74, Table2[AwayTeam], R$1)+SUMIFS(Table2[NewPointsHome],Table2[GameDate], "&lt;=" &amp; $A74, Table2[HomeTeam], R$1)</f>
        <v>5</v>
      </c>
      <c r="S74" s="145">
        <f>SUMIFS(Table2[NewPointsAway],Table2[GameDate], "&lt;=" &amp; $A74, Table2[AwayTeam], S$1)+SUMIFS(Table2[NewPointsHome],Table2[GameDate], "&lt;=" &amp; $A74, Table2[HomeTeam], S$1)</f>
        <v>0</v>
      </c>
      <c r="T74" s="145">
        <f>SUMIFS(Table2[NewPointsAway],Table2[GameDate], "&lt;=" &amp; $A74, Table2[AwayTeam], T$1)+SUMIFS(Table2[NewPointsHome],Table2[GameDate], "&lt;=" &amp; $A74, Table2[HomeTeam], T$1)</f>
        <v>4</v>
      </c>
      <c r="U74" s="145">
        <f>SUMIFS(Table2[NewPointsAway],Table2[GameDate], "&lt;=" &amp; $A74, Table2[AwayTeam], U$1)+SUMIFS(Table2[NewPointsHome],Table2[GameDate], "&lt;=" &amp; $A74, Table2[HomeTeam], U$1)</f>
        <v>2</v>
      </c>
      <c r="V74" s="145">
        <f>SUMIFS(Table2[NewPointsAway],Table2[GameDate], "&lt;=" &amp; $A74, Table2[AwayTeam], V$1)+SUMIFS(Table2[NewPointsHome],Table2[GameDate], "&lt;=" &amp; $A74, Table2[HomeTeam], V$1)</f>
        <v>3</v>
      </c>
      <c r="W74" s="145">
        <f>SUMIFS(Table2[NewPointsAway],Table2[GameDate], "&lt;=" &amp; $A74, Table2[AwayTeam], W$1)+SUMIFS(Table2[NewPointsHome],Table2[GameDate], "&lt;=" &amp; $A74, Table2[HomeTeam], W$1)</f>
        <v>4</v>
      </c>
      <c r="X74" s="145">
        <f>SUMIFS(Table2[NewPointsAway],Table2[GameDate], "&lt;=" &amp; $A74, Table2[AwayTeam], X$1)+SUMIFS(Table2[NewPointsHome],Table2[GameDate], "&lt;=" &amp; $A74, Table2[HomeTeam], X$1)</f>
        <v>4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4</v>
      </c>
      <c r="AA74" s="145">
        <f>SUMIFS(Table2[NewPointsAway],Table2[GameDate], "&lt;=" &amp; $A74, Table2[AwayTeam], AA$1)+SUMIFS(Table2[NewPointsHome],Table2[GameDate], "&lt;=" &amp; $A74, Table2[HomeTeam], AA$1)</f>
        <v>2</v>
      </c>
      <c r="AB74" s="145">
        <f>SUMIFS(Table2[NewPointsAway],Table2[GameDate], "&lt;=" &amp; $A74, Table2[AwayTeam], AB$1)+SUMIFS(Table2[NewPointsHome],Table2[GameDate], "&lt;=" &amp; $A74, Table2[HomeTeam], AB$1)</f>
        <v>2</v>
      </c>
      <c r="AC74" s="145">
        <f>SUMIFS(Table2[NewPointsAway],Table2[GameDate], "&lt;=" &amp; $A74, Table2[AwayTeam], AC$1)+SUMIFS(Table2[NewPointsHome],Table2[GameDate], "&lt;=" &amp; $A74, Table2[HomeTeam], AC$1)</f>
        <v>2</v>
      </c>
      <c r="AD74" s="145">
        <f>SUMIFS(Table2[NewPointsAway],Table2[GameDate], "&lt;=" &amp; $A74, Table2[AwayTeam], AD$1)+SUMIFS(Table2[NewPointsHome],Table2[GameDate], "&lt;=" &amp; $A74, Table2[HomeTeam], AD$1)</f>
        <v>2</v>
      </c>
      <c r="AE74" s="145">
        <f>SUMIFS(Table2[NewPointsAway],Table2[GameDate], "&lt;=" &amp; $A74, Table2[AwayTeam], AE$1)+SUMIFS(Table2[NewPointsHome],Table2[GameDate], "&lt;=" &amp; $A74, Table2[HomeTeam], AE$1)</f>
        <v>4</v>
      </c>
      <c r="AF74" s="145">
        <f>SUMIFS(Table2[NewPointsAway],Table2[GameDate], "&lt;=" &amp; $A74, Table2[AwayTeam], AF$1)+SUMIFS(Table2[NewPointsHome],Table2[GameDate], "&lt;=" &amp; $A74, Table2[HomeTeam], AF$1)</f>
        <v>4</v>
      </c>
      <c r="AG74" s="145">
        <f>SUMIFS(Table2[NewPointsAway],Table2[GameDate], "&lt;=" &amp; $A74, Table2[AwayTeam], AG$1)+SUMIFS(Table2[NewPointsHome],Table2[GameDate], "&lt;=" &amp; $A74, Table2[HomeTeam], AG$1)</f>
        <v>4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2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0</v>
      </c>
      <c r="E75" s="145">
        <f>SUMIFS(Table2[NewPointsAway],Table2[GameDate], "&lt;=" &amp; $A75, Table2[AwayTeam], E$1)+SUMIFS(Table2[NewPointsHome],Table2[GameDate], "&lt;=" &amp; $A75, Table2[HomeTeam], E$1)</f>
        <v>4</v>
      </c>
      <c r="F75" s="145">
        <f>SUMIFS(Table2[NewPointsAway],Table2[GameDate], "&lt;=" &amp; $A75, Table2[AwayTeam], F$1)+SUMIFS(Table2[NewPointsHome],Table2[GameDate], "&lt;=" &amp; $A75, Table2[HomeTeam], F$1)</f>
        <v>2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3</v>
      </c>
      <c r="I75" s="145">
        <f>SUMIFS(Table2[NewPointsAway],Table2[GameDate], "&lt;=" &amp; $A75, Table2[AwayTeam], I$1)+SUMIFS(Table2[NewPointsHome],Table2[GameDate], "&lt;=" &amp; $A75, Table2[HomeTeam], I$1)</f>
        <v>7</v>
      </c>
      <c r="J75" s="145">
        <f>SUMIFS(Table2[NewPointsAway],Table2[GameDate], "&lt;=" &amp; $A75, Table2[AwayTeam], J$1)+SUMIFS(Table2[NewPointsHome],Table2[GameDate], "&lt;=" &amp; $A75, Table2[HomeTeam], J$1)</f>
        <v>4</v>
      </c>
      <c r="K75" s="145">
        <f>SUMIFS(Table2[NewPointsAway],Table2[GameDate], "&lt;=" &amp; $A75, Table2[AwayTeam], K$1)+SUMIFS(Table2[NewPointsHome],Table2[GameDate], "&lt;=" &amp; $A75, Table2[HomeTeam], K$1)</f>
        <v>4</v>
      </c>
      <c r="L75" s="145">
        <f>SUMIFS(Table2[NewPointsAway],Table2[GameDate], "&lt;=" &amp; $A75, Table2[AwayTeam], L$1)+SUMIFS(Table2[NewPointsHome],Table2[GameDate], "&lt;=" &amp; $A75, Table2[HomeTeam], L$1)</f>
        <v>3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3</v>
      </c>
      <c r="O75" s="145">
        <f>SUMIFS(Table2[NewPointsAway],Table2[GameDate], "&lt;=" &amp; $A75, Table2[AwayTeam], O$1)+SUMIFS(Table2[NewPointsHome],Table2[GameDate], "&lt;=" &amp; $A75, Table2[HomeTeam], O$1)</f>
        <v>4</v>
      </c>
      <c r="P75" s="145">
        <f>SUMIFS(Table2[NewPointsAway],Table2[GameDate], "&lt;=" &amp; $A75, Table2[AwayTeam], P$1)+SUMIFS(Table2[NewPointsHome],Table2[GameDate], "&lt;=" &amp; $A75, Table2[HomeTeam], P$1)</f>
        <v>4</v>
      </c>
      <c r="Q75" s="145">
        <f>SUMIFS(Table2[NewPointsAway],Table2[GameDate], "&lt;=" &amp; $A75, Table2[AwayTeam], Q$1)+SUMIFS(Table2[NewPointsHome],Table2[GameDate], "&lt;=" &amp; $A75, Table2[HomeTeam], Q$1)</f>
        <v>4</v>
      </c>
      <c r="R75" s="145">
        <f>SUMIFS(Table2[NewPointsAway],Table2[GameDate], "&lt;=" &amp; $A75, Table2[AwayTeam], R$1)+SUMIFS(Table2[NewPointsHome],Table2[GameDate], "&lt;=" &amp; $A75, Table2[HomeTeam], R$1)</f>
        <v>5</v>
      </c>
      <c r="S75" s="145">
        <f>SUMIFS(Table2[NewPointsAway],Table2[GameDate], "&lt;=" &amp; $A75, Table2[AwayTeam], S$1)+SUMIFS(Table2[NewPointsHome],Table2[GameDate], "&lt;=" &amp; $A75, Table2[HomeTeam], S$1)</f>
        <v>0</v>
      </c>
      <c r="T75" s="145">
        <f>SUMIFS(Table2[NewPointsAway],Table2[GameDate], "&lt;=" &amp; $A75, Table2[AwayTeam], T$1)+SUMIFS(Table2[NewPointsHome],Table2[GameDate], "&lt;=" &amp; $A75, Table2[HomeTeam], T$1)</f>
        <v>4</v>
      </c>
      <c r="U75" s="145">
        <f>SUMIFS(Table2[NewPointsAway],Table2[GameDate], "&lt;=" &amp; $A75, Table2[AwayTeam], U$1)+SUMIFS(Table2[NewPointsHome],Table2[GameDate], "&lt;=" &amp; $A75, Table2[HomeTeam], U$1)</f>
        <v>2</v>
      </c>
      <c r="V75" s="145">
        <f>SUMIFS(Table2[NewPointsAway],Table2[GameDate], "&lt;=" &amp; $A75, Table2[AwayTeam], V$1)+SUMIFS(Table2[NewPointsHome],Table2[GameDate], "&lt;=" &amp; $A75, Table2[HomeTeam], V$1)</f>
        <v>3</v>
      </c>
      <c r="W75" s="145">
        <f>SUMIFS(Table2[NewPointsAway],Table2[GameDate], "&lt;=" &amp; $A75, Table2[AwayTeam], W$1)+SUMIFS(Table2[NewPointsHome],Table2[GameDate], "&lt;=" &amp; $A75, Table2[HomeTeam], W$1)</f>
        <v>4</v>
      </c>
      <c r="X75" s="145">
        <f>SUMIFS(Table2[NewPointsAway],Table2[GameDate], "&lt;=" &amp; $A75, Table2[AwayTeam], X$1)+SUMIFS(Table2[NewPointsHome],Table2[GameDate], "&lt;=" &amp; $A75, Table2[HomeTeam], X$1)</f>
        <v>4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4</v>
      </c>
      <c r="AA75" s="145">
        <f>SUMIFS(Table2[NewPointsAway],Table2[GameDate], "&lt;=" &amp; $A75, Table2[AwayTeam], AA$1)+SUMIFS(Table2[NewPointsHome],Table2[GameDate], "&lt;=" &amp; $A75, Table2[HomeTeam], AA$1)</f>
        <v>2</v>
      </c>
      <c r="AB75" s="145">
        <f>SUMIFS(Table2[NewPointsAway],Table2[GameDate], "&lt;=" &amp; $A75, Table2[AwayTeam], AB$1)+SUMIFS(Table2[NewPointsHome],Table2[GameDate], "&lt;=" &amp; $A75, Table2[HomeTeam], AB$1)</f>
        <v>2</v>
      </c>
      <c r="AC75" s="145">
        <f>SUMIFS(Table2[NewPointsAway],Table2[GameDate], "&lt;=" &amp; $A75, Table2[AwayTeam], AC$1)+SUMIFS(Table2[NewPointsHome],Table2[GameDate], "&lt;=" &amp; $A75, Table2[HomeTeam], AC$1)</f>
        <v>2</v>
      </c>
      <c r="AD75" s="145">
        <f>SUMIFS(Table2[NewPointsAway],Table2[GameDate], "&lt;=" &amp; $A75, Table2[AwayTeam], AD$1)+SUMIFS(Table2[NewPointsHome],Table2[GameDate], "&lt;=" &amp; $A75, Table2[HomeTeam], AD$1)</f>
        <v>2</v>
      </c>
      <c r="AE75" s="145">
        <f>SUMIFS(Table2[NewPointsAway],Table2[GameDate], "&lt;=" &amp; $A75, Table2[AwayTeam], AE$1)+SUMIFS(Table2[NewPointsHome],Table2[GameDate], "&lt;=" &amp; $A75, Table2[HomeTeam], AE$1)</f>
        <v>4</v>
      </c>
      <c r="AF75" s="145">
        <f>SUMIFS(Table2[NewPointsAway],Table2[GameDate], "&lt;=" &amp; $A75, Table2[AwayTeam], AF$1)+SUMIFS(Table2[NewPointsHome],Table2[GameDate], "&lt;=" &amp; $A75, Table2[HomeTeam], AF$1)</f>
        <v>4</v>
      </c>
      <c r="AG75" s="145">
        <f>SUMIFS(Table2[NewPointsAway],Table2[GameDate], "&lt;=" &amp; $A75, Table2[AwayTeam], AG$1)+SUMIFS(Table2[NewPointsHome],Table2[GameDate], "&lt;=" &amp; $A75, Table2[HomeTeam], AG$1)</f>
        <v>4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2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0</v>
      </c>
      <c r="E76" s="145">
        <f>SUMIFS(Table2[NewPointsAway],Table2[GameDate], "&lt;=" &amp; $A76, Table2[AwayTeam], E$1)+SUMIFS(Table2[NewPointsHome],Table2[GameDate], "&lt;=" &amp; $A76, Table2[HomeTeam], E$1)</f>
        <v>4</v>
      </c>
      <c r="F76" s="145">
        <f>SUMIFS(Table2[NewPointsAway],Table2[GameDate], "&lt;=" &amp; $A76, Table2[AwayTeam], F$1)+SUMIFS(Table2[NewPointsHome],Table2[GameDate], "&lt;=" &amp; $A76, Table2[HomeTeam], F$1)</f>
        <v>2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3</v>
      </c>
      <c r="I76" s="145">
        <f>SUMIFS(Table2[NewPointsAway],Table2[GameDate], "&lt;=" &amp; $A76, Table2[AwayTeam], I$1)+SUMIFS(Table2[NewPointsHome],Table2[GameDate], "&lt;=" &amp; $A76, Table2[HomeTeam], I$1)</f>
        <v>7</v>
      </c>
      <c r="J76" s="145">
        <f>SUMIFS(Table2[NewPointsAway],Table2[GameDate], "&lt;=" &amp; $A76, Table2[AwayTeam], J$1)+SUMIFS(Table2[NewPointsHome],Table2[GameDate], "&lt;=" &amp; $A76, Table2[HomeTeam], J$1)</f>
        <v>4</v>
      </c>
      <c r="K76" s="145">
        <f>SUMIFS(Table2[NewPointsAway],Table2[GameDate], "&lt;=" &amp; $A76, Table2[AwayTeam], K$1)+SUMIFS(Table2[NewPointsHome],Table2[GameDate], "&lt;=" &amp; $A76, Table2[HomeTeam], K$1)</f>
        <v>4</v>
      </c>
      <c r="L76" s="145">
        <f>SUMIFS(Table2[NewPointsAway],Table2[GameDate], "&lt;=" &amp; $A76, Table2[AwayTeam], L$1)+SUMIFS(Table2[NewPointsHome],Table2[GameDate], "&lt;=" &amp; $A76, Table2[HomeTeam], L$1)</f>
        <v>3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3</v>
      </c>
      <c r="O76" s="145">
        <f>SUMIFS(Table2[NewPointsAway],Table2[GameDate], "&lt;=" &amp; $A76, Table2[AwayTeam], O$1)+SUMIFS(Table2[NewPointsHome],Table2[GameDate], "&lt;=" &amp; $A76, Table2[HomeTeam], O$1)</f>
        <v>4</v>
      </c>
      <c r="P76" s="145">
        <f>SUMIFS(Table2[NewPointsAway],Table2[GameDate], "&lt;=" &amp; $A76, Table2[AwayTeam], P$1)+SUMIFS(Table2[NewPointsHome],Table2[GameDate], "&lt;=" &amp; $A76, Table2[HomeTeam], P$1)</f>
        <v>4</v>
      </c>
      <c r="Q76" s="145">
        <f>SUMIFS(Table2[NewPointsAway],Table2[GameDate], "&lt;=" &amp; $A76, Table2[AwayTeam], Q$1)+SUMIFS(Table2[NewPointsHome],Table2[GameDate], "&lt;=" &amp; $A76, Table2[HomeTeam], Q$1)</f>
        <v>4</v>
      </c>
      <c r="R76" s="145">
        <f>SUMIFS(Table2[NewPointsAway],Table2[GameDate], "&lt;=" &amp; $A76, Table2[AwayTeam], R$1)+SUMIFS(Table2[NewPointsHome],Table2[GameDate], "&lt;=" &amp; $A76, Table2[HomeTeam], R$1)</f>
        <v>5</v>
      </c>
      <c r="S76" s="145">
        <f>SUMIFS(Table2[NewPointsAway],Table2[GameDate], "&lt;=" &amp; $A76, Table2[AwayTeam], S$1)+SUMIFS(Table2[NewPointsHome],Table2[GameDate], "&lt;=" &amp; $A76, Table2[HomeTeam], S$1)</f>
        <v>0</v>
      </c>
      <c r="T76" s="145">
        <f>SUMIFS(Table2[NewPointsAway],Table2[GameDate], "&lt;=" &amp; $A76, Table2[AwayTeam], T$1)+SUMIFS(Table2[NewPointsHome],Table2[GameDate], "&lt;=" &amp; $A76, Table2[HomeTeam], T$1)</f>
        <v>4</v>
      </c>
      <c r="U76" s="145">
        <f>SUMIFS(Table2[NewPointsAway],Table2[GameDate], "&lt;=" &amp; $A76, Table2[AwayTeam], U$1)+SUMIFS(Table2[NewPointsHome],Table2[GameDate], "&lt;=" &amp; $A76, Table2[HomeTeam], U$1)</f>
        <v>2</v>
      </c>
      <c r="V76" s="145">
        <f>SUMIFS(Table2[NewPointsAway],Table2[GameDate], "&lt;=" &amp; $A76, Table2[AwayTeam], V$1)+SUMIFS(Table2[NewPointsHome],Table2[GameDate], "&lt;=" &amp; $A76, Table2[HomeTeam], V$1)</f>
        <v>3</v>
      </c>
      <c r="W76" s="145">
        <f>SUMIFS(Table2[NewPointsAway],Table2[GameDate], "&lt;=" &amp; $A76, Table2[AwayTeam], W$1)+SUMIFS(Table2[NewPointsHome],Table2[GameDate], "&lt;=" &amp; $A76, Table2[HomeTeam], W$1)</f>
        <v>4</v>
      </c>
      <c r="X76" s="145">
        <f>SUMIFS(Table2[NewPointsAway],Table2[GameDate], "&lt;=" &amp; $A76, Table2[AwayTeam], X$1)+SUMIFS(Table2[NewPointsHome],Table2[GameDate], "&lt;=" &amp; $A76, Table2[HomeTeam], X$1)</f>
        <v>4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4</v>
      </c>
      <c r="AA76" s="145">
        <f>SUMIFS(Table2[NewPointsAway],Table2[GameDate], "&lt;=" &amp; $A76, Table2[AwayTeam], AA$1)+SUMIFS(Table2[NewPointsHome],Table2[GameDate], "&lt;=" &amp; $A76, Table2[HomeTeam], AA$1)</f>
        <v>2</v>
      </c>
      <c r="AB76" s="145">
        <f>SUMIFS(Table2[NewPointsAway],Table2[GameDate], "&lt;=" &amp; $A76, Table2[AwayTeam], AB$1)+SUMIFS(Table2[NewPointsHome],Table2[GameDate], "&lt;=" &amp; $A76, Table2[HomeTeam], AB$1)</f>
        <v>2</v>
      </c>
      <c r="AC76" s="145">
        <f>SUMIFS(Table2[NewPointsAway],Table2[GameDate], "&lt;=" &amp; $A76, Table2[AwayTeam], AC$1)+SUMIFS(Table2[NewPointsHome],Table2[GameDate], "&lt;=" &amp; $A76, Table2[HomeTeam], AC$1)</f>
        <v>2</v>
      </c>
      <c r="AD76" s="145">
        <f>SUMIFS(Table2[NewPointsAway],Table2[GameDate], "&lt;=" &amp; $A76, Table2[AwayTeam], AD$1)+SUMIFS(Table2[NewPointsHome],Table2[GameDate], "&lt;=" &amp; $A76, Table2[HomeTeam], AD$1)</f>
        <v>2</v>
      </c>
      <c r="AE76" s="145">
        <f>SUMIFS(Table2[NewPointsAway],Table2[GameDate], "&lt;=" &amp; $A76, Table2[AwayTeam], AE$1)+SUMIFS(Table2[NewPointsHome],Table2[GameDate], "&lt;=" &amp; $A76, Table2[HomeTeam], AE$1)</f>
        <v>4</v>
      </c>
      <c r="AF76" s="145">
        <f>SUMIFS(Table2[NewPointsAway],Table2[GameDate], "&lt;=" &amp; $A76, Table2[AwayTeam], AF$1)+SUMIFS(Table2[NewPointsHome],Table2[GameDate], "&lt;=" &amp; $A76, Table2[HomeTeam], AF$1)</f>
        <v>4</v>
      </c>
      <c r="AG76" s="145">
        <f>SUMIFS(Table2[NewPointsAway],Table2[GameDate], "&lt;=" &amp; $A76, Table2[AwayTeam], AG$1)+SUMIFS(Table2[NewPointsHome],Table2[GameDate], "&lt;=" &amp; $A76, Table2[HomeTeam], AG$1)</f>
        <v>4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2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0</v>
      </c>
      <c r="E77" s="145">
        <f>SUMIFS(Table2[NewPointsAway],Table2[GameDate], "&lt;=" &amp; $A77, Table2[AwayTeam], E$1)+SUMIFS(Table2[NewPointsHome],Table2[GameDate], "&lt;=" &amp; $A77, Table2[HomeTeam], E$1)</f>
        <v>4</v>
      </c>
      <c r="F77" s="145">
        <f>SUMIFS(Table2[NewPointsAway],Table2[GameDate], "&lt;=" &amp; $A77, Table2[AwayTeam], F$1)+SUMIFS(Table2[NewPointsHome],Table2[GameDate], "&lt;=" &amp; $A77, Table2[HomeTeam], F$1)</f>
        <v>2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3</v>
      </c>
      <c r="I77" s="145">
        <f>SUMIFS(Table2[NewPointsAway],Table2[GameDate], "&lt;=" &amp; $A77, Table2[AwayTeam], I$1)+SUMIFS(Table2[NewPointsHome],Table2[GameDate], "&lt;=" &amp; $A77, Table2[HomeTeam], I$1)</f>
        <v>7</v>
      </c>
      <c r="J77" s="145">
        <f>SUMIFS(Table2[NewPointsAway],Table2[GameDate], "&lt;=" &amp; $A77, Table2[AwayTeam], J$1)+SUMIFS(Table2[NewPointsHome],Table2[GameDate], "&lt;=" &amp; $A77, Table2[HomeTeam], J$1)</f>
        <v>4</v>
      </c>
      <c r="K77" s="145">
        <f>SUMIFS(Table2[NewPointsAway],Table2[GameDate], "&lt;=" &amp; $A77, Table2[AwayTeam], K$1)+SUMIFS(Table2[NewPointsHome],Table2[GameDate], "&lt;=" &amp; $A77, Table2[HomeTeam], K$1)</f>
        <v>4</v>
      </c>
      <c r="L77" s="145">
        <f>SUMIFS(Table2[NewPointsAway],Table2[GameDate], "&lt;=" &amp; $A77, Table2[AwayTeam], L$1)+SUMIFS(Table2[NewPointsHome],Table2[GameDate], "&lt;=" &amp; $A77, Table2[HomeTeam], L$1)</f>
        <v>3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3</v>
      </c>
      <c r="O77" s="145">
        <f>SUMIFS(Table2[NewPointsAway],Table2[GameDate], "&lt;=" &amp; $A77, Table2[AwayTeam], O$1)+SUMIFS(Table2[NewPointsHome],Table2[GameDate], "&lt;=" &amp; $A77, Table2[HomeTeam], O$1)</f>
        <v>4</v>
      </c>
      <c r="P77" s="145">
        <f>SUMIFS(Table2[NewPointsAway],Table2[GameDate], "&lt;=" &amp; $A77, Table2[AwayTeam], P$1)+SUMIFS(Table2[NewPointsHome],Table2[GameDate], "&lt;=" &amp; $A77, Table2[HomeTeam], P$1)</f>
        <v>4</v>
      </c>
      <c r="Q77" s="145">
        <f>SUMIFS(Table2[NewPointsAway],Table2[GameDate], "&lt;=" &amp; $A77, Table2[AwayTeam], Q$1)+SUMIFS(Table2[NewPointsHome],Table2[GameDate], "&lt;=" &amp; $A77, Table2[HomeTeam], Q$1)</f>
        <v>4</v>
      </c>
      <c r="R77" s="145">
        <f>SUMIFS(Table2[NewPointsAway],Table2[GameDate], "&lt;=" &amp; $A77, Table2[AwayTeam], R$1)+SUMIFS(Table2[NewPointsHome],Table2[GameDate], "&lt;=" &amp; $A77, Table2[HomeTeam], R$1)</f>
        <v>5</v>
      </c>
      <c r="S77" s="145">
        <f>SUMIFS(Table2[NewPointsAway],Table2[GameDate], "&lt;=" &amp; $A77, Table2[AwayTeam], S$1)+SUMIFS(Table2[NewPointsHome],Table2[GameDate], "&lt;=" &amp; $A77, Table2[HomeTeam], S$1)</f>
        <v>0</v>
      </c>
      <c r="T77" s="145">
        <f>SUMIFS(Table2[NewPointsAway],Table2[GameDate], "&lt;=" &amp; $A77, Table2[AwayTeam], T$1)+SUMIFS(Table2[NewPointsHome],Table2[GameDate], "&lt;=" &amp; $A77, Table2[HomeTeam], T$1)</f>
        <v>4</v>
      </c>
      <c r="U77" s="145">
        <f>SUMIFS(Table2[NewPointsAway],Table2[GameDate], "&lt;=" &amp; $A77, Table2[AwayTeam], U$1)+SUMIFS(Table2[NewPointsHome],Table2[GameDate], "&lt;=" &amp; $A77, Table2[HomeTeam], U$1)</f>
        <v>2</v>
      </c>
      <c r="V77" s="145">
        <f>SUMIFS(Table2[NewPointsAway],Table2[GameDate], "&lt;=" &amp; $A77, Table2[AwayTeam], V$1)+SUMIFS(Table2[NewPointsHome],Table2[GameDate], "&lt;=" &amp; $A77, Table2[HomeTeam], V$1)</f>
        <v>3</v>
      </c>
      <c r="W77" s="145">
        <f>SUMIFS(Table2[NewPointsAway],Table2[GameDate], "&lt;=" &amp; $A77, Table2[AwayTeam], W$1)+SUMIFS(Table2[NewPointsHome],Table2[GameDate], "&lt;=" &amp; $A77, Table2[HomeTeam], W$1)</f>
        <v>4</v>
      </c>
      <c r="X77" s="145">
        <f>SUMIFS(Table2[NewPointsAway],Table2[GameDate], "&lt;=" &amp; $A77, Table2[AwayTeam], X$1)+SUMIFS(Table2[NewPointsHome],Table2[GameDate], "&lt;=" &amp; $A77, Table2[HomeTeam], X$1)</f>
        <v>4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4</v>
      </c>
      <c r="AA77" s="145">
        <f>SUMIFS(Table2[NewPointsAway],Table2[GameDate], "&lt;=" &amp; $A77, Table2[AwayTeam], AA$1)+SUMIFS(Table2[NewPointsHome],Table2[GameDate], "&lt;=" &amp; $A77, Table2[HomeTeam], AA$1)</f>
        <v>2</v>
      </c>
      <c r="AB77" s="145">
        <f>SUMIFS(Table2[NewPointsAway],Table2[GameDate], "&lt;=" &amp; $A77, Table2[AwayTeam], AB$1)+SUMIFS(Table2[NewPointsHome],Table2[GameDate], "&lt;=" &amp; $A77, Table2[HomeTeam], AB$1)</f>
        <v>2</v>
      </c>
      <c r="AC77" s="145">
        <f>SUMIFS(Table2[NewPointsAway],Table2[GameDate], "&lt;=" &amp; $A77, Table2[AwayTeam], AC$1)+SUMIFS(Table2[NewPointsHome],Table2[GameDate], "&lt;=" &amp; $A77, Table2[HomeTeam], AC$1)</f>
        <v>2</v>
      </c>
      <c r="AD77" s="145">
        <f>SUMIFS(Table2[NewPointsAway],Table2[GameDate], "&lt;=" &amp; $A77, Table2[AwayTeam], AD$1)+SUMIFS(Table2[NewPointsHome],Table2[GameDate], "&lt;=" &amp; $A77, Table2[HomeTeam], AD$1)</f>
        <v>2</v>
      </c>
      <c r="AE77" s="145">
        <f>SUMIFS(Table2[NewPointsAway],Table2[GameDate], "&lt;=" &amp; $A77, Table2[AwayTeam], AE$1)+SUMIFS(Table2[NewPointsHome],Table2[GameDate], "&lt;=" &amp; $A77, Table2[HomeTeam], AE$1)</f>
        <v>4</v>
      </c>
      <c r="AF77" s="145">
        <f>SUMIFS(Table2[NewPointsAway],Table2[GameDate], "&lt;=" &amp; $A77, Table2[AwayTeam], AF$1)+SUMIFS(Table2[NewPointsHome],Table2[GameDate], "&lt;=" &amp; $A77, Table2[HomeTeam], AF$1)</f>
        <v>4</v>
      </c>
      <c r="AG77" s="145">
        <f>SUMIFS(Table2[NewPointsAway],Table2[GameDate], "&lt;=" &amp; $A77, Table2[AwayTeam], AG$1)+SUMIFS(Table2[NewPointsHome],Table2[GameDate], "&lt;=" &amp; $A77, Table2[HomeTeam], AG$1)</f>
        <v>4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2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0</v>
      </c>
      <c r="E78" s="145">
        <f>SUMIFS(Table2[NewPointsAway],Table2[GameDate], "&lt;=" &amp; $A78, Table2[AwayTeam], E$1)+SUMIFS(Table2[NewPointsHome],Table2[GameDate], "&lt;=" &amp; $A78, Table2[HomeTeam], E$1)</f>
        <v>4</v>
      </c>
      <c r="F78" s="145">
        <f>SUMIFS(Table2[NewPointsAway],Table2[GameDate], "&lt;=" &amp; $A78, Table2[AwayTeam], F$1)+SUMIFS(Table2[NewPointsHome],Table2[GameDate], "&lt;=" &amp; $A78, Table2[HomeTeam], F$1)</f>
        <v>2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3</v>
      </c>
      <c r="I78" s="145">
        <f>SUMIFS(Table2[NewPointsAway],Table2[GameDate], "&lt;=" &amp; $A78, Table2[AwayTeam], I$1)+SUMIFS(Table2[NewPointsHome],Table2[GameDate], "&lt;=" &amp; $A78, Table2[HomeTeam], I$1)</f>
        <v>7</v>
      </c>
      <c r="J78" s="145">
        <f>SUMIFS(Table2[NewPointsAway],Table2[GameDate], "&lt;=" &amp; $A78, Table2[AwayTeam], J$1)+SUMIFS(Table2[NewPointsHome],Table2[GameDate], "&lt;=" &amp; $A78, Table2[HomeTeam], J$1)</f>
        <v>4</v>
      </c>
      <c r="K78" s="145">
        <f>SUMIFS(Table2[NewPointsAway],Table2[GameDate], "&lt;=" &amp; $A78, Table2[AwayTeam], K$1)+SUMIFS(Table2[NewPointsHome],Table2[GameDate], "&lt;=" &amp; $A78, Table2[HomeTeam], K$1)</f>
        <v>4</v>
      </c>
      <c r="L78" s="145">
        <f>SUMIFS(Table2[NewPointsAway],Table2[GameDate], "&lt;=" &amp; $A78, Table2[AwayTeam], L$1)+SUMIFS(Table2[NewPointsHome],Table2[GameDate], "&lt;=" &amp; $A78, Table2[HomeTeam], L$1)</f>
        <v>3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3</v>
      </c>
      <c r="O78" s="145">
        <f>SUMIFS(Table2[NewPointsAway],Table2[GameDate], "&lt;=" &amp; $A78, Table2[AwayTeam], O$1)+SUMIFS(Table2[NewPointsHome],Table2[GameDate], "&lt;=" &amp; $A78, Table2[HomeTeam], O$1)</f>
        <v>4</v>
      </c>
      <c r="P78" s="145">
        <f>SUMIFS(Table2[NewPointsAway],Table2[GameDate], "&lt;=" &amp; $A78, Table2[AwayTeam], P$1)+SUMIFS(Table2[NewPointsHome],Table2[GameDate], "&lt;=" &amp; $A78, Table2[HomeTeam], P$1)</f>
        <v>4</v>
      </c>
      <c r="Q78" s="145">
        <f>SUMIFS(Table2[NewPointsAway],Table2[GameDate], "&lt;=" &amp; $A78, Table2[AwayTeam], Q$1)+SUMIFS(Table2[NewPointsHome],Table2[GameDate], "&lt;=" &amp; $A78, Table2[HomeTeam], Q$1)</f>
        <v>4</v>
      </c>
      <c r="R78" s="145">
        <f>SUMIFS(Table2[NewPointsAway],Table2[GameDate], "&lt;=" &amp; $A78, Table2[AwayTeam], R$1)+SUMIFS(Table2[NewPointsHome],Table2[GameDate], "&lt;=" &amp; $A78, Table2[HomeTeam], R$1)</f>
        <v>5</v>
      </c>
      <c r="S78" s="145">
        <f>SUMIFS(Table2[NewPointsAway],Table2[GameDate], "&lt;=" &amp; $A78, Table2[AwayTeam], S$1)+SUMIFS(Table2[NewPointsHome],Table2[GameDate], "&lt;=" &amp; $A78, Table2[HomeTeam], S$1)</f>
        <v>0</v>
      </c>
      <c r="T78" s="145">
        <f>SUMIFS(Table2[NewPointsAway],Table2[GameDate], "&lt;=" &amp; $A78, Table2[AwayTeam], T$1)+SUMIFS(Table2[NewPointsHome],Table2[GameDate], "&lt;=" &amp; $A78, Table2[HomeTeam], T$1)</f>
        <v>4</v>
      </c>
      <c r="U78" s="145">
        <f>SUMIFS(Table2[NewPointsAway],Table2[GameDate], "&lt;=" &amp; $A78, Table2[AwayTeam], U$1)+SUMIFS(Table2[NewPointsHome],Table2[GameDate], "&lt;=" &amp; $A78, Table2[HomeTeam], U$1)</f>
        <v>2</v>
      </c>
      <c r="V78" s="145">
        <f>SUMIFS(Table2[NewPointsAway],Table2[GameDate], "&lt;=" &amp; $A78, Table2[AwayTeam], V$1)+SUMIFS(Table2[NewPointsHome],Table2[GameDate], "&lt;=" &amp; $A78, Table2[HomeTeam], V$1)</f>
        <v>3</v>
      </c>
      <c r="W78" s="145">
        <f>SUMIFS(Table2[NewPointsAway],Table2[GameDate], "&lt;=" &amp; $A78, Table2[AwayTeam], W$1)+SUMIFS(Table2[NewPointsHome],Table2[GameDate], "&lt;=" &amp; $A78, Table2[HomeTeam], W$1)</f>
        <v>4</v>
      </c>
      <c r="X78" s="145">
        <f>SUMIFS(Table2[NewPointsAway],Table2[GameDate], "&lt;=" &amp; $A78, Table2[AwayTeam], X$1)+SUMIFS(Table2[NewPointsHome],Table2[GameDate], "&lt;=" &amp; $A78, Table2[HomeTeam], X$1)</f>
        <v>4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4</v>
      </c>
      <c r="AA78" s="145">
        <f>SUMIFS(Table2[NewPointsAway],Table2[GameDate], "&lt;=" &amp; $A78, Table2[AwayTeam], AA$1)+SUMIFS(Table2[NewPointsHome],Table2[GameDate], "&lt;=" &amp; $A78, Table2[HomeTeam], AA$1)</f>
        <v>2</v>
      </c>
      <c r="AB78" s="145">
        <f>SUMIFS(Table2[NewPointsAway],Table2[GameDate], "&lt;=" &amp; $A78, Table2[AwayTeam], AB$1)+SUMIFS(Table2[NewPointsHome],Table2[GameDate], "&lt;=" &amp; $A78, Table2[HomeTeam], AB$1)</f>
        <v>2</v>
      </c>
      <c r="AC78" s="145">
        <f>SUMIFS(Table2[NewPointsAway],Table2[GameDate], "&lt;=" &amp; $A78, Table2[AwayTeam], AC$1)+SUMIFS(Table2[NewPointsHome],Table2[GameDate], "&lt;=" &amp; $A78, Table2[HomeTeam], AC$1)</f>
        <v>2</v>
      </c>
      <c r="AD78" s="145">
        <f>SUMIFS(Table2[NewPointsAway],Table2[GameDate], "&lt;=" &amp; $A78, Table2[AwayTeam], AD$1)+SUMIFS(Table2[NewPointsHome],Table2[GameDate], "&lt;=" &amp; $A78, Table2[HomeTeam], AD$1)</f>
        <v>2</v>
      </c>
      <c r="AE78" s="145">
        <f>SUMIFS(Table2[NewPointsAway],Table2[GameDate], "&lt;=" &amp; $A78, Table2[AwayTeam], AE$1)+SUMIFS(Table2[NewPointsHome],Table2[GameDate], "&lt;=" &amp; $A78, Table2[HomeTeam], AE$1)</f>
        <v>4</v>
      </c>
      <c r="AF78" s="145">
        <f>SUMIFS(Table2[NewPointsAway],Table2[GameDate], "&lt;=" &amp; $A78, Table2[AwayTeam], AF$1)+SUMIFS(Table2[NewPointsHome],Table2[GameDate], "&lt;=" &amp; $A78, Table2[HomeTeam], AF$1)</f>
        <v>4</v>
      </c>
      <c r="AG78" s="145">
        <f>SUMIFS(Table2[NewPointsAway],Table2[GameDate], "&lt;=" &amp; $A78, Table2[AwayTeam], AG$1)+SUMIFS(Table2[NewPointsHome],Table2[GameDate], "&lt;=" &amp; $A78, Table2[HomeTeam], AG$1)</f>
        <v>4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2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0</v>
      </c>
      <c r="E79" s="145">
        <f>SUMIFS(Table2[NewPointsAway],Table2[GameDate], "&lt;=" &amp; $A79, Table2[AwayTeam], E$1)+SUMIFS(Table2[NewPointsHome],Table2[GameDate], "&lt;=" &amp; $A79, Table2[HomeTeam], E$1)</f>
        <v>4</v>
      </c>
      <c r="F79" s="145">
        <f>SUMIFS(Table2[NewPointsAway],Table2[GameDate], "&lt;=" &amp; $A79, Table2[AwayTeam], F$1)+SUMIFS(Table2[NewPointsHome],Table2[GameDate], "&lt;=" &amp; $A79, Table2[HomeTeam], F$1)</f>
        <v>2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3</v>
      </c>
      <c r="I79" s="145">
        <f>SUMIFS(Table2[NewPointsAway],Table2[GameDate], "&lt;=" &amp; $A79, Table2[AwayTeam], I$1)+SUMIFS(Table2[NewPointsHome],Table2[GameDate], "&lt;=" &amp; $A79, Table2[HomeTeam], I$1)</f>
        <v>7</v>
      </c>
      <c r="J79" s="145">
        <f>SUMIFS(Table2[NewPointsAway],Table2[GameDate], "&lt;=" &amp; $A79, Table2[AwayTeam], J$1)+SUMIFS(Table2[NewPointsHome],Table2[GameDate], "&lt;=" &amp; $A79, Table2[HomeTeam], J$1)</f>
        <v>4</v>
      </c>
      <c r="K79" s="145">
        <f>SUMIFS(Table2[NewPointsAway],Table2[GameDate], "&lt;=" &amp; $A79, Table2[AwayTeam], K$1)+SUMIFS(Table2[NewPointsHome],Table2[GameDate], "&lt;=" &amp; $A79, Table2[HomeTeam], K$1)</f>
        <v>4</v>
      </c>
      <c r="L79" s="145">
        <f>SUMIFS(Table2[NewPointsAway],Table2[GameDate], "&lt;=" &amp; $A79, Table2[AwayTeam], L$1)+SUMIFS(Table2[NewPointsHome],Table2[GameDate], "&lt;=" &amp; $A79, Table2[HomeTeam], L$1)</f>
        <v>3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3</v>
      </c>
      <c r="O79" s="145">
        <f>SUMIFS(Table2[NewPointsAway],Table2[GameDate], "&lt;=" &amp; $A79, Table2[AwayTeam], O$1)+SUMIFS(Table2[NewPointsHome],Table2[GameDate], "&lt;=" &amp; $A79, Table2[HomeTeam], O$1)</f>
        <v>4</v>
      </c>
      <c r="P79" s="145">
        <f>SUMIFS(Table2[NewPointsAway],Table2[GameDate], "&lt;=" &amp; $A79, Table2[AwayTeam], P$1)+SUMIFS(Table2[NewPointsHome],Table2[GameDate], "&lt;=" &amp; $A79, Table2[HomeTeam], P$1)</f>
        <v>4</v>
      </c>
      <c r="Q79" s="145">
        <f>SUMIFS(Table2[NewPointsAway],Table2[GameDate], "&lt;=" &amp; $A79, Table2[AwayTeam], Q$1)+SUMIFS(Table2[NewPointsHome],Table2[GameDate], "&lt;=" &amp; $A79, Table2[HomeTeam], Q$1)</f>
        <v>4</v>
      </c>
      <c r="R79" s="145">
        <f>SUMIFS(Table2[NewPointsAway],Table2[GameDate], "&lt;=" &amp; $A79, Table2[AwayTeam], R$1)+SUMIFS(Table2[NewPointsHome],Table2[GameDate], "&lt;=" &amp; $A79, Table2[HomeTeam], R$1)</f>
        <v>5</v>
      </c>
      <c r="S79" s="145">
        <f>SUMIFS(Table2[NewPointsAway],Table2[GameDate], "&lt;=" &amp; $A79, Table2[AwayTeam], S$1)+SUMIFS(Table2[NewPointsHome],Table2[GameDate], "&lt;=" &amp; $A79, Table2[HomeTeam], S$1)</f>
        <v>0</v>
      </c>
      <c r="T79" s="145">
        <f>SUMIFS(Table2[NewPointsAway],Table2[GameDate], "&lt;=" &amp; $A79, Table2[AwayTeam], T$1)+SUMIFS(Table2[NewPointsHome],Table2[GameDate], "&lt;=" &amp; $A79, Table2[HomeTeam], T$1)</f>
        <v>4</v>
      </c>
      <c r="U79" s="145">
        <f>SUMIFS(Table2[NewPointsAway],Table2[GameDate], "&lt;=" &amp; $A79, Table2[AwayTeam], U$1)+SUMIFS(Table2[NewPointsHome],Table2[GameDate], "&lt;=" &amp; $A79, Table2[HomeTeam], U$1)</f>
        <v>2</v>
      </c>
      <c r="V79" s="145">
        <f>SUMIFS(Table2[NewPointsAway],Table2[GameDate], "&lt;=" &amp; $A79, Table2[AwayTeam], V$1)+SUMIFS(Table2[NewPointsHome],Table2[GameDate], "&lt;=" &amp; $A79, Table2[HomeTeam], V$1)</f>
        <v>3</v>
      </c>
      <c r="W79" s="145">
        <f>SUMIFS(Table2[NewPointsAway],Table2[GameDate], "&lt;=" &amp; $A79, Table2[AwayTeam], W$1)+SUMIFS(Table2[NewPointsHome],Table2[GameDate], "&lt;=" &amp; $A79, Table2[HomeTeam], W$1)</f>
        <v>4</v>
      </c>
      <c r="X79" s="145">
        <f>SUMIFS(Table2[NewPointsAway],Table2[GameDate], "&lt;=" &amp; $A79, Table2[AwayTeam], X$1)+SUMIFS(Table2[NewPointsHome],Table2[GameDate], "&lt;=" &amp; $A79, Table2[HomeTeam], X$1)</f>
        <v>4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4</v>
      </c>
      <c r="AA79" s="145">
        <f>SUMIFS(Table2[NewPointsAway],Table2[GameDate], "&lt;=" &amp; $A79, Table2[AwayTeam], AA$1)+SUMIFS(Table2[NewPointsHome],Table2[GameDate], "&lt;=" &amp; $A79, Table2[HomeTeam], AA$1)</f>
        <v>2</v>
      </c>
      <c r="AB79" s="145">
        <f>SUMIFS(Table2[NewPointsAway],Table2[GameDate], "&lt;=" &amp; $A79, Table2[AwayTeam], AB$1)+SUMIFS(Table2[NewPointsHome],Table2[GameDate], "&lt;=" &amp; $A79, Table2[HomeTeam], AB$1)</f>
        <v>2</v>
      </c>
      <c r="AC79" s="145">
        <f>SUMIFS(Table2[NewPointsAway],Table2[GameDate], "&lt;=" &amp; $A79, Table2[AwayTeam], AC$1)+SUMIFS(Table2[NewPointsHome],Table2[GameDate], "&lt;=" &amp; $A79, Table2[HomeTeam], AC$1)</f>
        <v>2</v>
      </c>
      <c r="AD79" s="145">
        <f>SUMIFS(Table2[NewPointsAway],Table2[GameDate], "&lt;=" &amp; $A79, Table2[AwayTeam], AD$1)+SUMIFS(Table2[NewPointsHome],Table2[GameDate], "&lt;=" &amp; $A79, Table2[HomeTeam], AD$1)</f>
        <v>2</v>
      </c>
      <c r="AE79" s="145">
        <f>SUMIFS(Table2[NewPointsAway],Table2[GameDate], "&lt;=" &amp; $A79, Table2[AwayTeam], AE$1)+SUMIFS(Table2[NewPointsHome],Table2[GameDate], "&lt;=" &amp; $A79, Table2[HomeTeam], AE$1)</f>
        <v>4</v>
      </c>
      <c r="AF79" s="145">
        <f>SUMIFS(Table2[NewPointsAway],Table2[GameDate], "&lt;=" &amp; $A79, Table2[AwayTeam], AF$1)+SUMIFS(Table2[NewPointsHome],Table2[GameDate], "&lt;=" &amp; $A79, Table2[HomeTeam], AF$1)</f>
        <v>4</v>
      </c>
      <c r="AG79" s="145">
        <f>SUMIFS(Table2[NewPointsAway],Table2[GameDate], "&lt;=" &amp; $A79, Table2[AwayTeam], AG$1)+SUMIFS(Table2[NewPointsHome],Table2[GameDate], "&lt;=" &amp; $A79, Table2[HomeTeam], AG$1)</f>
        <v>4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2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0</v>
      </c>
      <c r="E80" s="145">
        <f>SUMIFS(Table2[NewPointsAway],Table2[GameDate], "&lt;=" &amp; $A80, Table2[AwayTeam], E$1)+SUMIFS(Table2[NewPointsHome],Table2[GameDate], "&lt;=" &amp; $A80, Table2[HomeTeam], E$1)</f>
        <v>4</v>
      </c>
      <c r="F80" s="145">
        <f>SUMIFS(Table2[NewPointsAway],Table2[GameDate], "&lt;=" &amp; $A80, Table2[AwayTeam], F$1)+SUMIFS(Table2[NewPointsHome],Table2[GameDate], "&lt;=" &amp; $A80, Table2[HomeTeam], F$1)</f>
        <v>2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3</v>
      </c>
      <c r="I80" s="145">
        <f>SUMIFS(Table2[NewPointsAway],Table2[GameDate], "&lt;=" &amp; $A80, Table2[AwayTeam], I$1)+SUMIFS(Table2[NewPointsHome],Table2[GameDate], "&lt;=" &amp; $A80, Table2[HomeTeam], I$1)</f>
        <v>7</v>
      </c>
      <c r="J80" s="145">
        <f>SUMIFS(Table2[NewPointsAway],Table2[GameDate], "&lt;=" &amp; $A80, Table2[AwayTeam], J$1)+SUMIFS(Table2[NewPointsHome],Table2[GameDate], "&lt;=" &amp; $A80, Table2[HomeTeam], J$1)</f>
        <v>4</v>
      </c>
      <c r="K80" s="145">
        <f>SUMIFS(Table2[NewPointsAway],Table2[GameDate], "&lt;=" &amp; $A80, Table2[AwayTeam], K$1)+SUMIFS(Table2[NewPointsHome],Table2[GameDate], "&lt;=" &amp; $A80, Table2[HomeTeam], K$1)</f>
        <v>4</v>
      </c>
      <c r="L80" s="145">
        <f>SUMIFS(Table2[NewPointsAway],Table2[GameDate], "&lt;=" &amp; $A80, Table2[AwayTeam], L$1)+SUMIFS(Table2[NewPointsHome],Table2[GameDate], "&lt;=" &amp; $A80, Table2[HomeTeam], L$1)</f>
        <v>3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3</v>
      </c>
      <c r="O80" s="145">
        <f>SUMIFS(Table2[NewPointsAway],Table2[GameDate], "&lt;=" &amp; $A80, Table2[AwayTeam], O$1)+SUMIFS(Table2[NewPointsHome],Table2[GameDate], "&lt;=" &amp; $A80, Table2[HomeTeam], O$1)</f>
        <v>4</v>
      </c>
      <c r="P80" s="145">
        <f>SUMIFS(Table2[NewPointsAway],Table2[GameDate], "&lt;=" &amp; $A80, Table2[AwayTeam], P$1)+SUMIFS(Table2[NewPointsHome],Table2[GameDate], "&lt;=" &amp; $A80, Table2[HomeTeam], P$1)</f>
        <v>4</v>
      </c>
      <c r="Q80" s="145">
        <f>SUMIFS(Table2[NewPointsAway],Table2[GameDate], "&lt;=" &amp; $A80, Table2[AwayTeam], Q$1)+SUMIFS(Table2[NewPointsHome],Table2[GameDate], "&lt;=" &amp; $A80, Table2[HomeTeam], Q$1)</f>
        <v>4</v>
      </c>
      <c r="R80" s="145">
        <f>SUMIFS(Table2[NewPointsAway],Table2[GameDate], "&lt;=" &amp; $A80, Table2[AwayTeam], R$1)+SUMIFS(Table2[NewPointsHome],Table2[GameDate], "&lt;=" &amp; $A80, Table2[HomeTeam], R$1)</f>
        <v>5</v>
      </c>
      <c r="S80" s="145">
        <f>SUMIFS(Table2[NewPointsAway],Table2[GameDate], "&lt;=" &amp; $A80, Table2[AwayTeam], S$1)+SUMIFS(Table2[NewPointsHome],Table2[GameDate], "&lt;=" &amp; $A80, Table2[HomeTeam], S$1)</f>
        <v>0</v>
      </c>
      <c r="T80" s="145">
        <f>SUMIFS(Table2[NewPointsAway],Table2[GameDate], "&lt;=" &amp; $A80, Table2[AwayTeam], T$1)+SUMIFS(Table2[NewPointsHome],Table2[GameDate], "&lt;=" &amp; $A80, Table2[HomeTeam], T$1)</f>
        <v>4</v>
      </c>
      <c r="U80" s="145">
        <f>SUMIFS(Table2[NewPointsAway],Table2[GameDate], "&lt;=" &amp; $A80, Table2[AwayTeam], U$1)+SUMIFS(Table2[NewPointsHome],Table2[GameDate], "&lt;=" &amp; $A80, Table2[HomeTeam], U$1)</f>
        <v>2</v>
      </c>
      <c r="V80" s="145">
        <f>SUMIFS(Table2[NewPointsAway],Table2[GameDate], "&lt;=" &amp; $A80, Table2[AwayTeam], V$1)+SUMIFS(Table2[NewPointsHome],Table2[GameDate], "&lt;=" &amp; $A80, Table2[HomeTeam], V$1)</f>
        <v>3</v>
      </c>
      <c r="W80" s="145">
        <f>SUMIFS(Table2[NewPointsAway],Table2[GameDate], "&lt;=" &amp; $A80, Table2[AwayTeam], W$1)+SUMIFS(Table2[NewPointsHome],Table2[GameDate], "&lt;=" &amp; $A80, Table2[HomeTeam], W$1)</f>
        <v>4</v>
      </c>
      <c r="X80" s="145">
        <f>SUMIFS(Table2[NewPointsAway],Table2[GameDate], "&lt;=" &amp; $A80, Table2[AwayTeam], X$1)+SUMIFS(Table2[NewPointsHome],Table2[GameDate], "&lt;=" &amp; $A80, Table2[HomeTeam], X$1)</f>
        <v>4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4</v>
      </c>
      <c r="AA80" s="145">
        <f>SUMIFS(Table2[NewPointsAway],Table2[GameDate], "&lt;=" &amp; $A80, Table2[AwayTeam], AA$1)+SUMIFS(Table2[NewPointsHome],Table2[GameDate], "&lt;=" &amp; $A80, Table2[HomeTeam], AA$1)</f>
        <v>2</v>
      </c>
      <c r="AB80" s="145">
        <f>SUMIFS(Table2[NewPointsAway],Table2[GameDate], "&lt;=" &amp; $A80, Table2[AwayTeam], AB$1)+SUMIFS(Table2[NewPointsHome],Table2[GameDate], "&lt;=" &amp; $A80, Table2[HomeTeam], AB$1)</f>
        <v>2</v>
      </c>
      <c r="AC80" s="145">
        <f>SUMIFS(Table2[NewPointsAway],Table2[GameDate], "&lt;=" &amp; $A80, Table2[AwayTeam], AC$1)+SUMIFS(Table2[NewPointsHome],Table2[GameDate], "&lt;=" &amp; $A80, Table2[HomeTeam], AC$1)</f>
        <v>2</v>
      </c>
      <c r="AD80" s="145">
        <f>SUMIFS(Table2[NewPointsAway],Table2[GameDate], "&lt;=" &amp; $A80, Table2[AwayTeam], AD$1)+SUMIFS(Table2[NewPointsHome],Table2[GameDate], "&lt;=" &amp; $A80, Table2[HomeTeam], AD$1)</f>
        <v>2</v>
      </c>
      <c r="AE80" s="145">
        <f>SUMIFS(Table2[NewPointsAway],Table2[GameDate], "&lt;=" &amp; $A80, Table2[AwayTeam], AE$1)+SUMIFS(Table2[NewPointsHome],Table2[GameDate], "&lt;=" &amp; $A80, Table2[HomeTeam], AE$1)</f>
        <v>4</v>
      </c>
      <c r="AF80" s="145">
        <f>SUMIFS(Table2[NewPointsAway],Table2[GameDate], "&lt;=" &amp; $A80, Table2[AwayTeam], AF$1)+SUMIFS(Table2[NewPointsHome],Table2[GameDate], "&lt;=" &amp; $A80, Table2[HomeTeam], AF$1)</f>
        <v>4</v>
      </c>
      <c r="AG80" s="145">
        <f>SUMIFS(Table2[NewPointsAway],Table2[GameDate], "&lt;=" &amp; $A80, Table2[AwayTeam], AG$1)+SUMIFS(Table2[NewPointsHome],Table2[GameDate], "&lt;=" &amp; $A80, Table2[HomeTeam], AG$1)</f>
        <v>4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2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0</v>
      </c>
      <c r="E81" s="145">
        <f>SUMIFS(Table2[NewPointsAway],Table2[GameDate], "&lt;=" &amp; $A81, Table2[AwayTeam], E$1)+SUMIFS(Table2[NewPointsHome],Table2[GameDate], "&lt;=" &amp; $A81, Table2[HomeTeam], E$1)</f>
        <v>4</v>
      </c>
      <c r="F81" s="145">
        <f>SUMIFS(Table2[NewPointsAway],Table2[GameDate], "&lt;=" &amp; $A81, Table2[AwayTeam], F$1)+SUMIFS(Table2[NewPointsHome],Table2[GameDate], "&lt;=" &amp; $A81, Table2[HomeTeam], F$1)</f>
        <v>2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3</v>
      </c>
      <c r="I81" s="145">
        <f>SUMIFS(Table2[NewPointsAway],Table2[GameDate], "&lt;=" &amp; $A81, Table2[AwayTeam], I$1)+SUMIFS(Table2[NewPointsHome],Table2[GameDate], "&lt;=" &amp; $A81, Table2[HomeTeam], I$1)</f>
        <v>7</v>
      </c>
      <c r="J81" s="145">
        <f>SUMIFS(Table2[NewPointsAway],Table2[GameDate], "&lt;=" &amp; $A81, Table2[AwayTeam], J$1)+SUMIFS(Table2[NewPointsHome],Table2[GameDate], "&lt;=" &amp; $A81, Table2[HomeTeam], J$1)</f>
        <v>4</v>
      </c>
      <c r="K81" s="145">
        <f>SUMIFS(Table2[NewPointsAway],Table2[GameDate], "&lt;=" &amp; $A81, Table2[AwayTeam], K$1)+SUMIFS(Table2[NewPointsHome],Table2[GameDate], "&lt;=" &amp; $A81, Table2[HomeTeam], K$1)</f>
        <v>4</v>
      </c>
      <c r="L81" s="145">
        <f>SUMIFS(Table2[NewPointsAway],Table2[GameDate], "&lt;=" &amp; $A81, Table2[AwayTeam], L$1)+SUMIFS(Table2[NewPointsHome],Table2[GameDate], "&lt;=" &amp; $A81, Table2[HomeTeam], L$1)</f>
        <v>3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3</v>
      </c>
      <c r="O81" s="145">
        <f>SUMIFS(Table2[NewPointsAway],Table2[GameDate], "&lt;=" &amp; $A81, Table2[AwayTeam], O$1)+SUMIFS(Table2[NewPointsHome],Table2[GameDate], "&lt;=" &amp; $A81, Table2[HomeTeam], O$1)</f>
        <v>4</v>
      </c>
      <c r="P81" s="145">
        <f>SUMIFS(Table2[NewPointsAway],Table2[GameDate], "&lt;=" &amp; $A81, Table2[AwayTeam], P$1)+SUMIFS(Table2[NewPointsHome],Table2[GameDate], "&lt;=" &amp; $A81, Table2[HomeTeam], P$1)</f>
        <v>4</v>
      </c>
      <c r="Q81" s="145">
        <f>SUMIFS(Table2[NewPointsAway],Table2[GameDate], "&lt;=" &amp; $A81, Table2[AwayTeam], Q$1)+SUMIFS(Table2[NewPointsHome],Table2[GameDate], "&lt;=" &amp; $A81, Table2[HomeTeam], Q$1)</f>
        <v>4</v>
      </c>
      <c r="R81" s="145">
        <f>SUMIFS(Table2[NewPointsAway],Table2[GameDate], "&lt;=" &amp; $A81, Table2[AwayTeam], R$1)+SUMIFS(Table2[NewPointsHome],Table2[GameDate], "&lt;=" &amp; $A81, Table2[HomeTeam], R$1)</f>
        <v>5</v>
      </c>
      <c r="S81" s="145">
        <f>SUMIFS(Table2[NewPointsAway],Table2[GameDate], "&lt;=" &amp; $A81, Table2[AwayTeam], S$1)+SUMIFS(Table2[NewPointsHome],Table2[GameDate], "&lt;=" &amp; $A81, Table2[HomeTeam], S$1)</f>
        <v>0</v>
      </c>
      <c r="T81" s="145">
        <f>SUMIFS(Table2[NewPointsAway],Table2[GameDate], "&lt;=" &amp; $A81, Table2[AwayTeam], T$1)+SUMIFS(Table2[NewPointsHome],Table2[GameDate], "&lt;=" &amp; $A81, Table2[HomeTeam], T$1)</f>
        <v>4</v>
      </c>
      <c r="U81" s="145">
        <f>SUMIFS(Table2[NewPointsAway],Table2[GameDate], "&lt;=" &amp; $A81, Table2[AwayTeam], U$1)+SUMIFS(Table2[NewPointsHome],Table2[GameDate], "&lt;=" &amp; $A81, Table2[HomeTeam], U$1)</f>
        <v>2</v>
      </c>
      <c r="V81" s="145">
        <f>SUMIFS(Table2[NewPointsAway],Table2[GameDate], "&lt;=" &amp; $A81, Table2[AwayTeam], V$1)+SUMIFS(Table2[NewPointsHome],Table2[GameDate], "&lt;=" &amp; $A81, Table2[HomeTeam], V$1)</f>
        <v>3</v>
      </c>
      <c r="W81" s="145">
        <f>SUMIFS(Table2[NewPointsAway],Table2[GameDate], "&lt;=" &amp; $A81, Table2[AwayTeam], W$1)+SUMIFS(Table2[NewPointsHome],Table2[GameDate], "&lt;=" &amp; $A81, Table2[HomeTeam], W$1)</f>
        <v>4</v>
      </c>
      <c r="X81" s="145">
        <f>SUMIFS(Table2[NewPointsAway],Table2[GameDate], "&lt;=" &amp; $A81, Table2[AwayTeam], X$1)+SUMIFS(Table2[NewPointsHome],Table2[GameDate], "&lt;=" &amp; $A81, Table2[HomeTeam], X$1)</f>
        <v>4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4</v>
      </c>
      <c r="AA81" s="145">
        <f>SUMIFS(Table2[NewPointsAway],Table2[GameDate], "&lt;=" &amp; $A81, Table2[AwayTeam], AA$1)+SUMIFS(Table2[NewPointsHome],Table2[GameDate], "&lt;=" &amp; $A81, Table2[HomeTeam], AA$1)</f>
        <v>2</v>
      </c>
      <c r="AB81" s="145">
        <f>SUMIFS(Table2[NewPointsAway],Table2[GameDate], "&lt;=" &amp; $A81, Table2[AwayTeam], AB$1)+SUMIFS(Table2[NewPointsHome],Table2[GameDate], "&lt;=" &amp; $A81, Table2[HomeTeam], AB$1)</f>
        <v>2</v>
      </c>
      <c r="AC81" s="145">
        <f>SUMIFS(Table2[NewPointsAway],Table2[GameDate], "&lt;=" &amp; $A81, Table2[AwayTeam], AC$1)+SUMIFS(Table2[NewPointsHome],Table2[GameDate], "&lt;=" &amp; $A81, Table2[HomeTeam], AC$1)</f>
        <v>2</v>
      </c>
      <c r="AD81" s="145">
        <f>SUMIFS(Table2[NewPointsAway],Table2[GameDate], "&lt;=" &amp; $A81, Table2[AwayTeam], AD$1)+SUMIFS(Table2[NewPointsHome],Table2[GameDate], "&lt;=" &amp; $A81, Table2[HomeTeam], AD$1)</f>
        <v>2</v>
      </c>
      <c r="AE81" s="145">
        <f>SUMIFS(Table2[NewPointsAway],Table2[GameDate], "&lt;=" &amp; $A81, Table2[AwayTeam], AE$1)+SUMIFS(Table2[NewPointsHome],Table2[GameDate], "&lt;=" &amp; $A81, Table2[HomeTeam], AE$1)</f>
        <v>4</v>
      </c>
      <c r="AF81" s="145">
        <f>SUMIFS(Table2[NewPointsAway],Table2[GameDate], "&lt;=" &amp; $A81, Table2[AwayTeam], AF$1)+SUMIFS(Table2[NewPointsHome],Table2[GameDate], "&lt;=" &amp; $A81, Table2[HomeTeam], AF$1)</f>
        <v>4</v>
      </c>
      <c r="AG81" s="145">
        <f>SUMIFS(Table2[NewPointsAway],Table2[GameDate], "&lt;=" &amp; $A81, Table2[AwayTeam], AG$1)+SUMIFS(Table2[NewPointsHome],Table2[GameDate], "&lt;=" &amp; $A81, Table2[HomeTeam], AG$1)</f>
        <v>4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2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0</v>
      </c>
      <c r="E82" s="145">
        <f>SUMIFS(Table2[NewPointsAway],Table2[GameDate], "&lt;=" &amp; $A82, Table2[AwayTeam], E$1)+SUMIFS(Table2[NewPointsHome],Table2[GameDate], "&lt;=" &amp; $A82, Table2[HomeTeam], E$1)</f>
        <v>4</v>
      </c>
      <c r="F82" s="145">
        <f>SUMIFS(Table2[NewPointsAway],Table2[GameDate], "&lt;=" &amp; $A82, Table2[AwayTeam], F$1)+SUMIFS(Table2[NewPointsHome],Table2[GameDate], "&lt;=" &amp; $A82, Table2[HomeTeam], F$1)</f>
        <v>2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3</v>
      </c>
      <c r="I82" s="145">
        <f>SUMIFS(Table2[NewPointsAway],Table2[GameDate], "&lt;=" &amp; $A82, Table2[AwayTeam], I$1)+SUMIFS(Table2[NewPointsHome],Table2[GameDate], "&lt;=" &amp; $A82, Table2[HomeTeam], I$1)</f>
        <v>7</v>
      </c>
      <c r="J82" s="145">
        <f>SUMIFS(Table2[NewPointsAway],Table2[GameDate], "&lt;=" &amp; $A82, Table2[AwayTeam], J$1)+SUMIFS(Table2[NewPointsHome],Table2[GameDate], "&lt;=" &amp; $A82, Table2[HomeTeam], J$1)</f>
        <v>4</v>
      </c>
      <c r="K82" s="145">
        <f>SUMIFS(Table2[NewPointsAway],Table2[GameDate], "&lt;=" &amp; $A82, Table2[AwayTeam], K$1)+SUMIFS(Table2[NewPointsHome],Table2[GameDate], "&lt;=" &amp; $A82, Table2[HomeTeam], K$1)</f>
        <v>4</v>
      </c>
      <c r="L82" s="145">
        <f>SUMIFS(Table2[NewPointsAway],Table2[GameDate], "&lt;=" &amp; $A82, Table2[AwayTeam], L$1)+SUMIFS(Table2[NewPointsHome],Table2[GameDate], "&lt;=" &amp; $A82, Table2[HomeTeam], L$1)</f>
        <v>3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3</v>
      </c>
      <c r="O82" s="145">
        <f>SUMIFS(Table2[NewPointsAway],Table2[GameDate], "&lt;=" &amp; $A82, Table2[AwayTeam], O$1)+SUMIFS(Table2[NewPointsHome],Table2[GameDate], "&lt;=" &amp; $A82, Table2[HomeTeam], O$1)</f>
        <v>4</v>
      </c>
      <c r="P82" s="145">
        <f>SUMIFS(Table2[NewPointsAway],Table2[GameDate], "&lt;=" &amp; $A82, Table2[AwayTeam], P$1)+SUMIFS(Table2[NewPointsHome],Table2[GameDate], "&lt;=" &amp; $A82, Table2[HomeTeam], P$1)</f>
        <v>4</v>
      </c>
      <c r="Q82" s="145">
        <f>SUMIFS(Table2[NewPointsAway],Table2[GameDate], "&lt;=" &amp; $A82, Table2[AwayTeam], Q$1)+SUMIFS(Table2[NewPointsHome],Table2[GameDate], "&lt;=" &amp; $A82, Table2[HomeTeam], Q$1)</f>
        <v>4</v>
      </c>
      <c r="R82" s="145">
        <f>SUMIFS(Table2[NewPointsAway],Table2[GameDate], "&lt;=" &amp; $A82, Table2[AwayTeam], R$1)+SUMIFS(Table2[NewPointsHome],Table2[GameDate], "&lt;=" &amp; $A82, Table2[HomeTeam], R$1)</f>
        <v>5</v>
      </c>
      <c r="S82" s="145">
        <f>SUMIFS(Table2[NewPointsAway],Table2[GameDate], "&lt;=" &amp; $A82, Table2[AwayTeam], S$1)+SUMIFS(Table2[NewPointsHome],Table2[GameDate], "&lt;=" &amp; $A82, Table2[HomeTeam], S$1)</f>
        <v>0</v>
      </c>
      <c r="T82" s="145">
        <f>SUMIFS(Table2[NewPointsAway],Table2[GameDate], "&lt;=" &amp; $A82, Table2[AwayTeam], T$1)+SUMIFS(Table2[NewPointsHome],Table2[GameDate], "&lt;=" &amp; $A82, Table2[HomeTeam], T$1)</f>
        <v>4</v>
      </c>
      <c r="U82" s="145">
        <f>SUMIFS(Table2[NewPointsAway],Table2[GameDate], "&lt;=" &amp; $A82, Table2[AwayTeam], U$1)+SUMIFS(Table2[NewPointsHome],Table2[GameDate], "&lt;=" &amp; $A82, Table2[HomeTeam], U$1)</f>
        <v>2</v>
      </c>
      <c r="V82" s="145">
        <f>SUMIFS(Table2[NewPointsAway],Table2[GameDate], "&lt;=" &amp; $A82, Table2[AwayTeam], V$1)+SUMIFS(Table2[NewPointsHome],Table2[GameDate], "&lt;=" &amp; $A82, Table2[HomeTeam], V$1)</f>
        <v>3</v>
      </c>
      <c r="W82" s="145">
        <f>SUMIFS(Table2[NewPointsAway],Table2[GameDate], "&lt;=" &amp; $A82, Table2[AwayTeam], W$1)+SUMIFS(Table2[NewPointsHome],Table2[GameDate], "&lt;=" &amp; $A82, Table2[HomeTeam], W$1)</f>
        <v>4</v>
      </c>
      <c r="X82" s="145">
        <f>SUMIFS(Table2[NewPointsAway],Table2[GameDate], "&lt;=" &amp; $A82, Table2[AwayTeam], X$1)+SUMIFS(Table2[NewPointsHome],Table2[GameDate], "&lt;=" &amp; $A82, Table2[HomeTeam], X$1)</f>
        <v>4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4</v>
      </c>
      <c r="AA82" s="145">
        <f>SUMIFS(Table2[NewPointsAway],Table2[GameDate], "&lt;=" &amp; $A82, Table2[AwayTeam], AA$1)+SUMIFS(Table2[NewPointsHome],Table2[GameDate], "&lt;=" &amp; $A82, Table2[HomeTeam], AA$1)</f>
        <v>2</v>
      </c>
      <c r="AB82" s="145">
        <f>SUMIFS(Table2[NewPointsAway],Table2[GameDate], "&lt;=" &amp; $A82, Table2[AwayTeam], AB$1)+SUMIFS(Table2[NewPointsHome],Table2[GameDate], "&lt;=" &amp; $A82, Table2[HomeTeam], AB$1)</f>
        <v>2</v>
      </c>
      <c r="AC82" s="145">
        <f>SUMIFS(Table2[NewPointsAway],Table2[GameDate], "&lt;=" &amp; $A82, Table2[AwayTeam], AC$1)+SUMIFS(Table2[NewPointsHome],Table2[GameDate], "&lt;=" &amp; $A82, Table2[HomeTeam], AC$1)</f>
        <v>2</v>
      </c>
      <c r="AD82" s="145">
        <f>SUMIFS(Table2[NewPointsAway],Table2[GameDate], "&lt;=" &amp; $A82, Table2[AwayTeam], AD$1)+SUMIFS(Table2[NewPointsHome],Table2[GameDate], "&lt;=" &amp; $A82, Table2[HomeTeam], AD$1)</f>
        <v>2</v>
      </c>
      <c r="AE82" s="145">
        <f>SUMIFS(Table2[NewPointsAway],Table2[GameDate], "&lt;=" &amp; $A82, Table2[AwayTeam], AE$1)+SUMIFS(Table2[NewPointsHome],Table2[GameDate], "&lt;=" &amp; $A82, Table2[HomeTeam], AE$1)</f>
        <v>4</v>
      </c>
      <c r="AF82" s="145">
        <f>SUMIFS(Table2[NewPointsAway],Table2[GameDate], "&lt;=" &amp; $A82, Table2[AwayTeam], AF$1)+SUMIFS(Table2[NewPointsHome],Table2[GameDate], "&lt;=" &amp; $A82, Table2[HomeTeam], AF$1)</f>
        <v>4</v>
      </c>
      <c r="AG82" s="145">
        <f>SUMIFS(Table2[NewPointsAway],Table2[GameDate], "&lt;=" &amp; $A82, Table2[AwayTeam], AG$1)+SUMIFS(Table2[NewPointsHome],Table2[GameDate], "&lt;=" &amp; $A82, Table2[HomeTeam], AG$1)</f>
        <v>4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2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0</v>
      </c>
      <c r="E83" s="145">
        <f>SUMIFS(Table2[NewPointsAway],Table2[GameDate], "&lt;=" &amp; $A83, Table2[AwayTeam], E$1)+SUMIFS(Table2[NewPointsHome],Table2[GameDate], "&lt;=" &amp; $A83, Table2[HomeTeam], E$1)</f>
        <v>4</v>
      </c>
      <c r="F83" s="145">
        <f>SUMIFS(Table2[NewPointsAway],Table2[GameDate], "&lt;=" &amp; $A83, Table2[AwayTeam], F$1)+SUMIFS(Table2[NewPointsHome],Table2[GameDate], "&lt;=" &amp; $A83, Table2[HomeTeam], F$1)</f>
        <v>2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3</v>
      </c>
      <c r="I83" s="145">
        <f>SUMIFS(Table2[NewPointsAway],Table2[GameDate], "&lt;=" &amp; $A83, Table2[AwayTeam], I$1)+SUMIFS(Table2[NewPointsHome],Table2[GameDate], "&lt;=" &amp; $A83, Table2[HomeTeam], I$1)</f>
        <v>7</v>
      </c>
      <c r="J83" s="145">
        <f>SUMIFS(Table2[NewPointsAway],Table2[GameDate], "&lt;=" &amp; $A83, Table2[AwayTeam], J$1)+SUMIFS(Table2[NewPointsHome],Table2[GameDate], "&lt;=" &amp; $A83, Table2[HomeTeam], J$1)</f>
        <v>4</v>
      </c>
      <c r="K83" s="145">
        <f>SUMIFS(Table2[NewPointsAway],Table2[GameDate], "&lt;=" &amp; $A83, Table2[AwayTeam], K$1)+SUMIFS(Table2[NewPointsHome],Table2[GameDate], "&lt;=" &amp; $A83, Table2[HomeTeam], K$1)</f>
        <v>4</v>
      </c>
      <c r="L83" s="145">
        <f>SUMIFS(Table2[NewPointsAway],Table2[GameDate], "&lt;=" &amp; $A83, Table2[AwayTeam], L$1)+SUMIFS(Table2[NewPointsHome],Table2[GameDate], "&lt;=" &amp; $A83, Table2[HomeTeam], L$1)</f>
        <v>3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3</v>
      </c>
      <c r="O83" s="145">
        <f>SUMIFS(Table2[NewPointsAway],Table2[GameDate], "&lt;=" &amp; $A83, Table2[AwayTeam], O$1)+SUMIFS(Table2[NewPointsHome],Table2[GameDate], "&lt;=" &amp; $A83, Table2[HomeTeam], O$1)</f>
        <v>4</v>
      </c>
      <c r="P83" s="145">
        <f>SUMIFS(Table2[NewPointsAway],Table2[GameDate], "&lt;=" &amp; $A83, Table2[AwayTeam], P$1)+SUMIFS(Table2[NewPointsHome],Table2[GameDate], "&lt;=" &amp; $A83, Table2[HomeTeam], P$1)</f>
        <v>4</v>
      </c>
      <c r="Q83" s="145">
        <f>SUMIFS(Table2[NewPointsAway],Table2[GameDate], "&lt;=" &amp; $A83, Table2[AwayTeam], Q$1)+SUMIFS(Table2[NewPointsHome],Table2[GameDate], "&lt;=" &amp; $A83, Table2[HomeTeam], Q$1)</f>
        <v>4</v>
      </c>
      <c r="R83" s="145">
        <f>SUMIFS(Table2[NewPointsAway],Table2[GameDate], "&lt;=" &amp; $A83, Table2[AwayTeam], R$1)+SUMIFS(Table2[NewPointsHome],Table2[GameDate], "&lt;=" &amp; $A83, Table2[HomeTeam], R$1)</f>
        <v>5</v>
      </c>
      <c r="S83" s="145">
        <f>SUMIFS(Table2[NewPointsAway],Table2[GameDate], "&lt;=" &amp; $A83, Table2[AwayTeam], S$1)+SUMIFS(Table2[NewPointsHome],Table2[GameDate], "&lt;=" &amp; $A83, Table2[HomeTeam], S$1)</f>
        <v>0</v>
      </c>
      <c r="T83" s="145">
        <f>SUMIFS(Table2[NewPointsAway],Table2[GameDate], "&lt;=" &amp; $A83, Table2[AwayTeam], T$1)+SUMIFS(Table2[NewPointsHome],Table2[GameDate], "&lt;=" &amp; $A83, Table2[HomeTeam], T$1)</f>
        <v>4</v>
      </c>
      <c r="U83" s="145">
        <f>SUMIFS(Table2[NewPointsAway],Table2[GameDate], "&lt;=" &amp; $A83, Table2[AwayTeam], U$1)+SUMIFS(Table2[NewPointsHome],Table2[GameDate], "&lt;=" &amp; $A83, Table2[HomeTeam], U$1)</f>
        <v>2</v>
      </c>
      <c r="V83" s="145">
        <f>SUMIFS(Table2[NewPointsAway],Table2[GameDate], "&lt;=" &amp; $A83, Table2[AwayTeam], V$1)+SUMIFS(Table2[NewPointsHome],Table2[GameDate], "&lt;=" &amp; $A83, Table2[HomeTeam], V$1)</f>
        <v>3</v>
      </c>
      <c r="W83" s="145">
        <f>SUMIFS(Table2[NewPointsAway],Table2[GameDate], "&lt;=" &amp; $A83, Table2[AwayTeam], W$1)+SUMIFS(Table2[NewPointsHome],Table2[GameDate], "&lt;=" &amp; $A83, Table2[HomeTeam], W$1)</f>
        <v>4</v>
      </c>
      <c r="X83" s="145">
        <f>SUMIFS(Table2[NewPointsAway],Table2[GameDate], "&lt;=" &amp; $A83, Table2[AwayTeam], X$1)+SUMIFS(Table2[NewPointsHome],Table2[GameDate], "&lt;=" &amp; $A83, Table2[HomeTeam], X$1)</f>
        <v>4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4</v>
      </c>
      <c r="AA83" s="145">
        <f>SUMIFS(Table2[NewPointsAway],Table2[GameDate], "&lt;=" &amp; $A83, Table2[AwayTeam], AA$1)+SUMIFS(Table2[NewPointsHome],Table2[GameDate], "&lt;=" &amp; $A83, Table2[HomeTeam], AA$1)</f>
        <v>2</v>
      </c>
      <c r="AB83" s="145">
        <f>SUMIFS(Table2[NewPointsAway],Table2[GameDate], "&lt;=" &amp; $A83, Table2[AwayTeam], AB$1)+SUMIFS(Table2[NewPointsHome],Table2[GameDate], "&lt;=" &amp; $A83, Table2[HomeTeam], AB$1)</f>
        <v>2</v>
      </c>
      <c r="AC83" s="145">
        <f>SUMIFS(Table2[NewPointsAway],Table2[GameDate], "&lt;=" &amp; $A83, Table2[AwayTeam], AC$1)+SUMIFS(Table2[NewPointsHome],Table2[GameDate], "&lt;=" &amp; $A83, Table2[HomeTeam], AC$1)</f>
        <v>2</v>
      </c>
      <c r="AD83" s="145">
        <f>SUMIFS(Table2[NewPointsAway],Table2[GameDate], "&lt;=" &amp; $A83, Table2[AwayTeam], AD$1)+SUMIFS(Table2[NewPointsHome],Table2[GameDate], "&lt;=" &amp; $A83, Table2[HomeTeam], AD$1)</f>
        <v>2</v>
      </c>
      <c r="AE83" s="145">
        <f>SUMIFS(Table2[NewPointsAway],Table2[GameDate], "&lt;=" &amp; $A83, Table2[AwayTeam], AE$1)+SUMIFS(Table2[NewPointsHome],Table2[GameDate], "&lt;=" &amp; $A83, Table2[HomeTeam], AE$1)</f>
        <v>4</v>
      </c>
      <c r="AF83" s="145">
        <f>SUMIFS(Table2[NewPointsAway],Table2[GameDate], "&lt;=" &amp; $A83, Table2[AwayTeam], AF$1)+SUMIFS(Table2[NewPointsHome],Table2[GameDate], "&lt;=" &amp; $A83, Table2[HomeTeam], AF$1)</f>
        <v>4</v>
      </c>
      <c r="AG83" s="145">
        <f>SUMIFS(Table2[NewPointsAway],Table2[GameDate], "&lt;=" &amp; $A83, Table2[AwayTeam], AG$1)+SUMIFS(Table2[NewPointsHome],Table2[GameDate], "&lt;=" &amp; $A83, Table2[HomeTeam], AG$1)</f>
        <v>4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2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0</v>
      </c>
      <c r="E84" s="145">
        <f>SUMIFS(Table2[NewPointsAway],Table2[GameDate], "&lt;=" &amp; $A84, Table2[AwayTeam], E$1)+SUMIFS(Table2[NewPointsHome],Table2[GameDate], "&lt;=" &amp; $A84, Table2[HomeTeam], E$1)</f>
        <v>4</v>
      </c>
      <c r="F84" s="145">
        <f>SUMIFS(Table2[NewPointsAway],Table2[GameDate], "&lt;=" &amp; $A84, Table2[AwayTeam], F$1)+SUMIFS(Table2[NewPointsHome],Table2[GameDate], "&lt;=" &amp; $A84, Table2[HomeTeam], F$1)</f>
        <v>2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3</v>
      </c>
      <c r="I84" s="145">
        <f>SUMIFS(Table2[NewPointsAway],Table2[GameDate], "&lt;=" &amp; $A84, Table2[AwayTeam], I$1)+SUMIFS(Table2[NewPointsHome],Table2[GameDate], "&lt;=" &amp; $A84, Table2[HomeTeam], I$1)</f>
        <v>7</v>
      </c>
      <c r="J84" s="145">
        <f>SUMIFS(Table2[NewPointsAway],Table2[GameDate], "&lt;=" &amp; $A84, Table2[AwayTeam], J$1)+SUMIFS(Table2[NewPointsHome],Table2[GameDate], "&lt;=" &amp; $A84, Table2[HomeTeam], J$1)</f>
        <v>4</v>
      </c>
      <c r="K84" s="145">
        <f>SUMIFS(Table2[NewPointsAway],Table2[GameDate], "&lt;=" &amp; $A84, Table2[AwayTeam], K$1)+SUMIFS(Table2[NewPointsHome],Table2[GameDate], "&lt;=" &amp; $A84, Table2[HomeTeam], K$1)</f>
        <v>4</v>
      </c>
      <c r="L84" s="145">
        <f>SUMIFS(Table2[NewPointsAway],Table2[GameDate], "&lt;=" &amp; $A84, Table2[AwayTeam], L$1)+SUMIFS(Table2[NewPointsHome],Table2[GameDate], "&lt;=" &amp; $A84, Table2[HomeTeam], L$1)</f>
        <v>3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3</v>
      </c>
      <c r="O84" s="145">
        <f>SUMIFS(Table2[NewPointsAway],Table2[GameDate], "&lt;=" &amp; $A84, Table2[AwayTeam], O$1)+SUMIFS(Table2[NewPointsHome],Table2[GameDate], "&lt;=" &amp; $A84, Table2[HomeTeam], O$1)</f>
        <v>4</v>
      </c>
      <c r="P84" s="145">
        <f>SUMIFS(Table2[NewPointsAway],Table2[GameDate], "&lt;=" &amp; $A84, Table2[AwayTeam], P$1)+SUMIFS(Table2[NewPointsHome],Table2[GameDate], "&lt;=" &amp; $A84, Table2[HomeTeam], P$1)</f>
        <v>4</v>
      </c>
      <c r="Q84" s="145">
        <f>SUMIFS(Table2[NewPointsAway],Table2[GameDate], "&lt;=" &amp; $A84, Table2[AwayTeam], Q$1)+SUMIFS(Table2[NewPointsHome],Table2[GameDate], "&lt;=" &amp; $A84, Table2[HomeTeam], Q$1)</f>
        <v>4</v>
      </c>
      <c r="R84" s="145">
        <f>SUMIFS(Table2[NewPointsAway],Table2[GameDate], "&lt;=" &amp; $A84, Table2[AwayTeam], R$1)+SUMIFS(Table2[NewPointsHome],Table2[GameDate], "&lt;=" &amp; $A84, Table2[HomeTeam], R$1)</f>
        <v>5</v>
      </c>
      <c r="S84" s="145">
        <f>SUMIFS(Table2[NewPointsAway],Table2[GameDate], "&lt;=" &amp; $A84, Table2[AwayTeam], S$1)+SUMIFS(Table2[NewPointsHome],Table2[GameDate], "&lt;=" &amp; $A84, Table2[HomeTeam], S$1)</f>
        <v>0</v>
      </c>
      <c r="T84" s="145">
        <f>SUMIFS(Table2[NewPointsAway],Table2[GameDate], "&lt;=" &amp; $A84, Table2[AwayTeam], T$1)+SUMIFS(Table2[NewPointsHome],Table2[GameDate], "&lt;=" &amp; $A84, Table2[HomeTeam], T$1)</f>
        <v>4</v>
      </c>
      <c r="U84" s="145">
        <f>SUMIFS(Table2[NewPointsAway],Table2[GameDate], "&lt;=" &amp; $A84, Table2[AwayTeam], U$1)+SUMIFS(Table2[NewPointsHome],Table2[GameDate], "&lt;=" &amp; $A84, Table2[HomeTeam], U$1)</f>
        <v>2</v>
      </c>
      <c r="V84" s="145">
        <f>SUMIFS(Table2[NewPointsAway],Table2[GameDate], "&lt;=" &amp; $A84, Table2[AwayTeam], V$1)+SUMIFS(Table2[NewPointsHome],Table2[GameDate], "&lt;=" &amp; $A84, Table2[HomeTeam], V$1)</f>
        <v>3</v>
      </c>
      <c r="W84" s="145">
        <f>SUMIFS(Table2[NewPointsAway],Table2[GameDate], "&lt;=" &amp; $A84, Table2[AwayTeam], W$1)+SUMIFS(Table2[NewPointsHome],Table2[GameDate], "&lt;=" &amp; $A84, Table2[HomeTeam], W$1)</f>
        <v>4</v>
      </c>
      <c r="X84" s="145">
        <f>SUMIFS(Table2[NewPointsAway],Table2[GameDate], "&lt;=" &amp; $A84, Table2[AwayTeam], X$1)+SUMIFS(Table2[NewPointsHome],Table2[GameDate], "&lt;=" &amp; $A84, Table2[HomeTeam], X$1)</f>
        <v>4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4</v>
      </c>
      <c r="AA84" s="145">
        <f>SUMIFS(Table2[NewPointsAway],Table2[GameDate], "&lt;=" &amp; $A84, Table2[AwayTeam], AA$1)+SUMIFS(Table2[NewPointsHome],Table2[GameDate], "&lt;=" &amp; $A84, Table2[HomeTeam], AA$1)</f>
        <v>2</v>
      </c>
      <c r="AB84" s="145">
        <f>SUMIFS(Table2[NewPointsAway],Table2[GameDate], "&lt;=" &amp; $A84, Table2[AwayTeam], AB$1)+SUMIFS(Table2[NewPointsHome],Table2[GameDate], "&lt;=" &amp; $A84, Table2[HomeTeam], AB$1)</f>
        <v>2</v>
      </c>
      <c r="AC84" s="145">
        <f>SUMIFS(Table2[NewPointsAway],Table2[GameDate], "&lt;=" &amp; $A84, Table2[AwayTeam], AC$1)+SUMIFS(Table2[NewPointsHome],Table2[GameDate], "&lt;=" &amp; $A84, Table2[HomeTeam], AC$1)</f>
        <v>2</v>
      </c>
      <c r="AD84" s="145">
        <f>SUMIFS(Table2[NewPointsAway],Table2[GameDate], "&lt;=" &amp; $A84, Table2[AwayTeam], AD$1)+SUMIFS(Table2[NewPointsHome],Table2[GameDate], "&lt;=" &amp; $A84, Table2[HomeTeam], AD$1)</f>
        <v>2</v>
      </c>
      <c r="AE84" s="145">
        <f>SUMIFS(Table2[NewPointsAway],Table2[GameDate], "&lt;=" &amp; $A84, Table2[AwayTeam], AE$1)+SUMIFS(Table2[NewPointsHome],Table2[GameDate], "&lt;=" &amp; $A84, Table2[HomeTeam], AE$1)</f>
        <v>4</v>
      </c>
      <c r="AF84" s="145">
        <f>SUMIFS(Table2[NewPointsAway],Table2[GameDate], "&lt;=" &amp; $A84, Table2[AwayTeam], AF$1)+SUMIFS(Table2[NewPointsHome],Table2[GameDate], "&lt;=" &amp; $A84, Table2[HomeTeam], AF$1)</f>
        <v>4</v>
      </c>
      <c r="AG84" s="145">
        <f>SUMIFS(Table2[NewPointsAway],Table2[GameDate], "&lt;=" &amp; $A84, Table2[AwayTeam], AG$1)+SUMIFS(Table2[NewPointsHome],Table2[GameDate], "&lt;=" &amp; $A84, Table2[HomeTeam], AG$1)</f>
        <v>4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2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0</v>
      </c>
      <c r="E85" s="145">
        <f>SUMIFS(Table2[NewPointsAway],Table2[GameDate], "&lt;=" &amp; $A85, Table2[AwayTeam], E$1)+SUMIFS(Table2[NewPointsHome],Table2[GameDate], "&lt;=" &amp; $A85, Table2[HomeTeam], E$1)</f>
        <v>4</v>
      </c>
      <c r="F85" s="145">
        <f>SUMIFS(Table2[NewPointsAway],Table2[GameDate], "&lt;=" &amp; $A85, Table2[AwayTeam], F$1)+SUMIFS(Table2[NewPointsHome],Table2[GameDate], "&lt;=" &amp; $A85, Table2[HomeTeam], F$1)</f>
        <v>2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3</v>
      </c>
      <c r="I85" s="145">
        <f>SUMIFS(Table2[NewPointsAway],Table2[GameDate], "&lt;=" &amp; $A85, Table2[AwayTeam], I$1)+SUMIFS(Table2[NewPointsHome],Table2[GameDate], "&lt;=" &amp; $A85, Table2[HomeTeam], I$1)</f>
        <v>7</v>
      </c>
      <c r="J85" s="145">
        <f>SUMIFS(Table2[NewPointsAway],Table2[GameDate], "&lt;=" &amp; $A85, Table2[AwayTeam], J$1)+SUMIFS(Table2[NewPointsHome],Table2[GameDate], "&lt;=" &amp; $A85, Table2[HomeTeam], J$1)</f>
        <v>4</v>
      </c>
      <c r="K85" s="145">
        <f>SUMIFS(Table2[NewPointsAway],Table2[GameDate], "&lt;=" &amp; $A85, Table2[AwayTeam], K$1)+SUMIFS(Table2[NewPointsHome],Table2[GameDate], "&lt;=" &amp; $A85, Table2[HomeTeam], K$1)</f>
        <v>4</v>
      </c>
      <c r="L85" s="145">
        <f>SUMIFS(Table2[NewPointsAway],Table2[GameDate], "&lt;=" &amp; $A85, Table2[AwayTeam], L$1)+SUMIFS(Table2[NewPointsHome],Table2[GameDate], "&lt;=" &amp; $A85, Table2[HomeTeam], L$1)</f>
        <v>3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3</v>
      </c>
      <c r="O85" s="145">
        <f>SUMIFS(Table2[NewPointsAway],Table2[GameDate], "&lt;=" &amp; $A85, Table2[AwayTeam], O$1)+SUMIFS(Table2[NewPointsHome],Table2[GameDate], "&lt;=" &amp; $A85, Table2[HomeTeam], O$1)</f>
        <v>4</v>
      </c>
      <c r="P85" s="145">
        <f>SUMIFS(Table2[NewPointsAway],Table2[GameDate], "&lt;=" &amp; $A85, Table2[AwayTeam], P$1)+SUMIFS(Table2[NewPointsHome],Table2[GameDate], "&lt;=" &amp; $A85, Table2[HomeTeam], P$1)</f>
        <v>4</v>
      </c>
      <c r="Q85" s="145">
        <f>SUMIFS(Table2[NewPointsAway],Table2[GameDate], "&lt;=" &amp; $A85, Table2[AwayTeam], Q$1)+SUMIFS(Table2[NewPointsHome],Table2[GameDate], "&lt;=" &amp; $A85, Table2[HomeTeam], Q$1)</f>
        <v>4</v>
      </c>
      <c r="R85" s="145">
        <f>SUMIFS(Table2[NewPointsAway],Table2[GameDate], "&lt;=" &amp; $A85, Table2[AwayTeam], R$1)+SUMIFS(Table2[NewPointsHome],Table2[GameDate], "&lt;=" &amp; $A85, Table2[HomeTeam], R$1)</f>
        <v>5</v>
      </c>
      <c r="S85" s="145">
        <f>SUMIFS(Table2[NewPointsAway],Table2[GameDate], "&lt;=" &amp; $A85, Table2[AwayTeam], S$1)+SUMIFS(Table2[NewPointsHome],Table2[GameDate], "&lt;=" &amp; $A85, Table2[HomeTeam], S$1)</f>
        <v>0</v>
      </c>
      <c r="T85" s="145">
        <f>SUMIFS(Table2[NewPointsAway],Table2[GameDate], "&lt;=" &amp; $A85, Table2[AwayTeam], T$1)+SUMIFS(Table2[NewPointsHome],Table2[GameDate], "&lt;=" &amp; $A85, Table2[HomeTeam], T$1)</f>
        <v>4</v>
      </c>
      <c r="U85" s="145">
        <f>SUMIFS(Table2[NewPointsAway],Table2[GameDate], "&lt;=" &amp; $A85, Table2[AwayTeam], U$1)+SUMIFS(Table2[NewPointsHome],Table2[GameDate], "&lt;=" &amp; $A85, Table2[HomeTeam], U$1)</f>
        <v>2</v>
      </c>
      <c r="V85" s="145">
        <f>SUMIFS(Table2[NewPointsAway],Table2[GameDate], "&lt;=" &amp; $A85, Table2[AwayTeam], V$1)+SUMIFS(Table2[NewPointsHome],Table2[GameDate], "&lt;=" &amp; $A85, Table2[HomeTeam], V$1)</f>
        <v>3</v>
      </c>
      <c r="W85" s="145">
        <f>SUMIFS(Table2[NewPointsAway],Table2[GameDate], "&lt;=" &amp; $A85, Table2[AwayTeam], W$1)+SUMIFS(Table2[NewPointsHome],Table2[GameDate], "&lt;=" &amp; $A85, Table2[HomeTeam], W$1)</f>
        <v>4</v>
      </c>
      <c r="X85" s="145">
        <f>SUMIFS(Table2[NewPointsAway],Table2[GameDate], "&lt;=" &amp; $A85, Table2[AwayTeam], X$1)+SUMIFS(Table2[NewPointsHome],Table2[GameDate], "&lt;=" &amp; $A85, Table2[HomeTeam], X$1)</f>
        <v>4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4</v>
      </c>
      <c r="AA85" s="145">
        <f>SUMIFS(Table2[NewPointsAway],Table2[GameDate], "&lt;=" &amp; $A85, Table2[AwayTeam], AA$1)+SUMIFS(Table2[NewPointsHome],Table2[GameDate], "&lt;=" &amp; $A85, Table2[HomeTeam], AA$1)</f>
        <v>2</v>
      </c>
      <c r="AB85" s="145">
        <f>SUMIFS(Table2[NewPointsAway],Table2[GameDate], "&lt;=" &amp; $A85, Table2[AwayTeam], AB$1)+SUMIFS(Table2[NewPointsHome],Table2[GameDate], "&lt;=" &amp; $A85, Table2[HomeTeam], AB$1)</f>
        <v>2</v>
      </c>
      <c r="AC85" s="145">
        <f>SUMIFS(Table2[NewPointsAway],Table2[GameDate], "&lt;=" &amp; $A85, Table2[AwayTeam], AC$1)+SUMIFS(Table2[NewPointsHome],Table2[GameDate], "&lt;=" &amp; $A85, Table2[HomeTeam], AC$1)</f>
        <v>2</v>
      </c>
      <c r="AD85" s="145">
        <f>SUMIFS(Table2[NewPointsAway],Table2[GameDate], "&lt;=" &amp; $A85, Table2[AwayTeam], AD$1)+SUMIFS(Table2[NewPointsHome],Table2[GameDate], "&lt;=" &amp; $A85, Table2[HomeTeam], AD$1)</f>
        <v>2</v>
      </c>
      <c r="AE85" s="145">
        <f>SUMIFS(Table2[NewPointsAway],Table2[GameDate], "&lt;=" &amp; $A85, Table2[AwayTeam], AE$1)+SUMIFS(Table2[NewPointsHome],Table2[GameDate], "&lt;=" &amp; $A85, Table2[HomeTeam], AE$1)</f>
        <v>4</v>
      </c>
      <c r="AF85" s="145">
        <f>SUMIFS(Table2[NewPointsAway],Table2[GameDate], "&lt;=" &amp; $A85, Table2[AwayTeam], AF$1)+SUMIFS(Table2[NewPointsHome],Table2[GameDate], "&lt;=" &amp; $A85, Table2[HomeTeam], AF$1)</f>
        <v>4</v>
      </c>
      <c r="AG85" s="145">
        <f>SUMIFS(Table2[NewPointsAway],Table2[GameDate], "&lt;=" &amp; $A85, Table2[AwayTeam], AG$1)+SUMIFS(Table2[NewPointsHome],Table2[GameDate], "&lt;=" &amp; $A85, Table2[HomeTeam], AG$1)</f>
        <v>4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2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0</v>
      </c>
      <c r="E86" s="145">
        <f>SUMIFS(Table2[NewPointsAway],Table2[GameDate], "&lt;=" &amp; $A86, Table2[AwayTeam], E$1)+SUMIFS(Table2[NewPointsHome],Table2[GameDate], "&lt;=" &amp; $A86, Table2[HomeTeam], E$1)</f>
        <v>4</v>
      </c>
      <c r="F86" s="145">
        <f>SUMIFS(Table2[NewPointsAway],Table2[GameDate], "&lt;=" &amp; $A86, Table2[AwayTeam], F$1)+SUMIFS(Table2[NewPointsHome],Table2[GameDate], "&lt;=" &amp; $A86, Table2[HomeTeam], F$1)</f>
        <v>2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3</v>
      </c>
      <c r="I86" s="145">
        <f>SUMIFS(Table2[NewPointsAway],Table2[GameDate], "&lt;=" &amp; $A86, Table2[AwayTeam], I$1)+SUMIFS(Table2[NewPointsHome],Table2[GameDate], "&lt;=" &amp; $A86, Table2[HomeTeam], I$1)</f>
        <v>7</v>
      </c>
      <c r="J86" s="145">
        <f>SUMIFS(Table2[NewPointsAway],Table2[GameDate], "&lt;=" &amp; $A86, Table2[AwayTeam], J$1)+SUMIFS(Table2[NewPointsHome],Table2[GameDate], "&lt;=" &amp; $A86, Table2[HomeTeam], J$1)</f>
        <v>4</v>
      </c>
      <c r="K86" s="145">
        <f>SUMIFS(Table2[NewPointsAway],Table2[GameDate], "&lt;=" &amp; $A86, Table2[AwayTeam], K$1)+SUMIFS(Table2[NewPointsHome],Table2[GameDate], "&lt;=" &amp; $A86, Table2[HomeTeam], K$1)</f>
        <v>4</v>
      </c>
      <c r="L86" s="145">
        <f>SUMIFS(Table2[NewPointsAway],Table2[GameDate], "&lt;=" &amp; $A86, Table2[AwayTeam], L$1)+SUMIFS(Table2[NewPointsHome],Table2[GameDate], "&lt;=" &amp; $A86, Table2[HomeTeam], L$1)</f>
        <v>3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3</v>
      </c>
      <c r="O86" s="145">
        <f>SUMIFS(Table2[NewPointsAway],Table2[GameDate], "&lt;=" &amp; $A86, Table2[AwayTeam], O$1)+SUMIFS(Table2[NewPointsHome],Table2[GameDate], "&lt;=" &amp; $A86, Table2[HomeTeam], O$1)</f>
        <v>4</v>
      </c>
      <c r="P86" s="145">
        <f>SUMIFS(Table2[NewPointsAway],Table2[GameDate], "&lt;=" &amp; $A86, Table2[AwayTeam], P$1)+SUMIFS(Table2[NewPointsHome],Table2[GameDate], "&lt;=" &amp; $A86, Table2[HomeTeam], P$1)</f>
        <v>4</v>
      </c>
      <c r="Q86" s="145">
        <f>SUMIFS(Table2[NewPointsAway],Table2[GameDate], "&lt;=" &amp; $A86, Table2[AwayTeam], Q$1)+SUMIFS(Table2[NewPointsHome],Table2[GameDate], "&lt;=" &amp; $A86, Table2[HomeTeam], Q$1)</f>
        <v>4</v>
      </c>
      <c r="R86" s="145">
        <f>SUMIFS(Table2[NewPointsAway],Table2[GameDate], "&lt;=" &amp; $A86, Table2[AwayTeam], R$1)+SUMIFS(Table2[NewPointsHome],Table2[GameDate], "&lt;=" &amp; $A86, Table2[HomeTeam], R$1)</f>
        <v>5</v>
      </c>
      <c r="S86" s="145">
        <f>SUMIFS(Table2[NewPointsAway],Table2[GameDate], "&lt;=" &amp; $A86, Table2[AwayTeam], S$1)+SUMIFS(Table2[NewPointsHome],Table2[GameDate], "&lt;=" &amp; $A86, Table2[HomeTeam], S$1)</f>
        <v>0</v>
      </c>
      <c r="T86" s="145">
        <f>SUMIFS(Table2[NewPointsAway],Table2[GameDate], "&lt;=" &amp; $A86, Table2[AwayTeam], T$1)+SUMIFS(Table2[NewPointsHome],Table2[GameDate], "&lt;=" &amp; $A86, Table2[HomeTeam], T$1)</f>
        <v>4</v>
      </c>
      <c r="U86" s="145">
        <f>SUMIFS(Table2[NewPointsAway],Table2[GameDate], "&lt;=" &amp; $A86, Table2[AwayTeam], U$1)+SUMIFS(Table2[NewPointsHome],Table2[GameDate], "&lt;=" &amp; $A86, Table2[HomeTeam], U$1)</f>
        <v>2</v>
      </c>
      <c r="V86" s="145">
        <f>SUMIFS(Table2[NewPointsAway],Table2[GameDate], "&lt;=" &amp; $A86, Table2[AwayTeam], V$1)+SUMIFS(Table2[NewPointsHome],Table2[GameDate], "&lt;=" &amp; $A86, Table2[HomeTeam], V$1)</f>
        <v>3</v>
      </c>
      <c r="W86" s="145">
        <f>SUMIFS(Table2[NewPointsAway],Table2[GameDate], "&lt;=" &amp; $A86, Table2[AwayTeam], W$1)+SUMIFS(Table2[NewPointsHome],Table2[GameDate], "&lt;=" &amp; $A86, Table2[HomeTeam], W$1)</f>
        <v>4</v>
      </c>
      <c r="X86" s="145">
        <f>SUMIFS(Table2[NewPointsAway],Table2[GameDate], "&lt;=" &amp; $A86, Table2[AwayTeam], X$1)+SUMIFS(Table2[NewPointsHome],Table2[GameDate], "&lt;=" &amp; $A86, Table2[HomeTeam], X$1)</f>
        <v>4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4</v>
      </c>
      <c r="AA86" s="145">
        <f>SUMIFS(Table2[NewPointsAway],Table2[GameDate], "&lt;=" &amp; $A86, Table2[AwayTeam], AA$1)+SUMIFS(Table2[NewPointsHome],Table2[GameDate], "&lt;=" &amp; $A86, Table2[HomeTeam], AA$1)</f>
        <v>2</v>
      </c>
      <c r="AB86" s="145">
        <f>SUMIFS(Table2[NewPointsAway],Table2[GameDate], "&lt;=" &amp; $A86, Table2[AwayTeam], AB$1)+SUMIFS(Table2[NewPointsHome],Table2[GameDate], "&lt;=" &amp; $A86, Table2[HomeTeam], AB$1)</f>
        <v>2</v>
      </c>
      <c r="AC86" s="145">
        <f>SUMIFS(Table2[NewPointsAway],Table2[GameDate], "&lt;=" &amp; $A86, Table2[AwayTeam], AC$1)+SUMIFS(Table2[NewPointsHome],Table2[GameDate], "&lt;=" &amp; $A86, Table2[HomeTeam], AC$1)</f>
        <v>2</v>
      </c>
      <c r="AD86" s="145">
        <f>SUMIFS(Table2[NewPointsAway],Table2[GameDate], "&lt;=" &amp; $A86, Table2[AwayTeam], AD$1)+SUMIFS(Table2[NewPointsHome],Table2[GameDate], "&lt;=" &amp; $A86, Table2[HomeTeam], AD$1)</f>
        <v>2</v>
      </c>
      <c r="AE86" s="145">
        <f>SUMIFS(Table2[NewPointsAway],Table2[GameDate], "&lt;=" &amp; $A86, Table2[AwayTeam], AE$1)+SUMIFS(Table2[NewPointsHome],Table2[GameDate], "&lt;=" &amp; $A86, Table2[HomeTeam], AE$1)</f>
        <v>4</v>
      </c>
      <c r="AF86" s="145">
        <f>SUMIFS(Table2[NewPointsAway],Table2[GameDate], "&lt;=" &amp; $A86, Table2[AwayTeam], AF$1)+SUMIFS(Table2[NewPointsHome],Table2[GameDate], "&lt;=" &amp; $A86, Table2[HomeTeam], AF$1)</f>
        <v>4</v>
      </c>
      <c r="AG86" s="145">
        <f>SUMIFS(Table2[NewPointsAway],Table2[GameDate], "&lt;=" &amp; $A86, Table2[AwayTeam], AG$1)+SUMIFS(Table2[NewPointsHome],Table2[GameDate], "&lt;=" &amp; $A86, Table2[HomeTeam], AG$1)</f>
        <v>4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2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0</v>
      </c>
      <c r="E87" s="145">
        <f>SUMIFS(Table2[NewPointsAway],Table2[GameDate], "&lt;=" &amp; $A87, Table2[AwayTeam], E$1)+SUMIFS(Table2[NewPointsHome],Table2[GameDate], "&lt;=" &amp; $A87, Table2[HomeTeam], E$1)</f>
        <v>4</v>
      </c>
      <c r="F87" s="145">
        <f>SUMIFS(Table2[NewPointsAway],Table2[GameDate], "&lt;=" &amp; $A87, Table2[AwayTeam], F$1)+SUMIFS(Table2[NewPointsHome],Table2[GameDate], "&lt;=" &amp; $A87, Table2[HomeTeam], F$1)</f>
        <v>2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3</v>
      </c>
      <c r="I87" s="145">
        <f>SUMIFS(Table2[NewPointsAway],Table2[GameDate], "&lt;=" &amp; $A87, Table2[AwayTeam], I$1)+SUMIFS(Table2[NewPointsHome],Table2[GameDate], "&lt;=" &amp; $A87, Table2[HomeTeam], I$1)</f>
        <v>7</v>
      </c>
      <c r="J87" s="145">
        <f>SUMIFS(Table2[NewPointsAway],Table2[GameDate], "&lt;=" &amp; $A87, Table2[AwayTeam], J$1)+SUMIFS(Table2[NewPointsHome],Table2[GameDate], "&lt;=" &amp; $A87, Table2[HomeTeam], J$1)</f>
        <v>4</v>
      </c>
      <c r="K87" s="145">
        <f>SUMIFS(Table2[NewPointsAway],Table2[GameDate], "&lt;=" &amp; $A87, Table2[AwayTeam], K$1)+SUMIFS(Table2[NewPointsHome],Table2[GameDate], "&lt;=" &amp; $A87, Table2[HomeTeam], K$1)</f>
        <v>4</v>
      </c>
      <c r="L87" s="145">
        <f>SUMIFS(Table2[NewPointsAway],Table2[GameDate], "&lt;=" &amp; $A87, Table2[AwayTeam], L$1)+SUMIFS(Table2[NewPointsHome],Table2[GameDate], "&lt;=" &amp; $A87, Table2[HomeTeam], L$1)</f>
        <v>3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3</v>
      </c>
      <c r="O87" s="145">
        <f>SUMIFS(Table2[NewPointsAway],Table2[GameDate], "&lt;=" &amp; $A87, Table2[AwayTeam], O$1)+SUMIFS(Table2[NewPointsHome],Table2[GameDate], "&lt;=" &amp; $A87, Table2[HomeTeam], O$1)</f>
        <v>4</v>
      </c>
      <c r="P87" s="145">
        <f>SUMIFS(Table2[NewPointsAway],Table2[GameDate], "&lt;=" &amp; $A87, Table2[AwayTeam], P$1)+SUMIFS(Table2[NewPointsHome],Table2[GameDate], "&lt;=" &amp; $A87, Table2[HomeTeam], P$1)</f>
        <v>4</v>
      </c>
      <c r="Q87" s="145">
        <f>SUMIFS(Table2[NewPointsAway],Table2[GameDate], "&lt;=" &amp; $A87, Table2[AwayTeam], Q$1)+SUMIFS(Table2[NewPointsHome],Table2[GameDate], "&lt;=" &amp; $A87, Table2[HomeTeam], Q$1)</f>
        <v>4</v>
      </c>
      <c r="R87" s="145">
        <f>SUMIFS(Table2[NewPointsAway],Table2[GameDate], "&lt;=" &amp; $A87, Table2[AwayTeam], R$1)+SUMIFS(Table2[NewPointsHome],Table2[GameDate], "&lt;=" &amp; $A87, Table2[HomeTeam], R$1)</f>
        <v>5</v>
      </c>
      <c r="S87" s="145">
        <f>SUMIFS(Table2[NewPointsAway],Table2[GameDate], "&lt;=" &amp; $A87, Table2[AwayTeam], S$1)+SUMIFS(Table2[NewPointsHome],Table2[GameDate], "&lt;=" &amp; $A87, Table2[HomeTeam], S$1)</f>
        <v>0</v>
      </c>
      <c r="T87" s="145">
        <f>SUMIFS(Table2[NewPointsAway],Table2[GameDate], "&lt;=" &amp; $A87, Table2[AwayTeam], T$1)+SUMIFS(Table2[NewPointsHome],Table2[GameDate], "&lt;=" &amp; $A87, Table2[HomeTeam], T$1)</f>
        <v>4</v>
      </c>
      <c r="U87" s="145">
        <f>SUMIFS(Table2[NewPointsAway],Table2[GameDate], "&lt;=" &amp; $A87, Table2[AwayTeam], U$1)+SUMIFS(Table2[NewPointsHome],Table2[GameDate], "&lt;=" &amp; $A87, Table2[HomeTeam], U$1)</f>
        <v>2</v>
      </c>
      <c r="V87" s="145">
        <f>SUMIFS(Table2[NewPointsAway],Table2[GameDate], "&lt;=" &amp; $A87, Table2[AwayTeam], V$1)+SUMIFS(Table2[NewPointsHome],Table2[GameDate], "&lt;=" &amp; $A87, Table2[HomeTeam], V$1)</f>
        <v>3</v>
      </c>
      <c r="W87" s="145">
        <f>SUMIFS(Table2[NewPointsAway],Table2[GameDate], "&lt;=" &amp; $A87, Table2[AwayTeam], W$1)+SUMIFS(Table2[NewPointsHome],Table2[GameDate], "&lt;=" &amp; $A87, Table2[HomeTeam], W$1)</f>
        <v>4</v>
      </c>
      <c r="X87" s="145">
        <f>SUMIFS(Table2[NewPointsAway],Table2[GameDate], "&lt;=" &amp; $A87, Table2[AwayTeam], X$1)+SUMIFS(Table2[NewPointsHome],Table2[GameDate], "&lt;=" &amp; $A87, Table2[HomeTeam], X$1)</f>
        <v>4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4</v>
      </c>
      <c r="AA87" s="145">
        <f>SUMIFS(Table2[NewPointsAway],Table2[GameDate], "&lt;=" &amp; $A87, Table2[AwayTeam], AA$1)+SUMIFS(Table2[NewPointsHome],Table2[GameDate], "&lt;=" &amp; $A87, Table2[HomeTeam], AA$1)</f>
        <v>2</v>
      </c>
      <c r="AB87" s="145">
        <f>SUMIFS(Table2[NewPointsAway],Table2[GameDate], "&lt;=" &amp; $A87, Table2[AwayTeam], AB$1)+SUMIFS(Table2[NewPointsHome],Table2[GameDate], "&lt;=" &amp; $A87, Table2[HomeTeam], AB$1)</f>
        <v>2</v>
      </c>
      <c r="AC87" s="145">
        <f>SUMIFS(Table2[NewPointsAway],Table2[GameDate], "&lt;=" &amp; $A87, Table2[AwayTeam], AC$1)+SUMIFS(Table2[NewPointsHome],Table2[GameDate], "&lt;=" &amp; $A87, Table2[HomeTeam], AC$1)</f>
        <v>2</v>
      </c>
      <c r="AD87" s="145">
        <f>SUMIFS(Table2[NewPointsAway],Table2[GameDate], "&lt;=" &amp; $A87, Table2[AwayTeam], AD$1)+SUMIFS(Table2[NewPointsHome],Table2[GameDate], "&lt;=" &amp; $A87, Table2[HomeTeam], AD$1)</f>
        <v>2</v>
      </c>
      <c r="AE87" s="145">
        <f>SUMIFS(Table2[NewPointsAway],Table2[GameDate], "&lt;=" &amp; $A87, Table2[AwayTeam], AE$1)+SUMIFS(Table2[NewPointsHome],Table2[GameDate], "&lt;=" &amp; $A87, Table2[HomeTeam], AE$1)</f>
        <v>4</v>
      </c>
      <c r="AF87" s="145">
        <f>SUMIFS(Table2[NewPointsAway],Table2[GameDate], "&lt;=" &amp; $A87, Table2[AwayTeam], AF$1)+SUMIFS(Table2[NewPointsHome],Table2[GameDate], "&lt;=" &amp; $A87, Table2[HomeTeam], AF$1)</f>
        <v>4</v>
      </c>
      <c r="AG87" s="145">
        <f>SUMIFS(Table2[NewPointsAway],Table2[GameDate], "&lt;=" &amp; $A87, Table2[AwayTeam], AG$1)+SUMIFS(Table2[NewPointsHome],Table2[GameDate], "&lt;=" &amp; $A87, Table2[HomeTeam], AG$1)</f>
        <v>4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2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0</v>
      </c>
      <c r="E88" s="145">
        <f>SUMIFS(Table2[NewPointsAway],Table2[GameDate], "&lt;=" &amp; $A88, Table2[AwayTeam], E$1)+SUMIFS(Table2[NewPointsHome],Table2[GameDate], "&lt;=" &amp; $A88, Table2[HomeTeam], E$1)</f>
        <v>4</v>
      </c>
      <c r="F88" s="145">
        <f>SUMIFS(Table2[NewPointsAway],Table2[GameDate], "&lt;=" &amp; $A88, Table2[AwayTeam], F$1)+SUMIFS(Table2[NewPointsHome],Table2[GameDate], "&lt;=" &amp; $A88, Table2[HomeTeam], F$1)</f>
        <v>2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3</v>
      </c>
      <c r="I88" s="145">
        <f>SUMIFS(Table2[NewPointsAway],Table2[GameDate], "&lt;=" &amp; $A88, Table2[AwayTeam], I$1)+SUMIFS(Table2[NewPointsHome],Table2[GameDate], "&lt;=" &amp; $A88, Table2[HomeTeam], I$1)</f>
        <v>7</v>
      </c>
      <c r="J88" s="145">
        <f>SUMIFS(Table2[NewPointsAway],Table2[GameDate], "&lt;=" &amp; $A88, Table2[AwayTeam], J$1)+SUMIFS(Table2[NewPointsHome],Table2[GameDate], "&lt;=" &amp; $A88, Table2[HomeTeam], J$1)</f>
        <v>4</v>
      </c>
      <c r="K88" s="145">
        <f>SUMIFS(Table2[NewPointsAway],Table2[GameDate], "&lt;=" &amp; $A88, Table2[AwayTeam], K$1)+SUMIFS(Table2[NewPointsHome],Table2[GameDate], "&lt;=" &amp; $A88, Table2[HomeTeam], K$1)</f>
        <v>4</v>
      </c>
      <c r="L88" s="145">
        <f>SUMIFS(Table2[NewPointsAway],Table2[GameDate], "&lt;=" &amp; $A88, Table2[AwayTeam], L$1)+SUMIFS(Table2[NewPointsHome],Table2[GameDate], "&lt;=" &amp; $A88, Table2[HomeTeam], L$1)</f>
        <v>3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3</v>
      </c>
      <c r="O88" s="145">
        <f>SUMIFS(Table2[NewPointsAway],Table2[GameDate], "&lt;=" &amp; $A88, Table2[AwayTeam], O$1)+SUMIFS(Table2[NewPointsHome],Table2[GameDate], "&lt;=" &amp; $A88, Table2[HomeTeam], O$1)</f>
        <v>4</v>
      </c>
      <c r="P88" s="145">
        <f>SUMIFS(Table2[NewPointsAway],Table2[GameDate], "&lt;=" &amp; $A88, Table2[AwayTeam], P$1)+SUMIFS(Table2[NewPointsHome],Table2[GameDate], "&lt;=" &amp; $A88, Table2[HomeTeam], P$1)</f>
        <v>4</v>
      </c>
      <c r="Q88" s="145">
        <f>SUMIFS(Table2[NewPointsAway],Table2[GameDate], "&lt;=" &amp; $A88, Table2[AwayTeam], Q$1)+SUMIFS(Table2[NewPointsHome],Table2[GameDate], "&lt;=" &amp; $A88, Table2[HomeTeam], Q$1)</f>
        <v>4</v>
      </c>
      <c r="R88" s="145">
        <f>SUMIFS(Table2[NewPointsAway],Table2[GameDate], "&lt;=" &amp; $A88, Table2[AwayTeam], R$1)+SUMIFS(Table2[NewPointsHome],Table2[GameDate], "&lt;=" &amp; $A88, Table2[HomeTeam], R$1)</f>
        <v>5</v>
      </c>
      <c r="S88" s="145">
        <f>SUMIFS(Table2[NewPointsAway],Table2[GameDate], "&lt;=" &amp; $A88, Table2[AwayTeam], S$1)+SUMIFS(Table2[NewPointsHome],Table2[GameDate], "&lt;=" &amp; $A88, Table2[HomeTeam], S$1)</f>
        <v>0</v>
      </c>
      <c r="T88" s="145">
        <f>SUMIFS(Table2[NewPointsAway],Table2[GameDate], "&lt;=" &amp; $A88, Table2[AwayTeam], T$1)+SUMIFS(Table2[NewPointsHome],Table2[GameDate], "&lt;=" &amp; $A88, Table2[HomeTeam], T$1)</f>
        <v>4</v>
      </c>
      <c r="U88" s="145">
        <f>SUMIFS(Table2[NewPointsAway],Table2[GameDate], "&lt;=" &amp; $A88, Table2[AwayTeam], U$1)+SUMIFS(Table2[NewPointsHome],Table2[GameDate], "&lt;=" &amp; $A88, Table2[HomeTeam], U$1)</f>
        <v>2</v>
      </c>
      <c r="V88" s="145">
        <f>SUMIFS(Table2[NewPointsAway],Table2[GameDate], "&lt;=" &amp; $A88, Table2[AwayTeam], V$1)+SUMIFS(Table2[NewPointsHome],Table2[GameDate], "&lt;=" &amp; $A88, Table2[HomeTeam], V$1)</f>
        <v>3</v>
      </c>
      <c r="W88" s="145">
        <f>SUMIFS(Table2[NewPointsAway],Table2[GameDate], "&lt;=" &amp; $A88, Table2[AwayTeam], W$1)+SUMIFS(Table2[NewPointsHome],Table2[GameDate], "&lt;=" &amp; $A88, Table2[HomeTeam], W$1)</f>
        <v>4</v>
      </c>
      <c r="X88" s="145">
        <f>SUMIFS(Table2[NewPointsAway],Table2[GameDate], "&lt;=" &amp; $A88, Table2[AwayTeam], X$1)+SUMIFS(Table2[NewPointsHome],Table2[GameDate], "&lt;=" &amp; $A88, Table2[HomeTeam], X$1)</f>
        <v>4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4</v>
      </c>
      <c r="AA88" s="145">
        <f>SUMIFS(Table2[NewPointsAway],Table2[GameDate], "&lt;=" &amp; $A88, Table2[AwayTeam], AA$1)+SUMIFS(Table2[NewPointsHome],Table2[GameDate], "&lt;=" &amp; $A88, Table2[HomeTeam], AA$1)</f>
        <v>2</v>
      </c>
      <c r="AB88" s="145">
        <f>SUMIFS(Table2[NewPointsAway],Table2[GameDate], "&lt;=" &amp; $A88, Table2[AwayTeam], AB$1)+SUMIFS(Table2[NewPointsHome],Table2[GameDate], "&lt;=" &amp; $A88, Table2[HomeTeam], AB$1)</f>
        <v>2</v>
      </c>
      <c r="AC88" s="145">
        <f>SUMIFS(Table2[NewPointsAway],Table2[GameDate], "&lt;=" &amp; $A88, Table2[AwayTeam], AC$1)+SUMIFS(Table2[NewPointsHome],Table2[GameDate], "&lt;=" &amp; $A88, Table2[HomeTeam], AC$1)</f>
        <v>2</v>
      </c>
      <c r="AD88" s="145">
        <f>SUMIFS(Table2[NewPointsAway],Table2[GameDate], "&lt;=" &amp; $A88, Table2[AwayTeam], AD$1)+SUMIFS(Table2[NewPointsHome],Table2[GameDate], "&lt;=" &amp; $A88, Table2[HomeTeam], AD$1)</f>
        <v>2</v>
      </c>
      <c r="AE88" s="145">
        <f>SUMIFS(Table2[NewPointsAway],Table2[GameDate], "&lt;=" &amp; $A88, Table2[AwayTeam], AE$1)+SUMIFS(Table2[NewPointsHome],Table2[GameDate], "&lt;=" &amp; $A88, Table2[HomeTeam], AE$1)</f>
        <v>4</v>
      </c>
      <c r="AF88" s="145">
        <f>SUMIFS(Table2[NewPointsAway],Table2[GameDate], "&lt;=" &amp; $A88, Table2[AwayTeam], AF$1)+SUMIFS(Table2[NewPointsHome],Table2[GameDate], "&lt;=" &amp; $A88, Table2[HomeTeam], AF$1)</f>
        <v>4</v>
      </c>
      <c r="AG88" s="145">
        <f>SUMIFS(Table2[NewPointsAway],Table2[GameDate], "&lt;=" &amp; $A88, Table2[AwayTeam], AG$1)+SUMIFS(Table2[NewPointsHome],Table2[GameDate], "&lt;=" &amp; $A88, Table2[HomeTeam], AG$1)</f>
        <v>4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2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0</v>
      </c>
      <c r="E89" s="145">
        <f>SUMIFS(Table2[NewPointsAway],Table2[GameDate], "&lt;=" &amp; $A89, Table2[AwayTeam], E$1)+SUMIFS(Table2[NewPointsHome],Table2[GameDate], "&lt;=" &amp; $A89, Table2[HomeTeam], E$1)</f>
        <v>4</v>
      </c>
      <c r="F89" s="145">
        <f>SUMIFS(Table2[NewPointsAway],Table2[GameDate], "&lt;=" &amp; $A89, Table2[AwayTeam], F$1)+SUMIFS(Table2[NewPointsHome],Table2[GameDate], "&lt;=" &amp; $A89, Table2[HomeTeam], F$1)</f>
        <v>2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3</v>
      </c>
      <c r="I89" s="145">
        <f>SUMIFS(Table2[NewPointsAway],Table2[GameDate], "&lt;=" &amp; $A89, Table2[AwayTeam], I$1)+SUMIFS(Table2[NewPointsHome],Table2[GameDate], "&lt;=" &amp; $A89, Table2[HomeTeam], I$1)</f>
        <v>7</v>
      </c>
      <c r="J89" s="145">
        <f>SUMIFS(Table2[NewPointsAway],Table2[GameDate], "&lt;=" &amp; $A89, Table2[AwayTeam], J$1)+SUMIFS(Table2[NewPointsHome],Table2[GameDate], "&lt;=" &amp; $A89, Table2[HomeTeam], J$1)</f>
        <v>4</v>
      </c>
      <c r="K89" s="145">
        <f>SUMIFS(Table2[NewPointsAway],Table2[GameDate], "&lt;=" &amp; $A89, Table2[AwayTeam], K$1)+SUMIFS(Table2[NewPointsHome],Table2[GameDate], "&lt;=" &amp; $A89, Table2[HomeTeam], K$1)</f>
        <v>4</v>
      </c>
      <c r="L89" s="145">
        <f>SUMIFS(Table2[NewPointsAway],Table2[GameDate], "&lt;=" &amp; $A89, Table2[AwayTeam], L$1)+SUMIFS(Table2[NewPointsHome],Table2[GameDate], "&lt;=" &amp; $A89, Table2[HomeTeam], L$1)</f>
        <v>3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3</v>
      </c>
      <c r="O89" s="145">
        <f>SUMIFS(Table2[NewPointsAway],Table2[GameDate], "&lt;=" &amp; $A89, Table2[AwayTeam], O$1)+SUMIFS(Table2[NewPointsHome],Table2[GameDate], "&lt;=" &amp; $A89, Table2[HomeTeam], O$1)</f>
        <v>4</v>
      </c>
      <c r="P89" s="145">
        <f>SUMIFS(Table2[NewPointsAway],Table2[GameDate], "&lt;=" &amp; $A89, Table2[AwayTeam], P$1)+SUMIFS(Table2[NewPointsHome],Table2[GameDate], "&lt;=" &amp; $A89, Table2[HomeTeam], P$1)</f>
        <v>4</v>
      </c>
      <c r="Q89" s="145">
        <f>SUMIFS(Table2[NewPointsAway],Table2[GameDate], "&lt;=" &amp; $A89, Table2[AwayTeam], Q$1)+SUMIFS(Table2[NewPointsHome],Table2[GameDate], "&lt;=" &amp; $A89, Table2[HomeTeam], Q$1)</f>
        <v>4</v>
      </c>
      <c r="R89" s="145">
        <f>SUMIFS(Table2[NewPointsAway],Table2[GameDate], "&lt;=" &amp; $A89, Table2[AwayTeam], R$1)+SUMIFS(Table2[NewPointsHome],Table2[GameDate], "&lt;=" &amp; $A89, Table2[HomeTeam], R$1)</f>
        <v>5</v>
      </c>
      <c r="S89" s="145">
        <f>SUMIFS(Table2[NewPointsAway],Table2[GameDate], "&lt;=" &amp; $A89, Table2[AwayTeam], S$1)+SUMIFS(Table2[NewPointsHome],Table2[GameDate], "&lt;=" &amp; $A89, Table2[HomeTeam], S$1)</f>
        <v>0</v>
      </c>
      <c r="T89" s="145">
        <f>SUMIFS(Table2[NewPointsAway],Table2[GameDate], "&lt;=" &amp; $A89, Table2[AwayTeam], T$1)+SUMIFS(Table2[NewPointsHome],Table2[GameDate], "&lt;=" &amp; $A89, Table2[HomeTeam], T$1)</f>
        <v>4</v>
      </c>
      <c r="U89" s="145">
        <f>SUMIFS(Table2[NewPointsAway],Table2[GameDate], "&lt;=" &amp; $A89, Table2[AwayTeam], U$1)+SUMIFS(Table2[NewPointsHome],Table2[GameDate], "&lt;=" &amp; $A89, Table2[HomeTeam], U$1)</f>
        <v>2</v>
      </c>
      <c r="V89" s="145">
        <f>SUMIFS(Table2[NewPointsAway],Table2[GameDate], "&lt;=" &amp; $A89, Table2[AwayTeam], V$1)+SUMIFS(Table2[NewPointsHome],Table2[GameDate], "&lt;=" &amp; $A89, Table2[HomeTeam], V$1)</f>
        <v>3</v>
      </c>
      <c r="W89" s="145">
        <f>SUMIFS(Table2[NewPointsAway],Table2[GameDate], "&lt;=" &amp; $A89, Table2[AwayTeam], W$1)+SUMIFS(Table2[NewPointsHome],Table2[GameDate], "&lt;=" &amp; $A89, Table2[HomeTeam], W$1)</f>
        <v>4</v>
      </c>
      <c r="X89" s="145">
        <f>SUMIFS(Table2[NewPointsAway],Table2[GameDate], "&lt;=" &amp; $A89, Table2[AwayTeam], X$1)+SUMIFS(Table2[NewPointsHome],Table2[GameDate], "&lt;=" &amp; $A89, Table2[HomeTeam], X$1)</f>
        <v>4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4</v>
      </c>
      <c r="AA89" s="145">
        <f>SUMIFS(Table2[NewPointsAway],Table2[GameDate], "&lt;=" &amp; $A89, Table2[AwayTeam], AA$1)+SUMIFS(Table2[NewPointsHome],Table2[GameDate], "&lt;=" &amp; $A89, Table2[HomeTeam], AA$1)</f>
        <v>2</v>
      </c>
      <c r="AB89" s="145">
        <f>SUMIFS(Table2[NewPointsAway],Table2[GameDate], "&lt;=" &amp; $A89, Table2[AwayTeam], AB$1)+SUMIFS(Table2[NewPointsHome],Table2[GameDate], "&lt;=" &amp; $A89, Table2[HomeTeam], AB$1)</f>
        <v>2</v>
      </c>
      <c r="AC89" s="145">
        <f>SUMIFS(Table2[NewPointsAway],Table2[GameDate], "&lt;=" &amp; $A89, Table2[AwayTeam], AC$1)+SUMIFS(Table2[NewPointsHome],Table2[GameDate], "&lt;=" &amp; $A89, Table2[HomeTeam], AC$1)</f>
        <v>2</v>
      </c>
      <c r="AD89" s="145">
        <f>SUMIFS(Table2[NewPointsAway],Table2[GameDate], "&lt;=" &amp; $A89, Table2[AwayTeam], AD$1)+SUMIFS(Table2[NewPointsHome],Table2[GameDate], "&lt;=" &amp; $A89, Table2[HomeTeam], AD$1)</f>
        <v>2</v>
      </c>
      <c r="AE89" s="145">
        <f>SUMIFS(Table2[NewPointsAway],Table2[GameDate], "&lt;=" &amp; $A89, Table2[AwayTeam], AE$1)+SUMIFS(Table2[NewPointsHome],Table2[GameDate], "&lt;=" &amp; $A89, Table2[HomeTeam], AE$1)</f>
        <v>4</v>
      </c>
      <c r="AF89" s="145">
        <f>SUMIFS(Table2[NewPointsAway],Table2[GameDate], "&lt;=" &amp; $A89, Table2[AwayTeam], AF$1)+SUMIFS(Table2[NewPointsHome],Table2[GameDate], "&lt;=" &amp; $A89, Table2[HomeTeam], AF$1)</f>
        <v>4</v>
      </c>
      <c r="AG89" s="145">
        <f>SUMIFS(Table2[NewPointsAway],Table2[GameDate], "&lt;=" &amp; $A89, Table2[AwayTeam], AG$1)+SUMIFS(Table2[NewPointsHome],Table2[GameDate], "&lt;=" &amp; $A89, Table2[HomeTeam], AG$1)</f>
        <v>4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2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0</v>
      </c>
      <c r="E90" s="145">
        <f>SUMIFS(Table2[NewPointsAway],Table2[GameDate], "&lt;=" &amp; $A90, Table2[AwayTeam], E$1)+SUMIFS(Table2[NewPointsHome],Table2[GameDate], "&lt;=" &amp; $A90, Table2[HomeTeam], E$1)</f>
        <v>4</v>
      </c>
      <c r="F90" s="145">
        <f>SUMIFS(Table2[NewPointsAway],Table2[GameDate], "&lt;=" &amp; $A90, Table2[AwayTeam], F$1)+SUMIFS(Table2[NewPointsHome],Table2[GameDate], "&lt;=" &amp; $A90, Table2[HomeTeam], F$1)</f>
        <v>2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3</v>
      </c>
      <c r="I90" s="145">
        <f>SUMIFS(Table2[NewPointsAway],Table2[GameDate], "&lt;=" &amp; $A90, Table2[AwayTeam], I$1)+SUMIFS(Table2[NewPointsHome],Table2[GameDate], "&lt;=" &amp; $A90, Table2[HomeTeam], I$1)</f>
        <v>7</v>
      </c>
      <c r="J90" s="145">
        <f>SUMIFS(Table2[NewPointsAway],Table2[GameDate], "&lt;=" &amp; $A90, Table2[AwayTeam], J$1)+SUMIFS(Table2[NewPointsHome],Table2[GameDate], "&lt;=" &amp; $A90, Table2[HomeTeam], J$1)</f>
        <v>4</v>
      </c>
      <c r="K90" s="145">
        <f>SUMIFS(Table2[NewPointsAway],Table2[GameDate], "&lt;=" &amp; $A90, Table2[AwayTeam], K$1)+SUMIFS(Table2[NewPointsHome],Table2[GameDate], "&lt;=" &amp; $A90, Table2[HomeTeam], K$1)</f>
        <v>4</v>
      </c>
      <c r="L90" s="145">
        <f>SUMIFS(Table2[NewPointsAway],Table2[GameDate], "&lt;=" &amp; $A90, Table2[AwayTeam], L$1)+SUMIFS(Table2[NewPointsHome],Table2[GameDate], "&lt;=" &amp; $A90, Table2[HomeTeam], L$1)</f>
        <v>3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3</v>
      </c>
      <c r="O90" s="145">
        <f>SUMIFS(Table2[NewPointsAway],Table2[GameDate], "&lt;=" &amp; $A90, Table2[AwayTeam], O$1)+SUMIFS(Table2[NewPointsHome],Table2[GameDate], "&lt;=" &amp; $A90, Table2[HomeTeam], O$1)</f>
        <v>4</v>
      </c>
      <c r="P90" s="145">
        <f>SUMIFS(Table2[NewPointsAway],Table2[GameDate], "&lt;=" &amp; $A90, Table2[AwayTeam], P$1)+SUMIFS(Table2[NewPointsHome],Table2[GameDate], "&lt;=" &amp; $A90, Table2[HomeTeam], P$1)</f>
        <v>4</v>
      </c>
      <c r="Q90" s="145">
        <f>SUMIFS(Table2[NewPointsAway],Table2[GameDate], "&lt;=" &amp; $A90, Table2[AwayTeam], Q$1)+SUMIFS(Table2[NewPointsHome],Table2[GameDate], "&lt;=" &amp; $A90, Table2[HomeTeam], Q$1)</f>
        <v>4</v>
      </c>
      <c r="R90" s="145">
        <f>SUMIFS(Table2[NewPointsAway],Table2[GameDate], "&lt;=" &amp; $A90, Table2[AwayTeam], R$1)+SUMIFS(Table2[NewPointsHome],Table2[GameDate], "&lt;=" &amp; $A90, Table2[HomeTeam], R$1)</f>
        <v>5</v>
      </c>
      <c r="S90" s="145">
        <f>SUMIFS(Table2[NewPointsAway],Table2[GameDate], "&lt;=" &amp; $A90, Table2[AwayTeam], S$1)+SUMIFS(Table2[NewPointsHome],Table2[GameDate], "&lt;=" &amp; $A90, Table2[HomeTeam], S$1)</f>
        <v>0</v>
      </c>
      <c r="T90" s="145">
        <f>SUMIFS(Table2[NewPointsAway],Table2[GameDate], "&lt;=" &amp; $A90, Table2[AwayTeam], T$1)+SUMIFS(Table2[NewPointsHome],Table2[GameDate], "&lt;=" &amp; $A90, Table2[HomeTeam], T$1)</f>
        <v>4</v>
      </c>
      <c r="U90" s="145">
        <f>SUMIFS(Table2[NewPointsAway],Table2[GameDate], "&lt;=" &amp; $A90, Table2[AwayTeam], U$1)+SUMIFS(Table2[NewPointsHome],Table2[GameDate], "&lt;=" &amp; $A90, Table2[HomeTeam], U$1)</f>
        <v>2</v>
      </c>
      <c r="V90" s="145">
        <f>SUMIFS(Table2[NewPointsAway],Table2[GameDate], "&lt;=" &amp; $A90, Table2[AwayTeam], V$1)+SUMIFS(Table2[NewPointsHome],Table2[GameDate], "&lt;=" &amp; $A90, Table2[HomeTeam], V$1)</f>
        <v>3</v>
      </c>
      <c r="W90" s="145">
        <f>SUMIFS(Table2[NewPointsAway],Table2[GameDate], "&lt;=" &amp; $A90, Table2[AwayTeam], W$1)+SUMIFS(Table2[NewPointsHome],Table2[GameDate], "&lt;=" &amp; $A90, Table2[HomeTeam], W$1)</f>
        <v>4</v>
      </c>
      <c r="X90" s="145">
        <f>SUMIFS(Table2[NewPointsAway],Table2[GameDate], "&lt;=" &amp; $A90, Table2[AwayTeam], X$1)+SUMIFS(Table2[NewPointsHome],Table2[GameDate], "&lt;=" &amp; $A90, Table2[HomeTeam], X$1)</f>
        <v>4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4</v>
      </c>
      <c r="AA90" s="145">
        <f>SUMIFS(Table2[NewPointsAway],Table2[GameDate], "&lt;=" &amp; $A90, Table2[AwayTeam], AA$1)+SUMIFS(Table2[NewPointsHome],Table2[GameDate], "&lt;=" &amp; $A90, Table2[HomeTeam], AA$1)</f>
        <v>2</v>
      </c>
      <c r="AB90" s="145">
        <f>SUMIFS(Table2[NewPointsAway],Table2[GameDate], "&lt;=" &amp; $A90, Table2[AwayTeam], AB$1)+SUMIFS(Table2[NewPointsHome],Table2[GameDate], "&lt;=" &amp; $A90, Table2[HomeTeam], AB$1)</f>
        <v>2</v>
      </c>
      <c r="AC90" s="145">
        <f>SUMIFS(Table2[NewPointsAway],Table2[GameDate], "&lt;=" &amp; $A90, Table2[AwayTeam], AC$1)+SUMIFS(Table2[NewPointsHome],Table2[GameDate], "&lt;=" &amp; $A90, Table2[HomeTeam], AC$1)</f>
        <v>2</v>
      </c>
      <c r="AD90" s="145">
        <f>SUMIFS(Table2[NewPointsAway],Table2[GameDate], "&lt;=" &amp; $A90, Table2[AwayTeam], AD$1)+SUMIFS(Table2[NewPointsHome],Table2[GameDate], "&lt;=" &amp; $A90, Table2[HomeTeam], AD$1)</f>
        <v>2</v>
      </c>
      <c r="AE90" s="145">
        <f>SUMIFS(Table2[NewPointsAway],Table2[GameDate], "&lt;=" &amp; $A90, Table2[AwayTeam], AE$1)+SUMIFS(Table2[NewPointsHome],Table2[GameDate], "&lt;=" &amp; $A90, Table2[HomeTeam], AE$1)</f>
        <v>4</v>
      </c>
      <c r="AF90" s="145">
        <f>SUMIFS(Table2[NewPointsAway],Table2[GameDate], "&lt;=" &amp; $A90, Table2[AwayTeam], AF$1)+SUMIFS(Table2[NewPointsHome],Table2[GameDate], "&lt;=" &amp; $A90, Table2[HomeTeam], AF$1)</f>
        <v>4</v>
      </c>
      <c r="AG90" s="145">
        <f>SUMIFS(Table2[NewPointsAway],Table2[GameDate], "&lt;=" &amp; $A90, Table2[AwayTeam], AG$1)+SUMIFS(Table2[NewPointsHome],Table2[GameDate], "&lt;=" &amp; $A90, Table2[HomeTeam], AG$1)</f>
        <v>4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2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0</v>
      </c>
      <c r="E91" s="145">
        <f>SUMIFS(Table2[NewPointsAway],Table2[GameDate], "&lt;=" &amp; $A91, Table2[AwayTeam], E$1)+SUMIFS(Table2[NewPointsHome],Table2[GameDate], "&lt;=" &amp; $A91, Table2[HomeTeam], E$1)</f>
        <v>4</v>
      </c>
      <c r="F91" s="145">
        <f>SUMIFS(Table2[NewPointsAway],Table2[GameDate], "&lt;=" &amp; $A91, Table2[AwayTeam], F$1)+SUMIFS(Table2[NewPointsHome],Table2[GameDate], "&lt;=" &amp; $A91, Table2[HomeTeam], F$1)</f>
        <v>2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3</v>
      </c>
      <c r="I91" s="145">
        <f>SUMIFS(Table2[NewPointsAway],Table2[GameDate], "&lt;=" &amp; $A91, Table2[AwayTeam], I$1)+SUMIFS(Table2[NewPointsHome],Table2[GameDate], "&lt;=" &amp; $A91, Table2[HomeTeam], I$1)</f>
        <v>7</v>
      </c>
      <c r="J91" s="145">
        <f>SUMIFS(Table2[NewPointsAway],Table2[GameDate], "&lt;=" &amp; $A91, Table2[AwayTeam], J$1)+SUMIFS(Table2[NewPointsHome],Table2[GameDate], "&lt;=" &amp; $A91, Table2[HomeTeam], J$1)</f>
        <v>4</v>
      </c>
      <c r="K91" s="145">
        <f>SUMIFS(Table2[NewPointsAway],Table2[GameDate], "&lt;=" &amp; $A91, Table2[AwayTeam], K$1)+SUMIFS(Table2[NewPointsHome],Table2[GameDate], "&lt;=" &amp; $A91, Table2[HomeTeam], K$1)</f>
        <v>4</v>
      </c>
      <c r="L91" s="145">
        <f>SUMIFS(Table2[NewPointsAway],Table2[GameDate], "&lt;=" &amp; $A91, Table2[AwayTeam], L$1)+SUMIFS(Table2[NewPointsHome],Table2[GameDate], "&lt;=" &amp; $A91, Table2[HomeTeam], L$1)</f>
        <v>3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3</v>
      </c>
      <c r="O91" s="145">
        <f>SUMIFS(Table2[NewPointsAway],Table2[GameDate], "&lt;=" &amp; $A91, Table2[AwayTeam], O$1)+SUMIFS(Table2[NewPointsHome],Table2[GameDate], "&lt;=" &amp; $A91, Table2[HomeTeam], O$1)</f>
        <v>4</v>
      </c>
      <c r="P91" s="145">
        <f>SUMIFS(Table2[NewPointsAway],Table2[GameDate], "&lt;=" &amp; $A91, Table2[AwayTeam], P$1)+SUMIFS(Table2[NewPointsHome],Table2[GameDate], "&lt;=" &amp; $A91, Table2[HomeTeam], P$1)</f>
        <v>4</v>
      </c>
      <c r="Q91" s="145">
        <f>SUMIFS(Table2[NewPointsAway],Table2[GameDate], "&lt;=" &amp; $A91, Table2[AwayTeam], Q$1)+SUMIFS(Table2[NewPointsHome],Table2[GameDate], "&lt;=" &amp; $A91, Table2[HomeTeam], Q$1)</f>
        <v>4</v>
      </c>
      <c r="R91" s="145">
        <f>SUMIFS(Table2[NewPointsAway],Table2[GameDate], "&lt;=" &amp; $A91, Table2[AwayTeam], R$1)+SUMIFS(Table2[NewPointsHome],Table2[GameDate], "&lt;=" &amp; $A91, Table2[HomeTeam], R$1)</f>
        <v>5</v>
      </c>
      <c r="S91" s="145">
        <f>SUMIFS(Table2[NewPointsAway],Table2[GameDate], "&lt;=" &amp; $A91, Table2[AwayTeam], S$1)+SUMIFS(Table2[NewPointsHome],Table2[GameDate], "&lt;=" &amp; $A91, Table2[HomeTeam], S$1)</f>
        <v>0</v>
      </c>
      <c r="T91" s="145">
        <f>SUMIFS(Table2[NewPointsAway],Table2[GameDate], "&lt;=" &amp; $A91, Table2[AwayTeam], T$1)+SUMIFS(Table2[NewPointsHome],Table2[GameDate], "&lt;=" &amp; $A91, Table2[HomeTeam], T$1)</f>
        <v>4</v>
      </c>
      <c r="U91" s="145">
        <f>SUMIFS(Table2[NewPointsAway],Table2[GameDate], "&lt;=" &amp; $A91, Table2[AwayTeam], U$1)+SUMIFS(Table2[NewPointsHome],Table2[GameDate], "&lt;=" &amp; $A91, Table2[HomeTeam], U$1)</f>
        <v>2</v>
      </c>
      <c r="V91" s="145">
        <f>SUMIFS(Table2[NewPointsAway],Table2[GameDate], "&lt;=" &amp; $A91, Table2[AwayTeam], V$1)+SUMIFS(Table2[NewPointsHome],Table2[GameDate], "&lt;=" &amp; $A91, Table2[HomeTeam], V$1)</f>
        <v>3</v>
      </c>
      <c r="W91" s="145">
        <f>SUMIFS(Table2[NewPointsAway],Table2[GameDate], "&lt;=" &amp; $A91, Table2[AwayTeam], W$1)+SUMIFS(Table2[NewPointsHome],Table2[GameDate], "&lt;=" &amp; $A91, Table2[HomeTeam], W$1)</f>
        <v>4</v>
      </c>
      <c r="X91" s="145">
        <f>SUMIFS(Table2[NewPointsAway],Table2[GameDate], "&lt;=" &amp; $A91, Table2[AwayTeam], X$1)+SUMIFS(Table2[NewPointsHome],Table2[GameDate], "&lt;=" &amp; $A91, Table2[HomeTeam], X$1)</f>
        <v>4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4</v>
      </c>
      <c r="AA91" s="145">
        <f>SUMIFS(Table2[NewPointsAway],Table2[GameDate], "&lt;=" &amp; $A91, Table2[AwayTeam], AA$1)+SUMIFS(Table2[NewPointsHome],Table2[GameDate], "&lt;=" &amp; $A91, Table2[HomeTeam], AA$1)</f>
        <v>2</v>
      </c>
      <c r="AB91" s="145">
        <f>SUMIFS(Table2[NewPointsAway],Table2[GameDate], "&lt;=" &amp; $A91, Table2[AwayTeam], AB$1)+SUMIFS(Table2[NewPointsHome],Table2[GameDate], "&lt;=" &amp; $A91, Table2[HomeTeam], AB$1)</f>
        <v>2</v>
      </c>
      <c r="AC91" s="145">
        <f>SUMIFS(Table2[NewPointsAway],Table2[GameDate], "&lt;=" &amp; $A91, Table2[AwayTeam], AC$1)+SUMIFS(Table2[NewPointsHome],Table2[GameDate], "&lt;=" &amp; $A91, Table2[HomeTeam], AC$1)</f>
        <v>2</v>
      </c>
      <c r="AD91" s="145">
        <f>SUMIFS(Table2[NewPointsAway],Table2[GameDate], "&lt;=" &amp; $A91, Table2[AwayTeam], AD$1)+SUMIFS(Table2[NewPointsHome],Table2[GameDate], "&lt;=" &amp; $A91, Table2[HomeTeam], AD$1)</f>
        <v>2</v>
      </c>
      <c r="AE91" s="145">
        <f>SUMIFS(Table2[NewPointsAway],Table2[GameDate], "&lt;=" &amp; $A91, Table2[AwayTeam], AE$1)+SUMIFS(Table2[NewPointsHome],Table2[GameDate], "&lt;=" &amp; $A91, Table2[HomeTeam], AE$1)</f>
        <v>4</v>
      </c>
      <c r="AF91" s="145">
        <f>SUMIFS(Table2[NewPointsAway],Table2[GameDate], "&lt;=" &amp; $A91, Table2[AwayTeam], AF$1)+SUMIFS(Table2[NewPointsHome],Table2[GameDate], "&lt;=" &amp; $A91, Table2[HomeTeam], AF$1)</f>
        <v>4</v>
      </c>
      <c r="AG91" s="145">
        <f>SUMIFS(Table2[NewPointsAway],Table2[GameDate], "&lt;=" &amp; $A91, Table2[AwayTeam], AG$1)+SUMIFS(Table2[NewPointsHome],Table2[GameDate], "&lt;=" &amp; $A91, Table2[HomeTeam], AG$1)</f>
        <v>4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2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0</v>
      </c>
      <c r="E92" s="145">
        <f>SUMIFS(Table2[NewPointsAway],Table2[GameDate], "&lt;=" &amp; $A92, Table2[AwayTeam], E$1)+SUMIFS(Table2[NewPointsHome],Table2[GameDate], "&lt;=" &amp; $A92, Table2[HomeTeam], E$1)</f>
        <v>4</v>
      </c>
      <c r="F92" s="145">
        <f>SUMIFS(Table2[NewPointsAway],Table2[GameDate], "&lt;=" &amp; $A92, Table2[AwayTeam], F$1)+SUMIFS(Table2[NewPointsHome],Table2[GameDate], "&lt;=" &amp; $A92, Table2[HomeTeam], F$1)</f>
        <v>2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3</v>
      </c>
      <c r="I92" s="145">
        <f>SUMIFS(Table2[NewPointsAway],Table2[GameDate], "&lt;=" &amp; $A92, Table2[AwayTeam], I$1)+SUMIFS(Table2[NewPointsHome],Table2[GameDate], "&lt;=" &amp; $A92, Table2[HomeTeam], I$1)</f>
        <v>7</v>
      </c>
      <c r="J92" s="145">
        <f>SUMIFS(Table2[NewPointsAway],Table2[GameDate], "&lt;=" &amp; $A92, Table2[AwayTeam], J$1)+SUMIFS(Table2[NewPointsHome],Table2[GameDate], "&lt;=" &amp; $A92, Table2[HomeTeam], J$1)</f>
        <v>4</v>
      </c>
      <c r="K92" s="145">
        <f>SUMIFS(Table2[NewPointsAway],Table2[GameDate], "&lt;=" &amp; $A92, Table2[AwayTeam], K$1)+SUMIFS(Table2[NewPointsHome],Table2[GameDate], "&lt;=" &amp; $A92, Table2[HomeTeam], K$1)</f>
        <v>4</v>
      </c>
      <c r="L92" s="145">
        <f>SUMIFS(Table2[NewPointsAway],Table2[GameDate], "&lt;=" &amp; $A92, Table2[AwayTeam], L$1)+SUMIFS(Table2[NewPointsHome],Table2[GameDate], "&lt;=" &amp; $A92, Table2[HomeTeam], L$1)</f>
        <v>3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3</v>
      </c>
      <c r="O92" s="145">
        <f>SUMIFS(Table2[NewPointsAway],Table2[GameDate], "&lt;=" &amp; $A92, Table2[AwayTeam], O$1)+SUMIFS(Table2[NewPointsHome],Table2[GameDate], "&lt;=" &amp; $A92, Table2[HomeTeam], O$1)</f>
        <v>4</v>
      </c>
      <c r="P92" s="145">
        <f>SUMIFS(Table2[NewPointsAway],Table2[GameDate], "&lt;=" &amp; $A92, Table2[AwayTeam], P$1)+SUMIFS(Table2[NewPointsHome],Table2[GameDate], "&lt;=" &amp; $A92, Table2[HomeTeam], P$1)</f>
        <v>4</v>
      </c>
      <c r="Q92" s="145">
        <f>SUMIFS(Table2[NewPointsAway],Table2[GameDate], "&lt;=" &amp; $A92, Table2[AwayTeam], Q$1)+SUMIFS(Table2[NewPointsHome],Table2[GameDate], "&lt;=" &amp; $A92, Table2[HomeTeam], Q$1)</f>
        <v>4</v>
      </c>
      <c r="R92" s="145">
        <f>SUMIFS(Table2[NewPointsAway],Table2[GameDate], "&lt;=" &amp; $A92, Table2[AwayTeam], R$1)+SUMIFS(Table2[NewPointsHome],Table2[GameDate], "&lt;=" &amp; $A92, Table2[HomeTeam], R$1)</f>
        <v>5</v>
      </c>
      <c r="S92" s="145">
        <f>SUMIFS(Table2[NewPointsAway],Table2[GameDate], "&lt;=" &amp; $A92, Table2[AwayTeam], S$1)+SUMIFS(Table2[NewPointsHome],Table2[GameDate], "&lt;=" &amp; $A92, Table2[HomeTeam], S$1)</f>
        <v>0</v>
      </c>
      <c r="T92" s="145">
        <f>SUMIFS(Table2[NewPointsAway],Table2[GameDate], "&lt;=" &amp; $A92, Table2[AwayTeam], T$1)+SUMIFS(Table2[NewPointsHome],Table2[GameDate], "&lt;=" &amp; $A92, Table2[HomeTeam], T$1)</f>
        <v>4</v>
      </c>
      <c r="U92" s="145">
        <f>SUMIFS(Table2[NewPointsAway],Table2[GameDate], "&lt;=" &amp; $A92, Table2[AwayTeam], U$1)+SUMIFS(Table2[NewPointsHome],Table2[GameDate], "&lt;=" &amp; $A92, Table2[HomeTeam], U$1)</f>
        <v>2</v>
      </c>
      <c r="V92" s="145">
        <f>SUMIFS(Table2[NewPointsAway],Table2[GameDate], "&lt;=" &amp; $A92, Table2[AwayTeam], V$1)+SUMIFS(Table2[NewPointsHome],Table2[GameDate], "&lt;=" &amp; $A92, Table2[HomeTeam], V$1)</f>
        <v>3</v>
      </c>
      <c r="W92" s="145">
        <f>SUMIFS(Table2[NewPointsAway],Table2[GameDate], "&lt;=" &amp; $A92, Table2[AwayTeam], W$1)+SUMIFS(Table2[NewPointsHome],Table2[GameDate], "&lt;=" &amp; $A92, Table2[HomeTeam], W$1)</f>
        <v>4</v>
      </c>
      <c r="X92" s="145">
        <f>SUMIFS(Table2[NewPointsAway],Table2[GameDate], "&lt;=" &amp; $A92, Table2[AwayTeam], X$1)+SUMIFS(Table2[NewPointsHome],Table2[GameDate], "&lt;=" &amp; $A92, Table2[HomeTeam], X$1)</f>
        <v>4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4</v>
      </c>
      <c r="AA92" s="145">
        <f>SUMIFS(Table2[NewPointsAway],Table2[GameDate], "&lt;=" &amp; $A92, Table2[AwayTeam], AA$1)+SUMIFS(Table2[NewPointsHome],Table2[GameDate], "&lt;=" &amp; $A92, Table2[HomeTeam], AA$1)</f>
        <v>2</v>
      </c>
      <c r="AB92" s="145">
        <f>SUMIFS(Table2[NewPointsAway],Table2[GameDate], "&lt;=" &amp; $A92, Table2[AwayTeam], AB$1)+SUMIFS(Table2[NewPointsHome],Table2[GameDate], "&lt;=" &amp; $A92, Table2[HomeTeam], AB$1)</f>
        <v>2</v>
      </c>
      <c r="AC92" s="145">
        <f>SUMIFS(Table2[NewPointsAway],Table2[GameDate], "&lt;=" &amp; $A92, Table2[AwayTeam], AC$1)+SUMIFS(Table2[NewPointsHome],Table2[GameDate], "&lt;=" &amp; $A92, Table2[HomeTeam], AC$1)</f>
        <v>2</v>
      </c>
      <c r="AD92" s="145">
        <f>SUMIFS(Table2[NewPointsAway],Table2[GameDate], "&lt;=" &amp; $A92, Table2[AwayTeam], AD$1)+SUMIFS(Table2[NewPointsHome],Table2[GameDate], "&lt;=" &amp; $A92, Table2[HomeTeam], AD$1)</f>
        <v>2</v>
      </c>
      <c r="AE92" s="145">
        <f>SUMIFS(Table2[NewPointsAway],Table2[GameDate], "&lt;=" &amp; $A92, Table2[AwayTeam], AE$1)+SUMIFS(Table2[NewPointsHome],Table2[GameDate], "&lt;=" &amp; $A92, Table2[HomeTeam], AE$1)</f>
        <v>4</v>
      </c>
      <c r="AF92" s="145">
        <f>SUMIFS(Table2[NewPointsAway],Table2[GameDate], "&lt;=" &amp; $A92, Table2[AwayTeam], AF$1)+SUMIFS(Table2[NewPointsHome],Table2[GameDate], "&lt;=" &amp; $A92, Table2[HomeTeam], AF$1)</f>
        <v>4</v>
      </c>
      <c r="AG92" s="145">
        <f>SUMIFS(Table2[NewPointsAway],Table2[GameDate], "&lt;=" &amp; $A92, Table2[AwayTeam], AG$1)+SUMIFS(Table2[NewPointsHome],Table2[GameDate], "&lt;=" &amp; $A92, Table2[HomeTeam], AG$1)</f>
        <v>4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2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0</v>
      </c>
      <c r="E93" s="145">
        <f>SUMIFS(Table2[NewPointsAway],Table2[GameDate], "&lt;=" &amp; $A93, Table2[AwayTeam], E$1)+SUMIFS(Table2[NewPointsHome],Table2[GameDate], "&lt;=" &amp; $A93, Table2[HomeTeam], E$1)</f>
        <v>4</v>
      </c>
      <c r="F93" s="145">
        <f>SUMIFS(Table2[NewPointsAway],Table2[GameDate], "&lt;=" &amp; $A93, Table2[AwayTeam], F$1)+SUMIFS(Table2[NewPointsHome],Table2[GameDate], "&lt;=" &amp; $A93, Table2[HomeTeam], F$1)</f>
        <v>2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3</v>
      </c>
      <c r="I93" s="145">
        <f>SUMIFS(Table2[NewPointsAway],Table2[GameDate], "&lt;=" &amp; $A93, Table2[AwayTeam], I$1)+SUMIFS(Table2[NewPointsHome],Table2[GameDate], "&lt;=" &amp; $A93, Table2[HomeTeam], I$1)</f>
        <v>7</v>
      </c>
      <c r="J93" s="145">
        <f>SUMIFS(Table2[NewPointsAway],Table2[GameDate], "&lt;=" &amp; $A93, Table2[AwayTeam], J$1)+SUMIFS(Table2[NewPointsHome],Table2[GameDate], "&lt;=" &amp; $A93, Table2[HomeTeam], J$1)</f>
        <v>4</v>
      </c>
      <c r="K93" s="145">
        <f>SUMIFS(Table2[NewPointsAway],Table2[GameDate], "&lt;=" &amp; $A93, Table2[AwayTeam], K$1)+SUMIFS(Table2[NewPointsHome],Table2[GameDate], "&lt;=" &amp; $A93, Table2[HomeTeam], K$1)</f>
        <v>4</v>
      </c>
      <c r="L93" s="145">
        <f>SUMIFS(Table2[NewPointsAway],Table2[GameDate], "&lt;=" &amp; $A93, Table2[AwayTeam], L$1)+SUMIFS(Table2[NewPointsHome],Table2[GameDate], "&lt;=" &amp; $A93, Table2[HomeTeam], L$1)</f>
        <v>3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3</v>
      </c>
      <c r="O93" s="145">
        <f>SUMIFS(Table2[NewPointsAway],Table2[GameDate], "&lt;=" &amp; $A93, Table2[AwayTeam], O$1)+SUMIFS(Table2[NewPointsHome],Table2[GameDate], "&lt;=" &amp; $A93, Table2[HomeTeam], O$1)</f>
        <v>4</v>
      </c>
      <c r="P93" s="145">
        <f>SUMIFS(Table2[NewPointsAway],Table2[GameDate], "&lt;=" &amp; $A93, Table2[AwayTeam], P$1)+SUMIFS(Table2[NewPointsHome],Table2[GameDate], "&lt;=" &amp; $A93, Table2[HomeTeam], P$1)</f>
        <v>4</v>
      </c>
      <c r="Q93" s="145">
        <f>SUMIFS(Table2[NewPointsAway],Table2[GameDate], "&lt;=" &amp; $A93, Table2[AwayTeam], Q$1)+SUMIFS(Table2[NewPointsHome],Table2[GameDate], "&lt;=" &amp; $A93, Table2[HomeTeam], Q$1)</f>
        <v>4</v>
      </c>
      <c r="R93" s="145">
        <f>SUMIFS(Table2[NewPointsAway],Table2[GameDate], "&lt;=" &amp; $A93, Table2[AwayTeam], R$1)+SUMIFS(Table2[NewPointsHome],Table2[GameDate], "&lt;=" &amp; $A93, Table2[HomeTeam], R$1)</f>
        <v>5</v>
      </c>
      <c r="S93" s="145">
        <f>SUMIFS(Table2[NewPointsAway],Table2[GameDate], "&lt;=" &amp; $A93, Table2[AwayTeam], S$1)+SUMIFS(Table2[NewPointsHome],Table2[GameDate], "&lt;=" &amp; $A93, Table2[HomeTeam], S$1)</f>
        <v>0</v>
      </c>
      <c r="T93" s="145">
        <f>SUMIFS(Table2[NewPointsAway],Table2[GameDate], "&lt;=" &amp; $A93, Table2[AwayTeam], T$1)+SUMIFS(Table2[NewPointsHome],Table2[GameDate], "&lt;=" &amp; $A93, Table2[HomeTeam], T$1)</f>
        <v>4</v>
      </c>
      <c r="U93" s="145">
        <f>SUMIFS(Table2[NewPointsAway],Table2[GameDate], "&lt;=" &amp; $A93, Table2[AwayTeam], U$1)+SUMIFS(Table2[NewPointsHome],Table2[GameDate], "&lt;=" &amp; $A93, Table2[HomeTeam], U$1)</f>
        <v>2</v>
      </c>
      <c r="V93" s="145">
        <f>SUMIFS(Table2[NewPointsAway],Table2[GameDate], "&lt;=" &amp; $A93, Table2[AwayTeam], V$1)+SUMIFS(Table2[NewPointsHome],Table2[GameDate], "&lt;=" &amp; $A93, Table2[HomeTeam], V$1)</f>
        <v>3</v>
      </c>
      <c r="W93" s="145">
        <f>SUMIFS(Table2[NewPointsAway],Table2[GameDate], "&lt;=" &amp; $A93, Table2[AwayTeam], W$1)+SUMIFS(Table2[NewPointsHome],Table2[GameDate], "&lt;=" &amp; $A93, Table2[HomeTeam], W$1)</f>
        <v>4</v>
      </c>
      <c r="X93" s="145">
        <f>SUMIFS(Table2[NewPointsAway],Table2[GameDate], "&lt;=" &amp; $A93, Table2[AwayTeam], X$1)+SUMIFS(Table2[NewPointsHome],Table2[GameDate], "&lt;=" &amp; $A93, Table2[HomeTeam], X$1)</f>
        <v>4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4</v>
      </c>
      <c r="AA93" s="145">
        <f>SUMIFS(Table2[NewPointsAway],Table2[GameDate], "&lt;=" &amp; $A93, Table2[AwayTeam], AA$1)+SUMIFS(Table2[NewPointsHome],Table2[GameDate], "&lt;=" &amp; $A93, Table2[HomeTeam], AA$1)</f>
        <v>2</v>
      </c>
      <c r="AB93" s="145">
        <f>SUMIFS(Table2[NewPointsAway],Table2[GameDate], "&lt;=" &amp; $A93, Table2[AwayTeam], AB$1)+SUMIFS(Table2[NewPointsHome],Table2[GameDate], "&lt;=" &amp; $A93, Table2[HomeTeam], AB$1)</f>
        <v>2</v>
      </c>
      <c r="AC93" s="145">
        <f>SUMIFS(Table2[NewPointsAway],Table2[GameDate], "&lt;=" &amp; $A93, Table2[AwayTeam], AC$1)+SUMIFS(Table2[NewPointsHome],Table2[GameDate], "&lt;=" &amp; $A93, Table2[HomeTeam], AC$1)</f>
        <v>2</v>
      </c>
      <c r="AD93" s="145">
        <f>SUMIFS(Table2[NewPointsAway],Table2[GameDate], "&lt;=" &amp; $A93, Table2[AwayTeam], AD$1)+SUMIFS(Table2[NewPointsHome],Table2[GameDate], "&lt;=" &amp; $A93, Table2[HomeTeam], AD$1)</f>
        <v>2</v>
      </c>
      <c r="AE93" s="145">
        <f>SUMIFS(Table2[NewPointsAway],Table2[GameDate], "&lt;=" &amp; $A93, Table2[AwayTeam], AE$1)+SUMIFS(Table2[NewPointsHome],Table2[GameDate], "&lt;=" &amp; $A93, Table2[HomeTeam], AE$1)</f>
        <v>4</v>
      </c>
      <c r="AF93" s="145">
        <f>SUMIFS(Table2[NewPointsAway],Table2[GameDate], "&lt;=" &amp; $A93, Table2[AwayTeam], AF$1)+SUMIFS(Table2[NewPointsHome],Table2[GameDate], "&lt;=" &amp; $A93, Table2[HomeTeam], AF$1)</f>
        <v>4</v>
      </c>
      <c r="AG93" s="145">
        <f>SUMIFS(Table2[NewPointsAway],Table2[GameDate], "&lt;=" &amp; $A93, Table2[AwayTeam], AG$1)+SUMIFS(Table2[NewPointsHome],Table2[GameDate], "&lt;=" &amp; $A93, Table2[HomeTeam], AG$1)</f>
        <v>4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2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0</v>
      </c>
      <c r="E94" s="145">
        <f>SUMIFS(Table2[NewPointsAway],Table2[GameDate], "&lt;=" &amp; $A94, Table2[AwayTeam], E$1)+SUMIFS(Table2[NewPointsHome],Table2[GameDate], "&lt;=" &amp; $A94, Table2[HomeTeam], E$1)</f>
        <v>4</v>
      </c>
      <c r="F94" s="145">
        <f>SUMIFS(Table2[NewPointsAway],Table2[GameDate], "&lt;=" &amp; $A94, Table2[AwayTeam], F$1)+SUMIFS(Table2[NewPointsHome],Table2[GameDate], "&lt;=" &amp; $A94, Table2[HomeTeam], F$1)</f>
        <v>2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3</v>
      </c>
      <c r="I94" s="145">
        <f>SUMIFS(Table2[NewPointsAway],Table2[GameDate], "&lt;=" &amp; $A94, Table2[AwayTeam], I$1)+SUMIFS(Table2[NewPointsHome],Table2[GameDate], "&lt;=" &amp; $A94, Table2[HomeTeam], I$1)</f>
        <v>7</v>
      </c>
      <c r="J94" s="145">
        <f>SUMIFS(Table2[NewPointsAway],Table2[GameDate], "&lt;=" &amp; $A94, Table2[AwayTeam], J$1)+SUMIFS(Table2[NewPointsHome],Table2[GameDate], "&lt;=" &amp; $A94, Table2[HomeTeam], J$1)</f>
        <v>4</v>
      </c>
      <c r="K94" s="145">
        <f>SUMIFS(Table2[NewPointsAway],Table2[GameDate], "&lt;=" &amp; $A94, Table2[AwayTeam], K$1)+SUMIFS(Table2[NewPointsHome],Table2[GameDate], "&lt;=" &amp; $A94, Table2[HomeTeam], K$1)</f>
        <v>4</v>
      </c>
      <c r="L94" s="145">
        <f>SUMIFS(Table2[NewPointsAway],Table2[GameDate], "&lt;=" &amp; $A94, Table2[AwayTeam], L$1)+SUMIFS(Table2[NewPointsHome],Table2[GameDate], "&lt;=" &amp; $A94, Table2[HomeTeam], L$1)</f>
        <v>3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3</v>
      </c>
      <c r="O94" s="145">
        <f>SUMIFS(Table2[NewPointsAway],Table2[GameDate], "&lt;=" &amp; $A94, Table2[AwayTeam], O$1)+SUMIFS(Table2[NewPointsHome],Table2[GameDate], "&lt;=" &amp; $A94, Table2[HomeTeam], O$1)</f>
        <v>4</v>
      </c>
      <c r="P94" s="145">
        <f>SUMIFS(Table2[NewPointsAway],Table2[GameDate], "&lt;=" &amp; $A94, Table2[AwayTeam], P$1)+SUMIFS(Table2[NewPointsHome],Table2[GameDate], "&lt;=" &amp; $A94, Table2[HomeTeam], P$1)</f>
        <v>4</v>
      </c>
      <c r="Q94" s="145">
        <f>SUMIFS(Table2[NewPointsAway],Table2[GameDate], "&lt;=" &amp; $A94, Table2[AwayTeam], Q$1)+SUMIFS(Table2[NewPointsHome],Table2[GameDate], "&lt;=" &amp; $A94, Table2[HomeTeam], Q$1)</f>
        <v>4</v>
      </c>
      <c r="R94" s="145">
        <f>SUMIFS(Table2[NewPointsAway],Table2[GameDate], "&lt;=" &amp; $A94, Table2[AwayTeam], R$1)+SUMIFS(Table2[NewPointsHome],Table2[GameDate], "&lt;=" &amp; $A94, Table2[HomeTeam], R$1)</f>
        <v>5</v>
      </c>
      <c r="S94" s="145">
        <f>SUMIFS(Table2[NewPointsAway],Table2[GameDate], "&lt;=" &amp; $A94, Table2[AwayTeam], S$1)+SUMIFS(Table2[NewPointsHome],Table2[GameDate], "&lt;=" &amp; $A94, Table2[HomeTeam], S$1)</f>
        <v>0</v>
      </c>
      <c r="T94" s="145">
        <f>SUMIFS(Table2[NewPointsAway],Table2[GameDate], "&lt;=" &amp; $A94, Table2[AwayTeam], T$1)+SUMIFS(Table2[NewPointsHome],Table2[GameDate], "&lt;=" &amp; $A94, Table2[HomeTeam], T$1)</f>
        <v>4</v>
      </c>
      <c r="U94" s="145">
        <f>SUMIFS(Table2[NewPointsAway],Table2[GameDate], "&lt;=" &amp; $A94, Table2[AwayTeam], U$1)+SUMIFS(Table2[NewPointsHome],Table2[GameDate], "&lt;=" &amp; $A94, Table2[HomeTeam], U$1)</f>
        <v>2</v>
      </c>
      <c r="V94" s="145">
        <f>SUMIFS(Table2[NewPointsAway],Table2[GameDate], "&lt;=" &amp; $A94, Table2[AwayTeam], V$1)+SUMIFS(Table2[NewPointsHome],Table2[GameDate], "&lt;=" &amp; $A94, Table2[HomeTeam], V$1)</f>
        <v>3</v>
      </c>
      <c r="W94" s="145">
        <f>SUMIFS(Table2[NewPointsAway],Table2[GameDate], "&lt;=" &amp; $A94, Table2[AwayTeam], W$1)+SUMIFS(Table2[NewPointsHome],Table2[GameDate], "&lt;=" &amp; $A94, Table2[HomeTeam], W$1)</f>
        <v>4</v>
      </c>
      <c r="X94" s="145">
        <f>SUMIFS(Table2[NewPointsAway],Table2[GameDate], "&lt;=" &amp; $A94, Table2[AwayTeam], X$1)+SUMIFS(Table2[NewPointsHome],Table2[GameDate], "&lt;=" &amp; $A94, Table2[HomeTeam], X$1)</f>
        <v>4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4</v>
      </c>
      <c r="AA94" s="145">
        <f>SUMIFS(Table2[NewPointsAway],Table2[GameDate], "&lt;=" &amp; $A94, Table2[AwayTeam], AA$1)+SUMIFS(Table2[NewPointsHome],Table2[GameDate], "&lt;=" &amp; $A94, Table2[HomeTeam], AA$1)</f>
        <v>2</v>
      </c>
      <c r="AB94" s="145">
        <f>SUMIFS(Table2[NewPointsAway],Table2[GameDate], "&lt;=" &amp; $A94, Table2[AwayTeam], AB$1)+SUMIFS(Table2[NewPointsHome],Table2[GameDate], "&lt;=" &amp; $A94, Table2[HomeTeam], AB$1)</f>
        <v>2</v>
      </c>
      <c r="AC94" s="145">
        <f>SUMIFS(Table2[NewPointsAway],Table2[GameDate], "&lt;=" &amp; $A94, Table2[AwayTeam], AC$1)+SUMIFS(Table2[NewPointsHome],Table2[GameDate], "&lt;=" &amp; $A94, Table2[HomeTeam], AC$1)</f>
        <v>2</v>
      </c>
      <c r="AD94" s="145">
        <f>SUMIFS(Table2[NewPointsAway],Table2[GameDate], "&lt;=" &amp; $A94, Table2[AwayTeam], AD$1)+SUMIFS(Table2[NewPointsHome],Table2[GameDate], "&lt;=" &amp; $A94, Table2[HomeTeam], AD$1)</f>
        <v>2</v>
      </c>
      <c r="AE94" s="145">
        <f>SUMIFS(Table2[NewPointsAway],Table2[GameDate], "&lt;=" &amp; $A94, Table2[AwayTeam], AE$1)+SUMIFS(Table2[NewPointsHome],Table2[GameDate], "&lt;=" &amp; $A94, Table2[HomeTeam], AE$1)</f>
        <v>4</v>
      </c>
      <c r="AF94" s="145">
        <f>SUMIFS(Table2[NewPointsAway],Table2[GameDate], "&lt;=" &amp; $A94, Table2[AwayTeam], AF$1)+SUMIFS(Table2[NewPointsHome],Table2[GameDate], "&lt;=" &amp; $A94, Table2[HomeTeam], AF$1)</f>
        <v>4</v>
      </c>
      <c r="AG94" s="145">
        <f>SUMIFS(Table2[NewPointsAway],Table2[GameDate], "&lt;=" &amp; $A94, Table2[AwayTeam], AG$1)+SUMIFS(Table2[NewPointsHome],Table2[GameDate], "&lt;=" &amp; $A94, Table2[HomeTeam], AG$1)</f>
        <v>4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2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0</v>
      </c>
      <c r="E95" s="145">
        <f>SUMIFS(Table2[NewPointsAway],Table2[GameDate], "&lt;=" &amp; $A95, Table2[AwayTeam], E$1)+SUMIFS(Table2[NewPointsHome],Table2[GameDate], "&lt;=" &amp; $A95, Table2[HomeTeam], E$1)</f>
        <v>4</v>
      </c>
      <c r="F95" s="145">
        <f>SUMIFS(Table2[NewPointsAway],Table2[GameDate], "&lt;=" &amp; $A95, Table2[AwayTeam], F$1)+SUMIFS(Table2[NewPointsHome],Table2[GameDate], "&lt;=" &amp; $A95, Table2[HomeTeam], F$1)</f>
        <v>2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3</v>
      </c>
      <c r="I95" s="145">
        <f>SUMIFS(Table2[NewPointsAway],Table2[GameDate], "&lt;=" &amp; $A95, Table2[AwayTeam], I$1)+SUMIFS(Table2[NewPointsHome],Table2[GameDate], "&lt;=" &amp; $A95, Table2[HomeTeam], I$1)</f>
        <v>7</v>
      </c>
      <c r="J95" s="145">
        <f>SUMIFS(Table2[NewPointsAway],Table2[GameDate], "&lt;=" &amp; $A95, Table2[AwayTeam], J$1)+SUMIFS(Table2[NewPointsHome],Table2[GameDate], "&lt;=" &amp; $A95, Table2[HomeTeam], J$1)</f>
        <v>4</v>
      </c>
      <c r="K95" s="145">
        <f>SUMIFS(Table2[NewPointsAway],Table2[GameDate], "&lt;=" &amp; $A95, Table2[AwayTeam], K$1)+SUMIFS(Table2[NewPointsHome],Table2[GameDate], "&lt;=" &amp; $A95, Table2[HomeTeam], K$1)</f>
        <v>4</v>
      </c>
      <c r="L95" s="145">
        <f>SUMIFS(Table2[NewPointsAway],Table2[GameDate], "&lt;=" &amp; $A95, Table2[AwayTeam], L$1)+SUMIFS(Table2[NewPointsHome],Table2[GameDate], "&lt;=" &amp; $A95, Table2[HomeTeam], L$1)</f>
        <v>3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3</v>
      </c>
      <c r="O95" s="145">
        <f>SUMIFS(Table2[NewPointsAway],Table2[GameDate], "&lt;=" &amp; $A95, Table2[AwayTeam], O$1)+SUMIFS(Table2[NewPointsHome],Table2[GameDate], "&lt;=" &amp; $A95, Table2[HomeTeam], O$1)</f>
        <v>4</v>
      </c>
      <c r="P95" s="145">
        <f>SUMIFS(Table2[NewPointsAway],Table2[GameDate], "&lt;=" &amp; $A95, Table2[AwayTeam], P$1)+SUMIFS(Table2[NewPointsHome],Table2[GameDate], "&lt;=" &amp; $A95, Table2[HomeTeam], P$1)</f>
        <v>4</v>
      </c>
      <c r="Q95" s="145">
        <f>SUMIFS(Table2[NewPointsAway],Table2[GameDate], "&lt;=" &amp; $A95, Table2[AwayTeam], Q$1)+SUMIFS(Table2[NewPointsHome],Table2[GameDate], "&lt;=" &amp; $A95, Table2[HomeTeam], Q$1)</f>
        <v>4</v>
      </c>
      <c r="R95" s="145">
        <f>SUMIFS(Table2[NewPointsAway],Table2[GameDate], "&lt;=" &amp; $A95, Table2[AwayTeam], R$1)+SUMIFS(Table2[NewPointsHome],Table2[GameDate], "&lt;=" &amp; $A95, Table2[HomeTeam], R$1)</f>
        <v>5</v>
      </c>
      <c r="S95" s="145">
        <f>SUMIFS(Table2[NewPointsAway],Table2[GameDate], "&lt;=" &amp; $A95, Table2[AwayTeam], S$1)+SUMIFS(Table2[NewPointsHome],Table2[GameDate], "&lt;=" &amp; $A95, Table2[HomeTeam], S$1)</f>
        <v>0</v>
      </c>
      <c r="T95" s="145">
        <f>SUMIFS(Table2[NewPointsAway],Table2[GameDate], "&lt;=" &amp; $A95, Table2[AwayTeam], T$1)+SUMIFS(Table2[NewPointsHome],Table2[GameDate], "&lt;=" &amp; $A95, Table2[HomeTeam], T$1)</f>
        <v>4</v>
      </c>
      <c r="U95" s="145">
        <f>SUMIFS(Table2[NewPointsAway],Table2[GameDate], "&lt;=" &amp; $A95, Table2[AwayTeam], U$1)+SUMIFS(Table2[NewPointsHome],Table2[GameDate], "&lt;=" &amp; $A95, Table2[HomeTeam], U$1)</f>
        <v>2</v>
      </c>
      <c r="V95" s="145">
        <f>SUMIFS(Table2[NewPointsAway],Table2[GameDate], "&lt;=" &amp; $A95, Table2[AwayTeam], V$1)+SUMIFS(Table2[NewPointsHome],Table2[GameDate], "&lt;=" &amp; $A95, Table2[HomeTeam], V$1)</f>
        <v>3</v>
      </c>
      <c r="W95" s="145">
        <f>SUMIFS(Table2[NewPointsAway],Table2[GameDate], "&lt;=" &amp; $A95, Table2[AwayTeam], W$1)+SUMIFS(Table2[NewPointsHome],Table2[GameDate], "&lt;=" &amp; $A95, Table2[HomeTeam], W$1)</f>
        <v>4</v>
      </c>
      <c r="X95" s="145">
        <f>SUMIFS(Table2[NewPointsAway],Table2[GameDate], "&lt;=" &amp; $A95, Table2[AwayTeam], X$1)+SUMIFS(Table2[NewPointsHome],Table2[GameDate], "&lt;=" &amp; $A95, Table2[HomeTeam], X$1)</f>
        <v>4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4</v>
      </c>
      <c r="AA95" s="145">
        <f>SUMIFS(Table2[NewPointsAway],Table2[GameDate], "&lt;=" &amp; $A95, Table2[AwayTeam], AA$1)+SUMIFS(Table2[NewPointsHome],Table2[GameDate], "&lt;=" &amp; $A95, Table2[HomeTeam], AA$1)</f>
        <v>2</v>
      </c>
      <c r="AB95" s="145">
        <f>SUMIFS(Table2[NewPointsAway],Table2[GameDate], "&lt;=" &amp; $A95, Table2[AwayTeam], AB$1)+SUMIFS(Table2[NewPointsHome],Table2[GameDate], "&lt;=" &amp; $A95, Table2[HomeTeam], AB$1)</f>
        <v>2</v>
      </c>
      <c r="AC95" s="145">
        <f>SUMIFS(Table2[NewPointsAway],Table2[GameDate], "&lt;=" &amp; $A95, Table2[AwayTeam], AC$1)+SUMIFS(Table2[NewPointsHome],Table2[GameDate], "&lt;=" &amp; $A95, Table2[HomeTeam], AC$1)</f>
        <v>2</v>
      </c>
      <c r="AD95" s="145">
        <f>SUMIFS(Table2[NewPointsAway],Table2[GameDate], "&lt;=" &amp; $A95, Table2[AwayTeam], AD$1)+SUMIFS(Table2[NewPointsHome],Table2[GameDate], "&lt;=" &amp; $A95, Table2[HomeTeam], AD$1)</f>
        <v>2</v>
      </c>
      <c r="AE95" s="145">
        <f>SUMIFS(Table2[NewPointsAway],Table2[GameDate], "&lt;=" &amp; $A95, Table2[AwayTeam], AE$1)+SUMIFS(Table2[NewPointsHome],Table2[GameDate], "&lt;=" &amp; $A95, Table2[HomeTeam], AE$1)</f>
        <v>4</v>
      </c>
      <c r="AF95" s="145">
        <f>SUMIFS(Table2[NewPointsAway],Table2[GameDate], "&lt;=" &amp; $A95, Table2[AwayTeam], AF$1)+SUMIFS(Table2[NewPointsHome],Table2[GameDate], "&lt;=" &amp; $A95, Table2[HomeTeam], AF$1)</f>
        <v>4</v>
      </c>
      <c r="AG95" s="145">
        <f>SUMIFS(Table2[NewPointsAway],Table2[GameDate], "&lt;=" &amp; $A95, Table2[AwayTeam], AG$1)+SUMIFS(Table2[NewPointsHome],Table2[GameDate], "&lt;=" &amp; $A95, Table2[HomeTeam], AG$1)</f>
        <v>4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2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0</v>
      </c>
      <c r="E96" s="145">
        <f>SUMIFS(Table2[NewPointsAway],Table2[GameDate], "&lt;=" &amp; $A96, Table2[AwayTeam], E$1)+SUMIFS(Table2[NewPointsHome],Table2[GameDate], "&lt;=" &amp; $A96, Table2[HomeTeam], E$1)</f>
        <v>4</v>
      </c>
      <c r="F96" s="145">
        <f>SUMIFS(Table2[NewPointsAway],Table2[GameDate], "&lt;=" &amp; $A96, Table2[AwayTeam], F$1)+SUMIFS(Table2[NewPointsHome],Table2[GameDate], "&lt;=" &amp; $A96, Table2[HomeTeam], F$1)</f>
        <v>2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3</v>
      </c>
      <c r="I96" s="145">
        <f>SUMIFS(Table2[NewPointsAway],Table2[GameDate], "&lt;=" &amp; $A96, Table2[AwayTeam], I$1)+SUMIFS(Table2[NewPointsHome],Table2[GameDate], "&lt;=" &amp; $A96, Table2[HomeTeam], I$1)</f>
        <v>7</v>
      </c>
      <c r="J96" s="145">
        <f>SUMIFS(Table2[NewPointsAway],Table2[GameDate], "&lt;=" &amp; $A96, Table2[AwayTeam], J$1)+SUMIFS(Table2[NewPointsHome],Table2[GameDate], "&lt;=" &amp; $A96, Table2[HomeTeam], J$1)</f>
        <v>4</v>
      </c>
      <c r="K96" s="145">
        <f>SUMIFS(Table2[NewPointsAway],Table2[GameDate], "&lt;=" &amp; $A96, Table2[AwayTeam], K$1)+SUMIFS(Table2[NewPointsHome],Table2[GameDate], "&lt;=" &amp; $A96, Table2[HomeTeam], K$1)</f>
        <v>4</v>
      </c>
      <c r="L96" s="145">
        <f>SUMIFS(Table2[NewPointsAway],Table2[GameDate], "&lt;=" &amp; $A96, Table2[AwayTeam], L$1)+SUMIFS(Table2[NewPointsHome],Table2[GameDate], "&lt;=" &amp; $A96, Table2[HomeTeam], L$1)</f>
        <v>3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3</v>
      </c>
      <c r="O96" s="145">
        <f>SUMIFS(Table2[NewPointsAway],Table2[GameDate], "&lt;=" &amp; $A96, Table2[AwayTeam], O$1)+SUMIFS(Table2[NewPointsHome],Table2[GameDate], "&lt;=" &amp; $A96, Table2[HomeTeam], O$1)</f>
        <v>4</v>
      </c>
      <c r="P96" s="145">
        <f>SUMIFS(Table2[NewPointsAway],Table2[GameDate], "&lt;=" &amp; $A96, Table2[AwayTeam], P$1)+SUMIFS(Table2[NewPointsHome],Table2[GameDate], "&lt;=" &amp; $A96, Table2[HomeTeam], P$1)</f>
        <v>4</v>
      </c>
      <c r="Q96" s="145">
        <f>SUMIFS(Table2[NewPointsAway],Table2[GameDate], "&lt;=" &amp; $A96, Table2[AwayTeam], Q$1)+SUMIFS(Table2[NewPointsHome],Table2[GameDate], "&lt;=" &amp; $A96, Table2[HomeTeam], Q$1)</f>
        <v>4</v>
      </c>
      <c r="R96" s="145">
        <f>SUMIFS(Table2[NewPointsAway],Table2[GameDate], "&lt;=" &amp; $A96, Table2[AwayTeam], R$1)+SUMIFS(Table2[NewPointsHome],Table2[GameDate], "&lt;=" &amp; $A96, Table2[HomeTeam], R$1)</f>
        <v>5</v>
      </c>
      <c r="S96" s="145">
        <f>SUMIFS(Table2[NewPointsAway],Table2[GameDate], "&lt;=" &amp; $A96, Table2[AwayTeam], S$1)+SUMIFS(Table2[NewPointsHome],Table2[GameDate], "&lt;=" &amp; $A96, Table2[HomeTeam], S$1)</f>
        <v>0</v>
      </c>
      <c r="T96" s="145">
        <f>SUMIFS(Table2[NewPointsAway],Table2[GameDate], "&lt;=" &amp; $A96, Table2[AwayTeam], T$1)+SUMIFS(Table2[NewPointsHome],Table2[GameDate], "&lt;=" &amp; $A96, Table2[HomeTeam], T$1)</f>
        <v>4</v>
      </c>
      <c r="U96" s="145">
        <f>SUMIFS(Table2[NewPointsAway],Table2[GameDate], "&lt;=" &amp; $A96, Table2[AwayTeam], U$1)+SUMIFS(Table2[NewPointsHome],Table2[GameDate], "&lt;=" &amp; $A96, Table2[HomeTeam], U$1)</f>
        <v>2</v>
      </c>
      <c r="V96" s="145">
        <f>SUMIFS(Table2[NewPointsAway],Table2[GameDate], "&lt;=" &amp; $A96, Table2[AwayTeam], V$1)+SUMIFS(Table2[NewPointsHome],Table2[GameDate], "&lt;=" &amp; $A96, Table2[HomeTeam], V$1)</f>
        <v>3</v>
      </c>
      <c r="W96" s="145">
        <f>SUMIFS(Table2[NewPointsAway],Table2[GameDate], "&lt;=" &amp; $A96, Table2[AwayTeam], W$1)+SUMIFS(Table2[NewPointsHome],Table2[GameDate], "&lt;=" &amp; $A96, Table2[HomeTeam], W$1)</f>
        <v>4</v>
      </c>
      <c r="X96" s="145">
        <f>SUMIFS(Table2[NewPointsAway],Table2[GameDate], "&lt;=" &amp; $A96, Table2[AwayTeam], X$1)+SUMIFS(Table2[NewPointsHome],Table2[GameDate], "&lt;=" &amp; $A96, Table2[HomeTeam], X$1)</f>
        <v>4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4</v>
      </c>
      <c r="AA96" s="145">
        <f>SUMIFS(Table2[NewPointsAway],Table2[GameDate], "&lt;=" &amp; $A96, Table2[AwayTeam], AA$1)+SUMIFS(Table2[NewPointsHome],Table2[GameDate], "&lt;=" &amp; $A96, Table2[HomeTeam], AA$1)</f>
        <v>2</v>
      </c>
      <c r="AB96" s="145">
        <f>SUMIFS(Table2[NewPointsAway],Table2[GameDate], "&lt;=" &amp; $A96, Table2[AwayTeam], AB$1)+SUMIFS(Table2[NewPointsHome],Table2[GameDate], "&lt;=" &amp; $A96, Table2[HomeTeam], AB$1)</f>
        <v>2</v>
      </c>
      <c r="AC96" s="145">
        <f>SUMIFS(Table2[NewPointsAway],Table2[GameDate], "&lt;=" &amp; $A96, Table2[AwayTeam], AC$1)+SUMIFS(Table2[NewPointsHome],Table2[GameDate], "&lt;=" &amp; $A96, Table2[HomeTeam], AC$1)</f>
        <v>2</v>
      </c>
      <c r="AD96" s="145">
        <f>SUMIFS(Table2[NewPointsAway],Table2[GameDate], "&lt;=" &amp; $A96, Table2[AwayTeam], AD$1)+SUMIFS(Table2[NewPointsHome],Table2[GameDate], "&lt;=" &amp; $A96, Table2[HomeTeam], AD$1)</f>
        <v>2</v>
      </c>
      <c r="AE96" s="145">
        <f>SUMIFS(Table2[NewPointsAway],Table2[GameDate], "&lt;=" &amp; $A96, Table2[AwayTeam], AE$1)+SUMIFS(Table2[NewPointsHome],Table2[GameDate], "&lt;=" &amp; $A96, Table2[HomeTeam], AE$1)</f>
        <v>4</v>
      </c>
      <c r="AF96" s="145">
        <f>SUMIFS(Table2[NewPointsAway],Table2[GameDate], "&lt;=" &amp; $A96, Table2[AwayTeam], AF$1)+SUMIFS(Table2[NewPointsHome],Table2[GameDate], "&lt;=" &amp; $A96, Table2[HomeTeam], AF$1)</f>
        <v>4</v>
      </c>
      <c r="AG96" s="145">
        <f>SUMIFS(Table2[NewPointsAway],Table2[GameDate], "&lt;=" &amp; $A96, Table2[AwayTeam], AG$1)+SUMIFS(Table2[NewPointsHome],Table2[GameDate], "&lt;=" &amp; $A96, Table2[HomeTeam], AG$1)</f>
        <v>4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2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0</v>
      </c>
      <c r="E97" s="145">
        <f>SUMIFS(Table2[NewPointsAway],Table2[GameDate], "&lt;=" &amp; $A97, Table2[AwayTeam], E$1)+SUMIFS(Table2[NewPointsHome],Table2[GameDate], "&lt;=" &amp; $A97, Table2[HomeTeam], E$1)</f>
        <v>4</v>
      </c>
      <c r="F97" s="145">
        <f>SUMIFS(Table2[NewPointsAway],Table2[GameDate], "&lt;=" &amp; $A97, Table2[AwayTeam], F$1)+SUMIFS(Table2[NewPointsHome],Table2[GameDate], "&lt;=" &amp; $A97, Table2[HomeTeam], F$1)</f>
        <v>2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3</v>
      </c>
      <c r="I97" s="145">
        <f>SUMIFS(Table2[NewPointsAway],Table2[GameDate], "&lt;=" &amp; $A97, Table2[AwayTeam], I$1)+SUMIFS(Table2[NewPointsHome],Table2[GameDate], "&lt;=" &amp; $A97, Table2[HomeTeam], I$1)</f>
        <v>7</v>
      </c>
      <c r="J97" s="145">
        <f>SUMIFS(Table2[NewPointsAway],Table2[GameDate], "&lt;=" &amp; $A97, Table2[AwayTeam], J$1)+SUMIFS(Table2[NewPointsHome],Table2[GameDate], "&lt;=" &amp; $A97, Table2[HomeTeam], J$1)</f>
        <v>4</v>
      </c>
      <c r="K97" s="145">
        <f>SUMIFS(Table2[NewPointsAway],Table2[GameDate], "&lt;=" &amp; $A97, Table2[AwayTeam], K$1)+SUMIFS(Table2[NewPointsHome],Table2[GameDate], "&lt;=" &amp; $A97, Table2[HomeTeam], K$1)</f>
        <v>4</v>
      </c>
      <c r="L97" s="145">
        <f>SUMIFS(Table2[NewPointsAway],Table2[GameDate], "&lt;=" &amp; $A97, Table2[AwayTeam], L$1)+SUMIFS(Table2[NewPointsHome],Table2[GameDate], "&lt;=" &amp; $A97, Table2[HomeTeam], L$1)</f>
        <v>3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3</v>
      </c>
      <c r="O97" s="145">
        <f>SUMIFS(Table2[NewPointsAway],Table2[GameDate], "&lt;=" &amp; $A97, Table2[AwayTeam], O$1)+SUMIFS(Table2[NewPointsHome],Table2[GameDate], "&lt;=" &amp; $A97, Table2[HomeTeam], O$1)</f>
        <v>4</v>
      </c>
      <c r="P97" s="145">
        <f>SUMIFS(Table2[NewPointsAway],Table2[GameDate], "&lt;=" &amp; $A97, Table2[AwayTeam], P$1)+SUMIFS(Table2[NewPointsHome],Table2[GameDate], "&lt;=" &amp; $A97, Table2[HomeTeam], P$1)</f>
        <v>4</v>
      </c>
      <c r="Q97" s="145">
        <f>SUMIFS(Table2[NewPointsAway],Table2[GameDate], "&lt;=" &amp; $A97, Table2[AwayTeam], Q$1)+SUMIFS(Table2[NewPointsHome],Table2[GameDate], "&lt;=" &amp; $A97, Table2[HomeTeam], Q$1)</f>
        <v>4</v>
      </c>
      <c r="R97" s="145">
        <f>SUMIFS(Table2[NewPointsAway],Table2[GameDate], "&lt;=" &amp; $A97, Table2[AwayTeam], R$1)+SUMIFS(Table2[NewPointsHome],Table2[GameDate], "&lt;=" &amp; $A97, Table2[HomeTeam], R$1)</f>
        <v>5</v>
      </c>
      <c r="S97" s="145">
        <f>SUMIFS(Table2[NewPointsAway],Table2[GameDate], "&lt;=" &amp; $A97, Table2[AwayTeam], S$1)+SUMIFS(Table2[NewPointsHome],Table2[GameDate], "&lt;=" &amp; $A97, Table2[HomeTeam], S$1)</f>
        <v>0</v>
      </c>
      <c r="T97" s="145">
        <f>SUMIFS(Table2[NewPointsAway],Table2[GameDate], "&lt;=" &amp; $A97, Table2[AwayTeam], T$1)+SUMIFS(Table2[NewPointsHome],Table2[GameDate], "&lt;=" &amp; $A97, Table2[HomeTeam], T$1)</f>
        <v>4</v>
      </c>
      <c r="U97" s="145">
        <f>SUMIFS(Table2[NewPointsAway],Table2[GameDate], "&lt;=" &amp; $A97, Table2[AwayTeam], U$1)+SUMIFS(Table2[NewPointsHome],Table2[GameDate], "&lt;=" &amp; $A97, Table2[HomeTeam], U$1)</f>
        <v>2</v>
      </c>
      <c r="V97" s="145">
        <f>SUMIFS(Table2[NewPointsAway],Table2[GameDate], "&lt;=" &amp; $A97, Table2[AwayTeam], V$1)+SUMIFS(Table2[NewPointsHome],Table2[GameDate], "&lt;=" &amp; $A97, Table2[HomeTeam], V$1)</f>
        <v>3</v>
      </c>
      <c r="W97" s="145">
        <f>SUMIFS(Table2[NewPointsAway],Table2[GameDate], "&lt;=" &amp; $A97, Table2[AwayTeam], W$1)+SUMIFS(Table2[NewPointsHome],Table2[GameDate], "&lt;=" &amp; $A97, Table2[HomeTeam], W$1)</f>
        <v>4</v>
      </c>
      <c r="X97" s="145">
        <f>SUMIFS(Table2[NewPointsAway],Table2[GameDate], "&lt;=" &amp; $A97, Table2[AwayTeam], X$1)+SUMIFS(Table2[NewPointsHome],Table2[GameDate], "&lt;=" &amp; $A97, Table2[HomeTeam], X$1)</f>
        <v>4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4</v>
      </c>
      <c r="AA97" s="145">
        <f>SUMIFS(Table2[NewPointsAway],Table2[GameDate], "&lt;=" &amp; $A97, Table2[AwayTeam], AA$1)+SUMIFS(Table2[NewPointsHome],Table2[GameDate], "&lt;=" &amp; $A97, Table2[HomeTeam], AA$1)</f>
        <v>2</v>
      </c>
      <c r="AB97" s="145">
        <f>SUMIFS(Table2[NewPointsAway],Table2[GameDate], "&lt;=" &amp; $A97, Table2[AwayTeam], AB$1)+SUMIFS(Table2[NewPointsHome],Table2[GameDate], "&lt;=" &amp; $A97, Table2[HomeTeam], AB$1)</f>
        <v>2</v>
      </c>
      <c r="AC97" s="145">
        <f>SUMIFS(Table2[NewPointsAway],Table2[GameDate], "&lt;=" &amp; $A97, Table2[AwayTeam], AC$1)+SUMIFS(Table2[NewPointsHome],Table2[GameDate], "&lt;=" &amp; $A97, Table2[HomeTeam], AC$1)</f>
        <v>2</v>
      </c>
      <c r="AD97" s="145">
        <f>SUMIFS(Table2[NewPointsAway],Table2[GameDate], "&lt;=" &amp; $A97, Table2[AwayTeam], AD$1)+SUMIFS(Table2[NewPointsHome],Table2[GameDate], "&lt;=" &amp; $A97, Table2[HomeTeam], AD$1)</f>
        <v>2</v>
      </c>
      <c r="AE97" s="145">
        <f>SUMIFS(Table2[NewPointsAway],Table2[GameDate], "&lt;=" &amp; $A97, Table2[AwayTeam], AE$1)+SUMIFS(Table2[NewPointsHome],Table2[GameDate], "&lt;=" &amp; $A97, Table2[HomeTeam], AE$1)</f>
        <v>4</v>
      </c>
      <c r="AF97" s="145">
        <f>SUMIFS(Table2[NewPointsAway],Table2[GameDate], "&lt;=" &amp; $A97, Table2[AwayTeam], AF$1)+SUMIFS(Table2[NewPointsHome],Table2[GameDate], "&lt;=" &amp; $A97, Table2[HomeTeam], AF$1)</f>
        <v>4</v>
      </c>
      <c r="AG97" s="145">
        <f>SUMIFS(Table2[NewPointsAway],Table2[GameDate], "&lt;=" &amp; $A97, Table2[AwayTeam], AG$1)+SUMIFS(Table2[NewPointsHome],Table2[GameDate], "&lt;=" &amp; $A97, Table2[HomeTeam], AG$1)</f>
        <v>4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2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0</v>
      </c>
      <c r="E98" s="145">
        <f>SUMIFS(Table2[NewPointsAway],Table2[GameDate], "&lt;=" &amp; $A98, Table2[AwayTeam], E$1)+SUMIFS(Table2[NewPointsHome],Table2[GameDate], "&lt;=" &amp; $A98, Table2[HomeTeam], E$1)</f>
        <v>4</v>
      </c>
      <c r="F98" s="145">
        <f>SUMIFS(Table2[NewPointsAway],Table2[GameDate], "&lt;=" &amp; $A98, Table2[AwayTeam], F$1)+SUMIFS(Table2[NewPointsHome],Table2[GameDate], "&lt;=" &amp; $A98, Table2[HomeTeam], F$1)</f>
        <v>2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3</v>
      </c>
      <c r="I98" s="145">
        <f>SUMIFS(Table2[NewPointsAway],Table2[GameDate], "&lt;=" &amp; $A98, Table2[AwayTeam], I$1)+SUMIFS(Table2[NewPointsHome],Table2[GameDate], "&lt;=" &amp; $A98, Table2[HomeTeam], I$1)</f>
        <v>7</v>
      </c>
      <c r="J98" s="145">
        <f>SUMIFS(Table2[NewPointsAway],Table2[GameDate], "&lt;=" &amp; $A98, Table2[AwayTeam], J$1)+SUMIFS(Table2[NewPointsHome],Table2[GameDate], "&lt;=" &amp; $A98, Table2[HomeTeam], J$1)</f>
        <v>4</v>
      </c>
      <c r="K98" s="145">
        <f>SUMIFS(Table2[NewPointsAway],Table2[GameDate], "&lt;=" &amp; $A98, Table2[AwayTeam], K$1)+SUMIFS(Table2[NewPointsHome],Table2[GameDate], "&lt;=" &amp; $A98, Table2[HomeTeam], K$1)</f>
        <v>4</v>
      </c>
      <c r="L98" s="145">
        <f>SUMIFS(Table2[NewPointsAway],Table2[GameDate], "&lt;=" &amp; $A98, Table2[AwayTeam], L$1)+SUMIFS(Table2[NewPointsHome],Table2[GameDate], "&lt;=" &amp; $A98, Table2[HomeTeam], L$1)</f>
        <v>3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3</v>
      </c>
      <c r="O98" s="145">
        <f>SUMIFS(Table2[NewPointsAway],Table2[GameDate], "&lt;=" &amp; $A98, Table2[AwayTeam], O$1)+SUMIFS(Table2[NewPointsHome],Table2[GameDate], "&lt;=" &amp; $A98, Table2[HomeTeam], O$1)</f>
        <v>4</v>
      </c>
      <c r="P98" s="145">
        <f>SUMIFS(Table2[NewPointsAway],Table2[GameDate], "&lt;=" &amp; $A98, Table2[AwayTeam], P$1)+SUMIFS(Table2[NewPointsHome],Table2[GameDate], "&lt;=" &amp; $A98, Table2[HomeTeam], P$1)</f>
        <v>4</v>
      </c>
      <c r="Q98" s="145">
        <f>SUMIFS(Table2[NewPointsAway],Table2[GameDate], "&lt;=" &amp; $A98, Table2[AwayTeam], Q$1)+SUMIFS(Table2[NewPointsHome],Table2[GameDate], "&lt;=" &amp; $A98, Table2[HomeTeam], Q$1)</f>
        <v>4</v>
      </c>
      <c r="R98" s="145">
        <f>SUMIFS(Table2[NewPointsAway],Table2[GameDate], "&lt;=" &amp; $A98, Table2[AwayTeam], R$1)+SUMIFS(Table2[NewPointsHome],Table2[GameDate], "&lt;=" &amp; $A98, Table2[HomeTeam], R$1)</f>
        <v>5</v>
      </c>
      <c r="S98" s="145">
        <f>SUMIFS(Table2[NewPointsAway],Table2[GameDate], "&lt;=" &amp; $A98, Table2[AwayTeam], S$1)+SUMIFS(Table2[NewPointsHome],Table2[GameDate], "&lt;=" &amp; $A98, Table2[HomeTeam], S$1)</f>
        <v>0</v>
      </c>
      <c r="T98" s="145">
        <f>SUMIFS(Table2[NewPointsAway],Table2[GameDate], "&lt;=" &amp; $A98, Table2[AwayTeam], T$1)+SUMIFS(Table2[NewPointsHome],Table2[GameDate], "&lt;=" &amp; $A98, Table2[HomeTeam], T$1)</f>
        <v>4</v>
      </c>
      <c r="U98" s="145">
        <f>SUMIFS(Table2[NewPointsAway],Table2[GameDate], "&lt;=" &amp; $A98, Table2[AwayTeam], U$1)+SUMIFS(Table2[NewPointsHome],Table2[GameDate], "&lt;=" &amp; $A98, Table2[HomeTeam], U$1)</f>
        <v>2</v>
      </c>
      <c r="V98" s="145">
        <f>SUMIFS(Table2[NewPointsAway],Table2[GameDate], "&lt;=" &amp; $A98, Table2[AwayTeam], V$1)+SUMIFS(Table2[NewPointsHome],Table2[GameDate], "&lt;=" &amp; $A98, Table2[HomeTeam], V$1)</f>
        <v>3</v>
      </c>
      <c r="W98" s="145">
        <f>SUMIFS(Table2[NewPointsAway],Table2[GameDate], "&lt;=" &amp; $A98, Table2[AwayTeam], W$1)+SUMIFS(Table2[NewPointsHome],Table2[GameDate], "&lt;=" &amp; $A98, Table2[HomeTeam], W$1)</f>
        <v>4</v>
      </c>
      <c r="X98" s="145">
        <f>SUMIFS(Table2[NewPointsAway],Table2[GameDate], "&lt;=" &amp; $A98, Table2[AwayTeam], X$1)+SUMIFS(Table2[NewPointsHome],Table2[GameDate], "&lt;=" &amp; $A98, Table2[HomeTeam], X$1)</f>
        <v>4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4</v>
      </c>
      <c r="AA98" s="145">
        <f>SUMIFS(Table2[NewPointsAway],Table2[GameDate], "&lt;=" &amp; $A98, Table2[AwayTeam], AA$1)+SUMIFS(Table2[NewPointsHome],Table2[GameDate], "&lt;=" &amp; $A98, Table2[HomeTeam], AA$1)</f>
        <v>2</v>
      </c>
      <c r="AB98" s="145">
        <f>SUMIFS(Table2[NewPointsAway],Table2[GameDate], "&lt;=" &amp; $A98, Table2[AwayTeam], AB$1)+SUMIFS(Table2[NewPointsHome],Table2[GameDate], "&lt;=" &amp; $A98, Table2[HomeTeam], AB$1)</f>
        <v>2</v>
      </c>
      <c r="AC98" s="145">
        <f>SUMIFS(Table2[NewPointsAway],Table2[GameDate], "&lt;=" &amp; $A98, Table2[AwayTeam], AC$1)+SUMIFS(Table2[NewPointsHome],Table2[GameDate], "&lt;=" &amp; $A98, Table2[HomeTeam], AC$1)</f>
        <v>2</v>
      </c>
      <c r="AD98" s="145">
        <f>SUMIFS(Table2[NewPointsAway],Table2[GameDate], "&lt;=" &amp; $A98, Table2[AwayTeam], AD$1)+SUMIFS(Table2[NewPointsHome],Table2[GameDate], "&lt;=" &amp; $A98, Table2[HomeTeam], AD$1)</f>
        <v>2</v>
      </c>
      <c r="AE98" s="145">
        <f>SUMIFS(Table2[NewPointsAway],Table2[GameDate], "&lt;=" &amp; $A98, Table2[AwayTeam], AE$1)+SUMIFS(Table2[NewPointsHome],Table2[GameDate], "&lt;=" &amp; $A98, Table2[HomeTeam], AE$1)</f>
        <v>4</v>
      </c>
      <c r="AF98" s="145">
        <f>SUMIFS(Table2[NewPointsAway],Table2[GameDate], "&lt;=" &amp; $A98, Table2[AwayTeam], AF$1)+SUMIFS(Table2[NewPointsHome],Table2[GameDate], "&lt;=" &amp; $A98, Table2[HomeTeam], AF$1)</f>
        <v>4</v>
      </c>
      <c r="AG98" s="145">
        <f>SUMIFS(Table2[NewPointsAway],Table2[GameDate], "&lt;=" &amp; $A98, Table2[AwayTeam], AG$1)+SUMIFS(Table2[NewPointsHome],Table2[GameDate], "&lt;=" &amp; $A98, Table2[HomeTeam], AG$1)</f>
        <v>4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2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0</v>
      </c>
      <c r="E99" s="145">
        <f>SUMIFS(Table2[NewPointsAway],Table2[GameDate], "&lt;=" &amp; $A99, Table2[AwayTeam], E$1)+SUMIFS(Table2[NewPointsHome],Table2[GameDate], "&lt;=" &amp; $A99, Table2[HomeTeam], E$1)</f>
        <v>4</v>
      </c>
      <c r="F99" s="145">
        <f>SUMIFS(Table2[NewPointsAway],Table2[GameDate], "&lt;=" &amp; $A99, Table2[AwayTeam], F$1)+SUMIFS(Table2[NewPointsHome],Table2[GameDate], "&lt;=" &amp; $A99, Table2[HomeTeam], F$1)</f>
        <v>2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3</v>
      </c>
      <c r="I99" s="145">
        <f>SUMIFS(Table2[NewPointsAway],Table2[GameDate], "&lt;=" &amp; $A99, Table2[AwayTeam], I$1)+SUMIFS(Table2[NewPointsHome],Table2[GameDate], "&lt;=" &amp; $A99, Table2[HomeTeam], I$1)</f>
        <v>7</v>
      </c>
      <c r="J99" s="145">
        <f>SUMIFS(Table2[NewPointsAway],Table2[GameDate], "&lt;=" &amp; $A99, Table2[AwayTeam], J$1)+SUMIFS(Table2[NewPointsHome],Table2[GameDate], "&lt;=" &amp; $A99, Table2[HomeTeam], J$1)</f>
        <v>4</v>
      </c>
      <c r="K99" s="145">
        <f>SUMIFS(Table2[NewPointsAway],Table2[GameDate], "&lt;=" &amp; $A99, Table2[AwayTeam], K$1)+SUMIFS(Table2[NewPointsHome],Table2[GameDate], "&lt;=" &amp; $A99, Table2[HomeTeam], K$1)</f>
        <v>4</v>
      </c>
      <c r="L99" s="145">
        <f>SUMIFS(Table2[NewPointsAway],Table2[GameDate], "&lt;=" &amp; $A99, Table2[AwayTeam], L$1)+SUMIFS(Table2[NewPointsHome],Table2[GameDate], "&lt;=" &amp; $A99, Table2[HomeTeam], L$1)</f>
        <v>3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3</v>
      </c>
      <c r="O99" s="145">
        <f>SUMIFS(Table2[NewPointsAway],Table2[GameDate], "&lt;=" &amp; $A99, Table2[AwayTeam], O$1)+SUMIFS(Table2[NewPointsHome],Table2[GameDate], "&lt;=" &amp; $A99, Table2[HomeTeam], O$1)</f>
        <v>4</v>
      </c>
      <c r="P99" s="145">
        <f>SUMIFS(Table2[NewPointsAway],Table2[GameDate], "&lt;=" &amp; $A99, Table2[AwayTeam], P$1)+SUMIFS(Table2[NewPointsHome],Table2[GameDate], "&lt;=" &amp; $A99, Table2[HomeTeam], P$1)</f>
        <v>4</v>
      </c>
      <c r="Q99" s="145">
        <f>SUMIFS(Table2[NewPointsAway],Table2[GameDate], "&lt;=" &amp; $A99, Table2[AwayTeam], Q$1)+SUMIFS(Table2[NewPointsHome],Table2[GameDate], "&lt;=" &amp; $A99, Table2[HomeTeam], Q$1)</f>
        <v>4</v>
      </c>
      <c r="R99" s="145">
        <f>SUMIFS(Table2[NewPointsAway],Table2[GameDate], "&lt;=" &amp; $A99, Table2[AwayTeam], R$1)+SUMIFS(Table2[NewPointsHome],Table2[GameDate], "&lt;=" &amp; $A99, Table2[HomeTeam], R$1)</f>
        <v>5</v>
      </c>
      <c r="S99" s="145">
        <f>SUMIFS(Table2[NewPointsAway],Table2[GameDate], "&lt;=" &amp; $A99, Table2[AwayTeam], S$1)+SUMIFS(Table2[NewPointsHome],Table2[GameDate], "&lt;=" &amp; $A99, Table2[HomeTeam], S$1)</f>
        <v>0</v>
      </c>
      <c r="T99" s="145">
        <f>SUMIFS(Table2[NewPointsAway],Table2[GameDate], "&lt;=" &amp; $A99, Table2[AwayTeam], T$1)+SUMIFS(Table2[NewPointsHome],Table2[GameDate], "&lt;=" &amp; $A99, Table2[HomeTeam], T$1)</f>
        <v>4</v>
      </c>
      <c r="U99" s="145">
        <f>SUMIFS(Table2[NewPointsAway],Table2[GameDate], "&lt;=" &amp; $A99, Table2[AwayTeam], U$1)+SUMIFS(Table2[NewPointsHome],Table2[GameDate], "&lt;=" &amp; $A99, Table2[HomeTeam], U$1)</f>
        <v>2</v>
      </c>
      <c r="V99" s="145">
        <f>SUMIFS(Table2[NewPointsAway],Table2[GameDate], "&lt;=" &amp; $A99, Table2[AwayTeam], V$1)+SUMIFS(Table2[NewPointsHome],Table2[GameDate], "&lt;=" &amp; $A99, Table2[HomeTeam], V$1)</f>
        <v>3</v>
      </c>
      <c r="W99" s="145">
        <f>SUMIFS(Table2[NewPointsAway],Table2[GameDate], "&lt;=" &amp; $A99, Table2[AwayTeam], W$1)+SUMIFS(Table2[NewPointsHome],Table2[GameDate], "&lt;=" &amp; $A99, Table2[HomeTeam], W$1)</f>
        <v>4</v>
      </c>
      <c r="X99" s="145">
        <f>SUMIFS(Table2[NewPointsAway],Table2[GameDate], "&lt;=" &amp; $A99, Table2[AwayTeam], X$1)+SUMIFS(Table2[NewPointsHome],Table2[GameDate], "&lt;=" &amp; $A99, Table2[HomeTeam], X$1)</f>
        <v>4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4</v>
      </c>
      <c r="AA99" s="145">
        <f>SUMIFS(Table2[NewPointsAway],Table2[GameDate], "&lt;=" &amp; $A99, Table2[AwayTeam], AA$1)+SUMIFS(Table2[NewPointsHome],Table2[GameDate], "&lt;=" &amp; $A99, Table2[HomeTeam], AA$1)</f>
        <v>2</v>
      </c>
      <c r="AB99" s="145">
        <f>SUMIFS(Table2[NewPointsAway],Table2[GameDate], "&lt;=" &amp; $A99, Table2[AwayTeam], AB$1)+SUMIFS(Table2[NewPointsHome],Table2[GameDate], "&lt;=" &amp; $A99, Table2[HomeTeam], AB$1)</f>
        <v>2</v>
      </c>
      <c r="AC99" s="145">
        <f>SUMIFS(Table2[NewPointsAway],Table2[GameDate], "&lt;=" &amp; $A99, Table2[AwayTeam], AC$1)+SUMIFS(Table2[NewPointsHome],Table2[GameDate], "&lt;=" &amp; $A99, Table2[HomeTeam], AC$1)</f>
        <v>2</v>
      </c>
      <c r="AD99" s="145">
        <f>SUMIFS(Table2[NewPointsAway],Table2[GameDate], "&lt;=" &amp; $A99, Table2[AwayTeam], AD$1)+SUMIFS(Table2[NewPointsHome],Table2[GameDate], "&lt;=" &amp; $A99, Table2[HomeTeam], AD$1)</f>
        <v>2</v>
      </c>
      <c r="AE99" s="145">
        <f>SUMIFS(Table2[NewPointsAway],Table2[GameDate], "&lt;=" &amp; $A99, Table2[AwayTeam], AE$1)+SUMIFS(Table2[NewPointsHome],Table2[GameDate], "&lt;=" &amp; $A99, Table2[HomeTeam], AE$1)</f>
        <v>4</v>
      </c>
      <c r="AF99" s="145">
        <f>SUMIFS(Table2[NewPointsAway],Table2[GameDate], "&lt;=" &amp; $A99, Table2[AwayTeam], AF$1)+SUMIFS(Table2[NewPointsHome],Table2[GameDate], "&lt;=" &amp; $A99, Table2[HomeTeam], AF$1)</f>
        <v>4</v>
      </c>
      <c r="AG99" s="145">
        <f>SUMIFS(Table2[NewPointsAway],Table2[GameDate], "&lt;=" &amp; $A99, Table2[AwayTeam], AG$1)+SUMIFS(Table2[NewPointsHome],Table2[GameDate], "&lt;=" &amp; $A99, Table2[HomeTeam], AG$1)</f>
        <v>4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2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0</v>
      </c>
      <c r="E100" s="145">
        <f>SUMIFS(Table2[NewPointsAway],Table2[GameDate], "&lt;=" &amp; $A100, Table2[AwayTeam], E$1)+SUMIFS(Table2[NewPointsHome],Table2[GameDate], "&lt;=" &amp; $A100, Table2[HomeTeam], E$1)</f>
        <v>4</v>
      </c>
      <c r="F100" s="145">
        <f>SUMIFS(Table2[NewPointsAway],Table2[GameDate], "&lt;=" &amp; $A100, Table2[AwayTeam], F$1)+SUMIFS(Table2[NewPointsHome],Table2[GameDate], "&lt;=" &amp; $A100, Table2[HomeTeam], F$1)</f>
        <v>2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3</v>
      </c>
      <c r="I100" s="145">
        <f>SUMIFS(Table2[NewPointsAway],Table2[GameDate], "&lt;=" &amp; $A100, Table2[AwayTeam], I$1)+SUMIFS(Table2[NewPointsHome],Table2[GameDate], "&lt;=" &amp; $A100, Table2[HomeTeam], I$1)</f>
        <v>7</v>
      </c>
      <c r="J100" s="145">
        <f>SUMIFS(Table2[NewPointsAway],Table2[GameDate], "&lt;=" &amp; $A100, Table2[AwayTeam], J$1)+SUMIFS(Table2[NewPointsHome],Table2[GameDate], "&lt;=" &amp; $A100, Table2[HomeTeam], J$1)</f>
        <v>4</v>
      </c>
      <c r="K100" s="145">
        <f>SUMIFS(Table2[NewPointsAway],Table2[GameDate], "&lt;=" &amp; $A100, Table2[AwayTeam], K$1)+SUMIFS(Table2[NewPointsHome],Table2[GameDate], "&lt;=" &amp; $A100, Table2[HomeTeam], K$1)</f>
        <v>4</v>
      </c>
      <c r="L100" s="145">
        <f>SUMIFS(Table2[NewPointsAway],Table2[GameDate], "&lt;=" &amp; $A100, Table2[AwayTeam], L$1)+SUMIFS(Table2[NewPointsHome],Table2[GameDate], "&lt;=" &amp; $A100, Table2[HomeTeam], L$1)</f>
        <v>3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3</v>
      </c>
      <c r="O100" s="145">
        <f>SUMIFS(Table2[NewPointsAway],Table2[GameDate], "&lt;=" &amp; $A100, Table2[AwayTeam], O$1)+SUMIFS(Table2[NewPointsHome],Table2[GameDate], "&lt;=" &amp; $A100, Table2[HomeTeam], O$1)</f>
        <v>4</v>
      </c>
      <c r="P100" s="145">
        <f>SUMIFS(Table2[NewPointsAway],Table2[GameDate], "&lt;=" &amp; $A100, Table2[AwayTeam], P$1)+SUMIFS(Table2[NewPointsHome],Table2[GameDate], "&lt;=" &amp; $A100, Table2[HomeTeam], P$1)</f>
        <v>4</v>
      </c>
      <c r="Q100" s="145">
        <f>SUMIFS(Table2[NewPointsAway],Table2[GameDate], "&lt;=" &amp; $A100, Table2[AwayTeam], Q$1)+SUMIFS(Table2[NewPointsHome],Table2[GameDate], "&lt;=" &amp; $A100, Table2[HomeTeam], Q$1)</f>
        <v>4</v>
      </c>
      <c r="R100" s="145">
        <f>SUMIFS(Table2[NewPointsAway],Table2[GameDate], "&lt;=" &amp; $A100, Table2[AwayTeam], R$1)+SUMIFS(Table2[NewPointsHome],Table2[GameDate], "&lt;=" &amp; $A100, Table2[HomeTeam], R$1)</f>
        <v>5</v>
      </c>
      <c r="S100" s="145">
        <f>SUMIFS(Table2[NewPointsAway],Table2[GameDate], "&lt;=" &amp; $A100, Table2[AwayTeam], S$1)+SUMIFS(Table2[NewPointsHome],Table2[GameDate], "&lt;=" &amp; $A100, Table2[HomeTeam], S$1)</f>
        <v>0</v>
      </c>
      <c r="T100" s="145">
        <f>SUMIFS(Table2[NewPointsAway],Table2[GameDate], "&lt;=" &amp; $A100, Table2[AwayTeam], T$1)+SUMIFS(Table2[NewPointsHome],Table2[GameDate], "&lt;=" &amp; $A100, Table2[HomeTeam], T$1)</f>
        <v>4</v>
      </c>
      <c r="U100" s="145">
        <f>SUMIFS(Table2[NewPointsAway],Table2[GameDate], "&lt;=" &amp; $A100, Table2[AwayTeam], U$1)+SUMIFS(Table2[NewPointsHome],Table2[GameDate], "&lt;=" &amp; $A100, Table2[HomeTeam], U$1)</f>
        <v>2</v>
      </c>
      <c r="V100" s="145">
        <f>SUMIFS(Table2[NewPointsAway],Table2[GameDate], "&lt;=" &amp; $A100, Table2[AwayTeam], V$1)+SUMIFS(Table2[NewPointsHome],Table2[GameDate], "&lt;=" &amp; $A100, Table2[HomeTeam], V$1)</f>
        <v>3</v>
      </c>
      <c r="W100" s="145">
        <f>SUMIFS(Table2[NewPointsAway],Table2[GameDate], "&lt;=" &amp; $A100, Table2[AwayTeam], W$1)+SUMIFS(Table2[NewPointsHome],Table2[GameDate], "&lt;=" &amp; $A100, Table2[HomeTeam], W$1)</f>
        <v>4</v>
      </c>
      <c r="X100" s="145">
        <f>SUMIFS(Table2[NewPointsAway],Table2[GameDate], "&lt;=" &amp; $A100, Table2[AwayTeam], X$1)+SUMIFS(Table2[NewPointsHome],Table2[GameDate], "&lt;=" &amp; $A100, Table2[HomeTeam], X$1)</f>
        <v>4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4</v>
      </c>
      <c r="AA100" s="145">
        <f>SUMIFS(Table2[NewPointsAway],Table2[GameDate], "&lt;=" &amp; $A100, Table2[AwayTeam], AA$1)+SUMIFS(Table2[NewPointsHome],Table2[GameDate], "&lt;=" &amp; $A100, Table2[HomeTeam], AA$1)</f>
        <v>2</v>
      </c>
      <c r="AB100" s="145">
        <f>SUMIFS(Table2[NewPointsAway],Table2[GameDate], "&lt;=" &amp; $A100, Table2[AwayTeam], AB$1)+SUMIFS(Table2[NewPointsHome],Table2[GameDate], "&lt;=" &amp; $A100, Table2[HomeTeam], AB$1)</f>
        <v>2</v>
      </c>
      <c r="AC100" s="145">
        <f>SUMIFS(Table2[NewPointsAway],Table2[GameDate], "&lt;=" &amp; $A100, Table2[AwayTeam], AC$1)+SUMIFS(Table2[NewPointsHome],Table2[GameDate], "&lt;=" &amp; $A100, Table2[HomeTeam], AC$1)</f>
        <v>2</v>
      </c>
      <c r="AD100" s="145">
        <f>SUMIFS(Table2[NewPointsAway],Table2[GameDate], "&lt;=" &amp; $A100, Table2[AwayTeam], AD$1)+SUMIFS(Table2[NewPointsHome],Table2[GameDate], "&lt;=" &amp; $A100, Table2[HomeTeam], AD$1)</f>
        <v>2</v>
      </c>
      <c r="AE100" s="145">
        <f>SUMIFS(Table2[NewPointsAway],Table2[GameDate], "&lt;=" &amp; $A100, Table2[AwayTeam], AE$1)+SUMIFS(Table2[NewPointsHome],Table2[GameDate], "&lt;=" &amp; $A100, Table2[HomeTeam], AE$1)</f>
        <v>4</v>
      </c>
      <c r="AF100" s="145">
        <f>SUMIFS(Table2[NewPointsAway],Table2[GameDate], "&lt;=" &amp; $A100, Table2[AwayTeam], AF$1)+SUMIFS(Table2[NewPointsHome],Table2[GameDate], "&lt;=" &amp; $A100, Table2[HomeTeam], AF$1)</f>
        <v>4</v>
      </c>
      <c r="AG100" s="145">
        <f>SUMIFS(Table2[NewPointsAway],Table2[GameDate], "&lt;=" &amp; $A100, Table2[AwayTeam], AG$1)+SUMIFS(Table2[NewPointsHome],Table2[GameDate], "&lt;=" &amp; $A100, Table2[HomeTeam], AG$1)</f>
        <v>4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2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0</v>
      </c>
      <c r="E101" s="145">
        <f>SUMIFS(Table2[NewPointsAway],Table2[GameDate], "&lt;=" &amp; $A101, Table2[AwayTeam], E$1)+SUMIFS(Table2[NewPointsHome],Table2[GameDate], "&lt;=" &amp; $A101, Table2[HomeTeam], E$1)</f>
        <v>4</v>
      </c>
      <c r="F101" s="145">
        <f>SUMIFS(Table2[NewPointsAway],Table2[GameDate], "&lt;=" &amp; $A101, Table2[AwayTeam], F$1)+SUMIFS(Table2[NewPointsHome],Table2[GameDate], "&lt;=" &amp; $A101, Table2[HomeTeam], F$1)</f>
        <v>2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3</v>
      </c>
      <c r="I101" s="145">
        <f>SUMIFS(Table2[NewPointsAway],Table2[GameDate], "&lt;=" &amp; $A101, Table2[AwayTeam], I$1)+SUMIFS(Table2[NewPointsHome],Table2[GameDate], "&lt;=" &amp; $A101, Table2[HomeTeam], I$1)</f>
        <v>7</v>
      </c>
      <c r="J101" s="145">
        <f>SUMIFS(Table2[NewPointsAway],Table2[GameDate], "&lt;=" &amp; $A101, Table2[AwayTeam], J$1)+SUMIFS(Table2[NewPointsHome],Table2[GameDate], "&lt;=" &amp; $A101, Table2[HomeTeam], J$1)</f>
        <v>4</v>
      </c>
      <c r="K101" s="145">
        <f>SUMIFS(Table2[NewPointsAway],Table2[GameDate], "&lt;=" &amp; $A101, Table2[AwayTeam], K$1)+SUMIFS(Table2[NewPointsHome],Table2[GameDate], "&lt;=" &amp; $A101, Table2[HomeTeam], K$1)</f>
        <v>4</v>
      </c>
      <c r="L101" s="145">
        <f>SUMIFS(Table2[NewPointsAway],Table2[GameDate], "&lt;=" &amp; $A101, Table2[AwayTeam], L$1)+SUMIFS(Table2[NewPointsHome],Table2[GameDate], "&lt;=" &amp; $A101, Table2[HomeTeam], L$1)</f>
        <v>3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3</v>
      </c>
      <c r="O101" s="145">
        <f>SUMIFS(Table2[NewPointsAway],Table2[GameDate], "&lt;=" &amp; $A101, Table2[AwayTeam], O$1)+SUMIFS(Table2[NewPointsHome],Table2[GameDate], "&lt;=" &amp; $A101, Table2[HomeTeam], O$1)</f>
        <v>4</v>
      </c>
      <c r="P101" s="145">
        <f>SUMIFS(Table2[NewPointsAway],Table2[GameDate], "&lt;=" &amp; $A101, Table2[AwayTeam], P$1)+SUMIFS(Table2[NewPointsHome],Table2[GameDate], "&lt;=" &amp; $A101, Table2[HomeTeam], P$1)</f>
        <v>4</v>
      </c>
      <c r="Q101" s="145">
        <f>SUMIFS(Table2[NewPointsAway],Table2[GameDate], "&lt;=" &amp; $A101, Table2[AwayTeam], Q$1)+SUMIFS(Table2[NewPointsHome],Table2[GameDate], "&lt;=" &amp; $A101, Table2[HomeTeam], Q$1)</f>
        <v>4</v>
      </c>
      <c r="R101" s="145">
        <f>SUMIFS(Table2[NewPointsAway],Table2[GameDate], "&lt;=" &amp; $A101, Table2[AwayTeam], R$1)+SUMIFS(Table2[NewPointsHome],Table2[GameDate], "&lt;=" &amp; $A101, Table2[HomeTeam], R$1)</f>
        <v>5</v>
      </c>
      <c r="S101" s="145">
        <f>SUMIFS(Table2[NewPointsAway],Table2[GameDate], "&lt;=" &amp; $A101, Table2[AwayTeam], S$1)+SUMIFS(Table2[NewPointsHome],Table2[GameDate], "&lt;=" &amp; $A101, Table2[HomeTeam], S$1)</f>
        <v>0</v>
      </c>
      <c r="T101" s="145">
        <f>SUMIFS(Table2[NewPointsAway],Table2[GameDate], "&lt;=" &amp; $A101, Table2[AwayTeam], T$1)+SUMIFS(Table2[NewPointsHome],Table2[GameDate], "&lt;=" &amp; $A101, Table2[HomeTeam], T$1)</f>
        <v>4</v>
      </c>
      <c r="U101" s="145">
        <f>SUMIFS(Table2[NewPointsAway],Table2[GameDate], "&lt;=" &amp; $A101, Table2[AwayTeam], U$1)+SUMIFS(Table2[NewPointsHome],Table2[GameDate], "&lt;=" &amp; $A101, Table2[HomeTeam], U$1)</f>
        <v>2</v>
      </c>
      <c r="V101" s="145">
        <f>SUMIFS(Table2[NewPointsAway],Table2[GameDate], "&lt;=" &amp; $A101, Table2[AwayTeam], V$1)+SUMIFS(Table2[NewPointsHome],Table2[GameDate], "&lt;=" &amp; $A101, Table2[HomeTeam], V$1)</f>
        <v>3</v>
      </c>
      <c r="W101" s="145">
        <f>SUMIFS(Table2[NewPointsAway],Table2[GameDate], "&lt;=" &amp; $A101, Table2[AwayTeam], W$1)+SUMIFS(Table2[NewPointsHome],Table2[GameDate], "&lt;=" &amp; $A101, Table2[HomeTeam], W$1)</f>
        <v>4</v>
      </c>
      <c r="X101" s="145">
        <f>SUMIFS(Table2[NewPointsAway],Table2[GameDate], "&lt;=" &amp; $A101, Table2[AwayTeam], X$1)+SUMIFS(Table2[NewPointsHome],Table2[GameDate], "&lt;=" &amp; $A101, Table2[HomeTeam], X$1)</f>
        <v>4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4</v>
      </c>
      <c r="AA101" s="145">
        <f>SUMIFS(Table2[NewPointsAway],Table2[GameDate], "&lt;=" &amp; $A101, Table2[AwayTeam], AA$1)+SUMIFS(Table2[NewPointsHome],Table2[GameDate], "&lt;=" &amp; $A101, Table2[HomeTeam], AA$1)</f>
        <v>2</v>
      </c>
      <c r="AB101" s="145">
        <f>SUMIFS(Table2[NewPointsAway],Table2[GameDate], "&lt;=" &amp; $A101, Table2[AwayTeam], AB$1)+SUMIFS(Table2[NewPointsHome],Table2[GameDate], "&lt;=" &amp; $A101, Table2[HomeTeam], AB$1)</f>
        <v>2</v>
      </c>
      <c r="AC101" s="145">
        <f>SUMIFS(Table2[NewPointsAway],Table2[GameDate], "&lt;=" &amp; $A101, Table2[AwayTeam], AC$1)+SUMIFS(Table2[NewPointsHome],Table2[GameDate], "&lt;=" &amp; $A101, Table2[HomeTeam], AC$1)</f>
        <v>2</v>
      </c>
      <c r="AD101" s="145">
        <f>SUMIFS(Table2[NewPointsAway],Table2[GameDate], "&lt;=" &amp; $A101, Table2[AwayTeam], AD$1)+SUMIFS(Table2[NewPointsHome],Table2[GameDate], "&lt;=" &amp; $A101, Table2[HomeTeam], AD$1)</f>
        <v>2</v>
      </c>
      <c r="AE101" s="145">
        <f>SUMIFS(Table2[NewPointsAway],Table2[GameDate], "&lt;=" &amp; $A101, Table2[AwayTeam], AE$1)+SUMIFS(Table2[NewPointsHome],Table2[GameDate], "&lt;=" &amp; $A101, Table2[HomeTeam], AE$1)</f>
        <v>4</v>
      </c>
      <c r="AF101" s="145">
        <f>SUMIFS(Table2[NewPointsAway],Table2[GameDate], "&lt;=" &amp; $A101, Table2[AwayTeam], AF$1)+SUMIFS(Table2[NewPointsHome],Table2[GameDate], "&lt;=" &amp; $A101, Table2[HomeTeam], AF$1)</f>
        <v>4</v>
      </c>
      <c r="AG101" s="145">
        <f>SUMIFS(Table2[NewPointsAway],Table2[GameDate], "&lt;=" &amp; $A101, Table2[AwayTeam], AG$1)+SUMIFS(Table2[NewPointsHome],Table2[GameDate], "&lt;=" &amp; $A101, Table2[HomeTeam], AG$1)</f>
        <v>4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2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0</v>
      </c>
      <c r="E102" s="145">
        <f>SUMIFS(Table2[NewPointsAway],Table2[GameDate], "&lt;=" &amp; $A102, Table2[AwayTeam], E$1)+SUMIFS(Table2[NewPointsHome],Table2[GameDate], "&lt;=" &amp; $A102, Table2[HomeTeam], E$1)</f>
        <v>4</v>
      </c>
      <c r="F102" s="145">
        <f>SUMIFS(Table2[NewPointsAway],Table2[GameDate], "&lt;=" &amp; $A102, Table2[AwayTeam], F$1)+SUMIFS(Table2[NewPointsHome],Table2[GameDate], "&lt;=" &amp; $A102, Table2[HomeTeam], F$1)</f>
        <v>2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3</v>
      </c>
      <c r="I102" s="145">
        <f>SUMIFS(Table2[NewPointsAway],Table2[GameDate], "&lt;=" &amp; $A102, Table2[AwayTeam], I$1)+SUMIFS(Table2[NewPointsHome],Table2[GameDate], "&lt;=" &amp; $A102, Table2[HomeTeam], I$1)</f>
        <v>7</v>
      </c>
      <c r="J102" s="145">
        <f>SUMIFS(Table2[NewPointsAway],Table2[GameDate], "&lt;=" &amp; $A102, Table2[AwayTeam], J$1)+SUMIFS(Table2[NewPointsHome],Table2[GameDate], "&lt;=" &amp; $A102, Table2[HomeTeam], J$1)</f>
        <v>4</v>
      </c>
      <c r="K102" s="145">
        <f>SUMIFS(Table2[NewPointsAway],Table2[GameDate], "&lt;=" &amp; $A102, Table2[AwayTeam], K$1)+SUMIFS(Table2[NewPointsHome],Table2[GameDate], "&lt;=" &amp; $A102, Table2[HomeTeam], K$1)</f>
        <v>4</v>
      </c>
      <c r="L102" s="145">
        <f>SUMIFS(Table2[NewPointsAway],Table2[GameDate], "&lt;=" &amp; $A102, Table2[AwayTeam], L$1)+SUMIFS(Table2[NewPointsHome],Table2[GameDate], "&lt;=" &amp; $A102, Table2[HomeTeam], L$1)</f>
        <v>3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3</v>
      </c>
      <c r="O102" s="145">
        <f>SUMIFS(Table2[NewPointsAway],Table2[GameDate], "&lt;=" &amp; $A102, Table2[AwayTeam], O$1)+SUMIFS(Table2[NewPointsHome],Table2[GameDate], "&lt;=" &amp; $A102, Table2[HomeTeam], O$1)</f>
        <v>4</v>
      </c>
      <c r="P102" s="145">
        <f>SUMIFS(Table2[NewPointsAway],Table2[GameDate], "&lt;=" &amp; $A102, Table2[AwayTeam], P$1)+SUMIFS(Table2[NewPointsHome],Table2[GameDate], "&lt;=" &amp; $A102, Table2[HomeTeam], P$1)</f>
        <v>4</v>
      </c>
      <c r="Q102" s="145">
        <f>SUMIFS(Table2[NewPointsAway],Table2[GameDate], "&lt;=" &amp; $A102, Table2[AwayTeam], Q$1)+SUMIFS(Table2[NewPointsHome],Table2[GameDate], "&lt;=" &amp; $A102, Table2[HomeTeam], Q$1)</f>
        <v>4</v>
      </c>
      <c r="R102" s="145">
        <f>SUMIFS(Table2[NewPointsAway],Table2[GameDate], "&lt;=" &amp; $A102, Table2[AwayTeam], R$1)+SUMIFS(Table2[NewPointsHome],Table2[GameDate], "&lt;=" &amp; $A102, Table2[HomeTeam], R$1)</f>
        <v>5</v>
      </c>
      <c r="S102" s="145">
        <f>SUMIFS(Table2[NewPointsAway],Table2[GameDate], "&lt;=" &amp; $A102, Table2[AwayTeam], S$1)+SUMIFS(Table2[NewPointsHome],Table2[GameDate], "&lt;=" &amp; $A102, Table2[HomeTeam], S$1)</f>
        <v>0</v>
      </c>
      <c r="T102" s="145">
        <f>SUMIFS(Table2[NewPointsAway],Table2[GameDate], "&lt;=" &amp; $A102, Table2[AwayTeam], T$1)+SUMIFS(Table2[NewPointsHome],Table2[GameDate], "&lt;=" &amp; $A102, Table2[HomeTeam], T$1)</f>
        <v>4</v>
      </c>
      <c r="U102" s="145">
        <f>SUMIFS(Table2[NewPointsAway],Table2[GameDate], "&lt;=" &amp; $A102, Table2[AwayTeam], U$1)+SUMIFS(Table2[NewPointsHome],Table2[GameDate], "&lt;=" &amp; $A102, Table2[HomeTeam], U$1)</f>
        <v>2</v>
      </c>
      <c r="V102" s="145">
        <f>SUMIFS(Table2[NewPointsAway],Table2[GameDate], "&lt;=" &amp; $A102, Table2[AwayTeam], V$1)+SUMIFS(Table2[NewPointsHome],Table2[GameDate], "&lt;=" &amp; $A102, Table2[HomeTeam], V$1)</f>
        <v>3</v>
      </c>
      <c r="W102" s="145">
        <f>SUMIFS(Table2[NewPointsAway],Table2[GameDate], "&lt;=" &amp; $A102, Table2[AwayTeam], W$1)+SUMIFS(Table2[NewPointsHome],Table2[GameDate], "&lt;=" &amp; $A102, Table2[HomeTeam], W$1)</f>
        <v>4</v>
      </c>
      <c r="X102" s="145">
        <f>SUMIFS(Table2[NewPointsAway],Table2[GameDate], "&lt;=" &amp; $A102, Table2[AwayTeam], X$1)+SUMIFS(Table2[NewPointsHome],Table2[GameDate], "&lt;=" &amp; $A102, Table2[HomeTeam], X$1)</f>
        <v>4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4</v>
      </c>
      <c r="AA102" s="145">
        <f>SUMIFS(Table2[NewPointsAway],Table2[GameDate], "&lt;=" &amp; $A102, Table2[AwayTeam], AA$1)+SUMIFS(Table2[NewPointsHome],Table2[GameDate], "&lt;=" &amp; $A102, Table2[HomeTeam], AA$1)</f>
        <v>2</v>
      </c>
      <c r="AB102" s="145">
        <f>SUMIFS(Table2[NewPointsAway],Table2[GameDate], "&lt;=" &amp; $A102, Table2[AwayTeam], AB$1)+SUMIFS(Table2[NewPointsHome],Table2[GameDate], "&lt;=" &amp; $A102, Table2[HomeTeam], AB$1)</f>
        <v>2</v>
      </c>
      <c r="AC102" s="145">
        <f>SUMIFS(Table2[NewPointsAway],Table2[GameDate], "&lt;=" &amp; $A102, Table2[AwayTeam], AC$1)+SUMIFS(Table2[NewPointsHome],Table2[GameDate], "&lt;=" &amp; $A102, Table2[HomeTeam], AC$1)</f>
        <v>2</v>
      </c>
      <c r="AD102" s="145">
        <f>SUMIFS(Table2[NewPointsAway],Table2[GameDate], "&lt;=" &amp; $A102, Table2[AwayTeam], AD$1)+SUMIFS(Table2[NewPointsHome],Table2[GameDate], "&lt;=" &amp; $A102, Table2[HomeTeam], AD$1)</f>
        <v>2</v>
      </c>
      <c r="AE102" s="145">
        <f>SUMIFS(Table2[NewPointsAway],Table2[GameDate], "&lt;=" &amp; $A102, Table2[AwayTeam], AE$1)+SUMIFS(Table2[NewPointsHome],Table2[GameDate], "&lt;=" &amp; $A102, Table2[HomeTeam], AE$1)</f>
        <v>4</v>
      </c>
      <c r="AF102" s="145">
        <f>SUMIFS(Table2[NewPointsAway],Table2[GameDate], "&lt;=" &amp; $A102, Table2[AwayTeam], AF$1)+SUMIFS(Table2[NewPointsHome],Table2[GameDate], "&lt;=" &amp; $A102, Table2[HomeTeam], AF$1)</f>
        <v>4</v>
      </c>
      <c r="AG102" s="145">
        <f>SUMIFS(Table2[NewPointsAway],Table2[GameDate], "&lt;=" &amp; $A102, Table2[AwayTeam], AG$1)+SUMIFS(Table2[NewPointsHome],Table2[GameDate], "&lt;=" &amp; $A102, Table2[HomeTeam], AG$1)</f>
        <v>4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2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0</v>
      </c>
      <c r="E103" s="145">
        <f>SUMIFS(Table2[NewPointsAway],Table2[GameDate], "&lt;=" &amp; $A103, Table2[AwayTeam], E$1)+SUMIFS(Table2[NewPointsHome],Table2[GameDate], "&lt;=" &amp; $A103, Table2[HomeTeam], E$1)</f>
        <v>4</v>
      </c>
      <c r="F103" s="145">
        <f>SUMIFS(Table2[NewPointsAway],Table2[GameDate], "&lt;=" &amp; $A103, Table2[AwayTeam], F$1)+SUMIFS(Table2[NewPointsHome],Table2[GameDate], "&lt;=" &amp; $A103, Table2[HomeTeam], F$1)</f>
        <v>2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3</v>
      </c>
      <c r="I103" s="145">
        <f>SUMIFS(Table2[NewPointsAway],Table2[GameDate], "&lt;=" &amp; $A103, Table2[AwayTeam], I$1)+SUMIFS(Table2[NewPointsHome],Table2[GameDate], "&lt;=" &amp; $A103, Table2[HomeTeam], I$1)</f>
        <v>7</v>
      </c>
      <c r="J103" s="145">
        <f>SUMIFS(Table2[NewPointsAway],Table2[GameDate], "&lt;=" &amp; $A103, Table2[AwayTeam], J$1)+SUMIFS(Table2[NewPointsHome],Table2[GameDate], "&lt;=" &amp; $A103, Table2[HomeTeam], J$1)</f>
        <v>4</v>
      </c>
      <c r="K103" s="145">
        <f>SUMIFS(Table2[NewPointsAway],Table2[GameDate], "&lt;=" &amp; $A103, Table2[AwayTeam], K$1)+SUMIFS(Table2[NewPointsHome],Table2[GameDate], "&lt;=" &amp; $A103, Table2[HomeTeam], K$1)</f>
        <v>4</v>
      </c>
      <c r="L103" s="145">
        <f>SUMIFS(Table2[NewPointsAway],Table2[GameDate], "&lt;=" &amp; $A103, Table2[AwayTeam], L$1)+SUMIFS(Table2[NewPointsHome],Table2[GameDate], "&lt;=" &amp; $A103, Table2[HomeTeam], L$1)</f>
        <v>3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3</v>
      </c>
      <c r="O103" s="145">
        <f>SUMIFS(Table2[NewPointsAway],Table2[GameDate], "&lt;=" &amp; $A103, Table2[AwayTeam], O$1)+SUMIFS(Table2[NewPointsHome],Table2[GameDate], "&lt;=" &amp; $A103, Table2[HomeTeam], O$1)</f>
        <v>4</v>
      </c>
      <c r="P103" s="145">
        <f>SUMIFS(Table2[NewPointsAway],Table2[GameDate], "&lt;=" &amp; $A103, Table2[AwayTeam], P$1)+SUMIFS(Table2[NewPointsHome],Table2[GameDate], "&lt;=" &amp; $A103, Table2[HomeTeam], P$1)</f>
        <v>4</v>
      </c>
      <c r="Q103" s="145">
        <f>SUMIFS(Table2[NewPointsAway],Table2[GameDate], "&lt;=" &amp; $A103, Table2[AwayTeam], Q$1)+SUMIFS(Table2[NewPointsHome],Table2[GameDate], "&lt;=" &amp; $A103, Table2[HomeTeam], Q$1)</f>
        <v>4</v>
      </c>
      <c r="R103" s="145">
        <f>SUMIFS(Table2[NewPointsAway],Table2[GameDate], "&lt;=" &amp; $A103, Table2[AwayTeam], R$1)+SUMIFS(Table2[NewPointsHome],Table2[GameDate], "&lt;=" &amp; $A103, Table2[HomeTeam], R$1)</f>
        <v>5</v>
      </c>
      <c r="S103" s="145">
        <f>SUMIFS(Table2[NewPointsAway],Table2[GameDate], "&lt;=" &amp; $A103, Table2[AwayTeam], S$1)+SUMIFS(Table2[NewPointsHome],Table2[GameDate], "&lt;=" &amp; $A103, Table2[HomeTeam], S$1)</f>
        <v>0</v>
      </c>
      <c r="T103" s="145">
        <f>SUMIFS(Table2[NewPointsAway],Table2[GameDate], "&lt;=" &amp; $A103, Table2[AwayTeam], T$1)+SUMIFS(Table2[NewPointsHome],Table2[GameDate], "&lt;=" &amp; $A103, Table2[HomeTeam], T$1)</f>
        <v>4</v>
      </c>
      <c r="U103" s="145">
        <f>SUMIFS(Table2[NewPointsAway],Table2[GameDate], "&lt;=" &amp; $A103, Table2[AwayTeam], U$1)+SUMIFS(Table2[NewPointsHome],Table2[GameDate], "&lt;=" &amp; $A103, Table2[HomeTeam], U$1)</f>
        <v>2</v>
      </c>
      <c r="V103" s="145">
        <f>SUMIFS(Table2[NewPointsAway],Table2[GameDate], "&lt;=" &amp; $A103, Table2[AwayTeam], V$1)+SUMIFS(Table2[NewPointsHome],Table2[GameDate], "&lt;=" &amp; $A103, Table2[HomeTeam], V$1)</f>
        <v>3</v>
      </c>
      <c r="W103" s="145">
        <f>SUMIFS(Table2[NewPointsAway],Table2[GameDate], "&lt;=" &amp; $A103, Table2[AwayTeam], W$1)+SUMIFS(Table2[NewPointsHome],Table2[GameDate], "&lt;=" &amp; $A103, Table2[HomeTeam], W$1)</f>
        <v>4</v>
      </c>
      <c r="X103" s="145">
        <f>SUMIFS(Table2[NewPointsAway],Table2[GameDate], "&lt;=" &amp; $A103, Table2[AwayTeam], X$1)+SUMIFS(Table2[NewPointsHome],Table2[GameDate], "&lt;=" &amp; $A103, Table2[HomeTeam], X$1)</f>
        <v>4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4</v>
      </c>
      <c r="AA103" s="145">
        <f>SUMIFS(Table2[NewPointsAway],Table2[GameDate], "&lt;=" &amp; $A103, Table2[AwayTeam], AA$1)+SUMIFS(Table2[NewPointsHome],Table2[GameDate], "&lt;=" &amp; $A103, Table2[HomeTeam], AA$1)</f>
        <v>2</v>
      </c>
      <c r="AB103" s="145">
        <f>SUMIFS(Table2[NewPointsAway],Table2[GameDate], "&lt;=" &amp; $A103, Table2[AwayTeam], AB$1)+SUMIFS(Table2[NewPointsHome],Table2[GameDate], "&lt;=" &amp; $A103, Table2[HomeTeam], AB$1)</f>
        <v>2</v>
      </c>
      <c r="AC103" s="145">
        <f>SUMIFS(Table2[NewPointsAway],Table2[GameDate], "&lt;=" &amp; $A103, Table2[AwayTeam], AC$1)+SUMIFS(Table2[NewPointsHome],Table2[GameDate], "&lt;=" &amp; $A103, Table2[HomeTeam], AC$1)</f>
        <v>2</v>
      </c>
      <c r="AD103" s="145">
        <f>SUMIFS(Table2[NewPointsAway],Table2[GameDate], "&lt;=" &amp; $A103, Table2[AwayTeam], AD$1)+SUMIFS(Table2[NewPointsHome],Table2[GameDate], "&lt;=" &amp; $A103, Table2[HomeTeam], AD$1)</f>
        <v>2</v>
      </c>
      <c r="AE103" s="145">
        <f>SUMIFS(Table2[NewPointsAway],Table2[GameDate], "&lt;=" &amp; $A103, Table2[AwayTeam], AE$1)+SUMIFS(Table2[NewPointsHome],Table2[GameDate], "&lt;=" &amp; $A103, Table2[HomeTeam], AE$1)</f>
        <v>4</v>
      </c>
      <c r="AF103" s="145">
        <f>SUMIFS(Table2[NewPointsAway],Table2[GameDate], "&lt;=" &amp; $A103, Table2[AwayTeam], AF$1)+SUMIFS(Table2[NewPointsHome],Table2[GameDate], "&lt;=" &amp; $A103, Table2[HomeTeam], AF$1)</f>
        <v>4</v>
      </c>
      <c r="AG103" s="145">
        <f>SUMIFS(Table2[NewPointsAway],Table2[GameDate], "&lt;=" &amp; $A103, Table2[AwayTeam], AG$1)+SUMIFS(Table2[NewPointsHome],Table2[GameDate], "&lt;=" &amp; $A103, Table2[HomeTeam], AG$1)</f>
        <v>4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2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0</v>
      </c>
      <c r="E104" s="145">
        <f>SUMIFS(Table2[NewPointsAway],Table2[GameDate], "&lt;=" &amp; $A104, Table2[AwayTeam], E$1)+SUMIFS(Table2[NewPointsHome],Table2[GameDate], "&lt;=" &amp; $A104, Table2[HomeTeam], E$1)</f>
        <v>4</v>
      </c>
      <c r="F104" s="145">
        <f>SUMIFS(Table2[NewPointsAway],Table2[GameDate], "&lt;=" &amp; $A104, Table2[AwayTeam], F$1)+SUMIFS(Table2[NewPointsHome],Table2[GameDate], "&lt;=" &amp; $A104, Table2[HomeTeam], F$1)</f>
        <v>2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3</v>
      </c>
      <c r="I104" s="145">
        <f>SUMIFS(Table2[NewPointsAway],Table2[GameDate], "&lt;=" &amp; $A104, Table2[AwayTeam], I$1)+SUMIFS(Table2[NewPointsHome],Table2[GameDate], "&lt;=" &amp; $A104, Table2[HomeTeam], I$1)</f>
        <v>7</v>
      </c>
      <c r="J104" s="145">
        <f>SUMIFS(Table2[NewPointsAway],Table2[GameDate], "&lt;=" &amp; $A104, Table2[AwayTeam], J$1)+SUMIFS(Table2[NewPointsHome],Table2[GameDate], "&lt;=" &amp; $A104, Table2[HomeTeam], J$1)</f>
        <v>4</v>
      </c>
      <c r="K104" s="145">
        <f>SUMIFS(Table2[NewPointsAway],Table2[GameDate], "&lt;=" &amp; $A104, Table2[AwayTeam], K$1)+SUMIFS(Table2[NewPointsHome],Table2[GameDate], "&lt;=" &amp; $A104, Table2[HomeTeam], K$1)</f>
        <v>4</v>
      </c>
      <c r="L104" s="145">
        <f>SUMIFS(Table2[NewPointsAway],Table2[GameDate], "&lt;=" &amp; $A104, Table2[AwayTeam], L$1)+SUMIFS(Table2[NewPointsHome],Table2[GameDate], "&lt;=" &amp; $A104, Table2[HomeTeam], L$1)</f>
        <v>3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3</v>
      </c>
      <c r="O104" s="145">
        <f>SUMIFS(Table2[NewPointsAway],Table2[GameDate], "&lt;=" &amp; $A104, Table2[AwayTeam], O$1)+SUMIFS(Table2[NewPointsHome],Table2[GameDate], "&lt;=" &amp; $A104, Table2[HomeTeam], O$1)</f>
        <v>4</v>
      </c>
      <c r="P104" s="145">
        <f>SUMIFS(Table2[NewPointsAway],Table2[GameDate], "&lt;=" &amp; $A104, Table2[AwayTeam], P$1)+SUMIFS(Table2[NewPointsHome],Table2[GameDate], "&lt;=" &amp; $A104, Table2[HomeTeam], P$1)</f>
        <v>4</v>
      </c>
      <c r="Q104" s="145">
        <f>SUMIFS(Table2[NewPointsAway],Table2[GameDate], "&lt;=" &amp; $A104, Table2[AwayTeam], Q$1)+SUMIFS(Table2[NewPointsHome],Table2[GameDate], "&lt;=" &amp; $A104, Table2[HomeTeam], Q$1)</f>
        <v>4</v>
      </c>
      <c r="R104" s="145">
        <f>SUMIFS(Table2[NewPointsAway],Table2[GameDate], "&lt;=" &amp; $A104, Table2[AwayTeam], R$1)+SUMIFS(Table2[NewPointsHome],Table2[GameDate], "&lt;=" &amp; $A104, Table2[HomeTeam], R$1)</f>
        <v>5</v>
      </c>
      <c r="S104" s="145">
        <f>SUMIFS(Table2[NewPointsAway],Table2[GameDate], "&lt;=" &amp; $A104, Table2[AwayTeam], S$1)+SUMIFS(Table2[NewPointsHome],Table2[GameDate], "&lt;=" &amp; $A104, Table2[HomeTeam], S$1)</f>
        <v>0</v>
      </c>
      <c r="T104" s="145">
        <f>SUMIFS(Table2[NewPointsAway],Table2[GameDate], "&lt;=" &amp; $A104, Table2[AwayTeam], T$1)+SUMIFS(Table2[NewPointsHome],Table2[GameDate], "&lt;=" &amp; $A104, Table2[HomeTeam], T$1)</f>
        <v>4</v>
      </c>
      <c r="U104" s="145">
        <f>SUMIFS(Table2[NewPointsAway],Table2[GameDate], "&lt;=" &amp; $A104, Table2[AwayTeam], U$1)+SUMIFS(Table2[NewPointsHome],Table2[GameDate], "&lt;=" &amp; $A104, Table2[HomeTeam], U$1)</f>
        <v>2</v>
      </c>
      <c r="V104" s="145">
        <f>SUMIFS(Table2[NewPointsAway],Table2[GameDate], "&lt;=" &amp; $A104, Table2[AwayTeam], V$1)+SUMIFS(Table2[NewPointsHome],Table2[GameDate], "&lt;=" &amp; $A104, Table2[HomeTeam], V$1)</f>
        <v>3</v>
      </c>
      <c r="W104" s="145">
        <f>SUMIFS(Table2[NewPointsAway],Table2[GameDate], "&lt;=" &amp; $A104, Table2[AwayTeam], W$1)+SUMIFS(Table2[NewPointsHome],Table2[GameDate], "&lt;=" &amp; $A104, Table2[HomeTeam], W$1)</f>
        <v>4</v>
      </c>
      <c r="X104" s="145">
        <f>SUMIFS(Table2[NewPointsAway],Table2[GameDate], "&lt;=" &amp; $A104, Table2[AwayTeam], X$1)+SUMIFS(Table2[NewPointsHome],Table2[GameDate], "&lt;=" &amp; $A104, Table2[HomeTeam], X$1)</f>
        <v>4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4</v>
      </c>
      <c r="AA104" s="145">
        <f>SUMIFS(Table2[NewPointsAway],Table2[GameDate], "&lt;=" &amp; $A104, Table2[AwayTeam], AA$1)+SUMIFS(Table2[NewPointsHome],Table2[GameDate], "&lt;=" &amp; $A104, Table2[HomeTeam], AA$1)</f>
        <v>2</v>
      </c>
      <c r="AB104" s="145">
        <f>SUMIFS(Table2[NewPointsAway],Table2[GameDate], "&lt;=" &amp; $A104, Table2[AwayTeam], AB$1)+SUMIFS(Table2[NewPointsHome],Table2[GameDate], "&lt;=" &amp; $A104, Table2[HomeTeam], AB$1)</f>
        <v>2</v>
      </c>
      <c r="AC104" s="145">
        <f>SUMIFS(Table2[NewPointsAway],Table2[GameDate], "&lt;=" &amp; $A104, Table2[AwayTeam], AC$1)+SUMIFS(Table2[NewPointsHome],Table2[GameDate], "&lt;=" &amp; $A104, Table2[HomeTeam], AC$1)</f>
        <v>2</v>
      </c>
      <c r="AD104" s="145">
        <f>SUMIFS(Table2[NewPointsAway],Table2[GameDate], "&lt;=" &amp; $A104, Table2[AwayTeam], AD$1)+SUMIFS(Table2[NewPointsHome],Table2[GameDate], "&lt;=" &amp; $A104, Table2[HomeTeam], AD$1)</f>
        <v>2</v>
      </c>
      <c r="AE104" s="145">
        <f>SUMIFS(Table2[NewPointsAway],Table2[GameDate], "&lt;=" &amp; $A104, Table2[AwayTeam], AE$1)+SUMIFS(Table2[NewPointsHome],Table2[GameDate], "&lt;=" &amp; $A104, Table2[HomeTeam], AE$1)</f>
        <v>4</v>
      </c>
      <c r="AF104" s="145">
        <f>SUMIFS(Table2[NewPointsAway],Table2[GameDate], "&lt;=" &amp; $A104, Table2[AwayTeam], AF$1)+SUMIFS(Table2[NewPointsHome],Table2[GameDate], "&lt;=" &amp; $A104, Table2[HomeTeam], AF$1)</f>
        <v>4</v>
      </c>
      <c r="AG104" s="145">
        <f>SUMIFS(Table2[NewPointsAway],Table2[GameDate], "&lt;=" &amp; $A104, Table2[AwayTeam], AG$1)+SUMIFS(Table2[NewPointsHome],Table2[GameDate], "&lt;=" &amp; $A104, Table2[HomeTeam], AG$1)</f>
        <v>4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2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0</v>
      </c>
      <c r="E105" s="145">
        <f>SUMIFS(Table2[NewPointsAway],Table2[GameDate], "&lt;=" &amp; $A105, Table2[AwayTeam], E$1)+SUMIFS(Table2[NewPointsHome],Table2[GameDate], "&lt;=" &amp; $A105, Table2[HomeTeam], E$1)</f>
        <v>4</v>
      </c>
      <c r="F105" s="145">
        <f>SUMIFS(Table2[NewPointsAway],Table2[GameDate], "&lt;=" &amp; $A105, Table2[AwayTeam], F$1)+SUMIFS(Table2[NewPointsHome],Table2[GameDate], "&lt;=" &amp; $A105, Table2[HomeTeam], F$1)</f>
        <v>2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3</v>
      </c>
      <c r="I105" s="145">
        <f>SUMIFS(Table2[NewPointsAway],Table2[GameDate], "&lt;=" &amp; $A105, Table2[AwayTeam], I$1)+SUMIFS(Table2[NewPointsHome],Table2[GameDate], "&lt;=" &amp; $A105, Table2[HomeTeam], I$1)</f>
        <v>7</v>
      </c>
      <c r="J105" s="145">
        <f>SUMIFS(Table2[NewPointsAway],Table2[GameDate], "&lt;=" &amp; $A105, Table2[AwayTeam], J$1)+SUMIFS(Table2[NewPointsHome],Table2[GameDate], "&lt;=" &amp; $A105, Table2[HomeTeam], J$1)</f>
        <v>4</v>
      </c>
      <c r="K105" s="145">
        <f>SUMIFS(Table2[NewPointsAway],Table2[GameDate], "&lt;=" &amp; $A105, Table2[AwayTeam], K$1)+SUMIFS(Table2[NewPointsHome],Table2[GameDate], "&lt;=" &amp; $A105, Table2[HomeTeam], K$1)</f>
        <v>4</v>
      </c>
      <c r="L105" s="145">
        <f>SUMIFS(Table2[NewPointsAway],Table2[GameDate], "&lt;=" &amp; $A105, Table2[AwayTeam], L$1)+SUMIFS(Table2[NewPointsHome],Table2[GameDate], "&lt;=" &amp; $A105, Table2[HomeTeam], L$1)</f>
        <v>3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3</v>
      </c>
      <c r="O105" s="145">
        <f>SUMIFS(Table2[NewPointsAway],Table2[GameDate], "&lt;=" &amp; $A105, Table2[AwayTeam], O$1)+SUMIFS(Table2[NewPointsHome],Table2[GameDate], "&lt;=" &amp; $A105, Table2[HomeTeam], O$1)</f>
        <v>4</v>
      </c>
      <c r="P105" s="145">
        <f>SUMIFS(Table2[NewPointsAway],Table2[GameDate], "&lt;=" &amp; $A105, Table2[AwayTeam], P$1)+SUMIFS(Table2[NewPointsHome],Table2[GameDate], "&lt;=" &amp; $A105, Table2[HomeTeam], P$1)</f>
        <v>4</v>
      </c>
      <c r="Q105" s="145">
        <f>SUMIFS(Table2[NewPointsAway],Table2[GameDate], "&lt;=" &amp; $A105, Table2[AwayTeam], Q$1)+SUMIFS(Table2[NewPointsHome],Table2[GameDate], "&lt;=" &amp; $A105, Table2[HomeTeam], Q$1)</f>
        <v>4</v>
      </c>
      <c r="R105" s="145">
        <f>SUMIFS(Table2[NewPointsAway],Table2[GameDate], "&lt;=" &amp; $A105, Table2[AwayTeam], R$1)+SUMIFS(Table2[NewPointsHome],Table2[GameDate], "&lt;=" &amp; $A105, Table2[HomeTeam], R$1)</f>
        <v>5</v>
      </c>
      <c r="S105" s="145">
        <f>SUMIFS(Table2[NewPointsAway],Table2[GameDate], "&lt;=" &amp; $A105, Table2[AwayTeam], S$1)+SUMIFS(Table2[NewPointsHome],Table2[GameDate], "&lt;=" &amp; $A105, Table2[HomeTeam], S$1)</f>
        <v>0</v>
      </c>
      <c r="T105" s="145">
        <f>SUMIFS(Table2[NewPointsAway],Table2[GameDate], "&lt;=" &amp; $A105, Table2[AwayTeam], T$1)+SUMIFS(Table2[NewPointsHome],Table2[GameDate], "&lt;=" &amp; $A105, Table2[HomeTeam], T$1)</f>
        <v>4</v>
      </c>
      <c r="U105" s="145">
        <f>SUMIFS(Table2[NewPointsAway],Table2[GameDate], "&lt;=" &amp; $A105, Table2[AwayTeam], U$1)+SUMIFS(Table2[NewPointsHome],Table2[GameDate], "&lt;=" &amp; $A105, Table2[HomeTeam], U$1)</f>
        <v>2</v>
      </c>
      <c r="V105" s="145">
        <f>SUMIFS(Table2[NewPointsAway],Table2[GameDate], "&lt;=" &amp; $A105, Table2[AwayTeam], V$1)+SUMIFS(Table2[NewPointsHome],Table2[GameDate], "&lt;=" &amp; $A105, Table2[HomeTeam], V$1)</f>
        <v>3</v>
      </c>
      <c r="W105" s="145">
        <f>SUMIFS(Table2[NewPointsAway],Table2[GameDate], "&lt;=" &amp; $A105, Table2[AwayTeam], W$1)+SUMIFS(Table2[NewPointsHome],Table2[GameDate], "&lt;=" &amp; $A105, Table2[HomeTeam], W$1)</f>
        <v>4</v>
      </c>
      <c r="X105" s="145">
        <f>SUMIFS(Table2[NewPointsAway],Table2[GameDate], "&lt;=" &amp; $A105, Table2[AwayTeam], X$1)+SUMIFS(Table2[NewPointsHome],Table2[GameDate], "&lt;=" &amp; $A105, Table2[HomeTeam], X$1)</f>
        <v>4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4</v>
      </c>
      <c r="AA105" s="145">
        <f>SUMIFS(Table2[NewPointsAway],Table2[GameDate], "&lt;=" &amp; $A105, Table2[AwayTeam], AA$1)+SUMIFS(Table2[NewPointsHome],Table2[GameDate], "&lt;=" &amp; $A105, Table2[HomeTeam], AA$1)</f>
        <v>2</v>
      </c>
      <c r="AB105" s="145">
        <f>SUMIFS(Table2[NewPointsAway],Table2[GameDate], "&lt;=" &amp; $A105, Table2[AwayTeam], AB$1)+SUMIFS(Table2[NewPointsHome],Table2[GameDate], "&lt;=" &amp; $A105, Table2[HomeTeam], AB$1)</f>
        <v>2</v>
      </c>
      <c r="AC105" s="145">
        <f>SUMIFS(Table2[NewPointsAway],Table2[GameDate], "&lt;=" &amp; $A105, Table2[AwayTeam], AC$1)+SUMIFS(Table2[NewPointsHome],Table2[GameDate], "&lt;=" &amp; $A105, Table2[HomeTeam], AC$1)</f>
        <v>2</v>
      </c>
      <c r="AD105" s="145">
        <f>SUMIFS(Table2[NewPointsAway],Table2[GameDate], "&lt;=" &amp; $A105, Table2[AwayTeam], AD$1)+SUMIFS(Table2[NewPointsHome],Table2[GameDate], "&lt;=" &amp; $A105, Table2[HomeTeam], AD$1)</f>
        <v>2</v>
      </c>
      <c r="AE105" s="145">
        <f>SUMIFS(Table2[NewPointsAway],Table2[GameDate], "&lt;=" &amp; $A105, Table2[AwayTeam], AE$1)+SUMIFS(Table2[NewPointsHome],Table2[GameDate], "&lt;=" &amp; $A105, Table2[HomeTeam], AE$1)</f>
        <v>4</v>
      </c>
      <c r="AF105" s="145">
        <f>SUMIFS(Table2[NewPointsAway],Table2[GameDate], "&lt;=" &amp; $A105, Table2[AwayTeam], AF$1)+SUMIFS(Table2[NewPointsHome],Table2[GameDate], "&lt;=" &amp; $A105, Table2[HomeTeam], AF$1)</f>
        <v>4</v>
      </c>
      <c r="AG105" s="145">
        <f>SUMIFS(Table2[NewPointsAway],Table2[GameDate], "&lt;=" &amp; $A105, Table2[AwayTeam], AG$1)+SUMIFS(Table2[NewPointsHome],Table2[GameDate], "&lt;=" &amp; $A105, Table2[HomeTeam], AG$1)</f>
        <v>4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2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0</v>
      </c>
      <c r="E106" s="145">
        <f>SUMIFS(Table2[NewPointsAway],Table2[GameDate], "&lt;=" &amp; $A106, Table2[AwayTeam], E$1)+SUMIFS(Table2[NewPointsHome],Table2[GameDate], "&lt;=" &amp; $A106, Table2[HomeTeam], E$1)</f>
        <v>4</v>
      </c>
      <c r="F106" s="145">
        <f>SUMIFS(Table2[NewPointsAway],Table2[GameDate], "&lt;=" &amp; $A106, Table2[AwayTeam], F$1)+SUMIFS(Table2[NewPointsHome],Table2[GameDate], "&lt;=" &amp; $A106, Table2[HomeTeam], F$1)</f>
        <v>2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3</v>
      </c>
      <c r="I106" s="145">
        <f>SUMIFS(Table2[NewPointsAway],Table2[GameDate], "&lt;=" &amp; $A106, Table2[AwayTeam], I$1)+SUMIFS(Table2[NewPointsHome],Table2[GameDate], "&lt;=" &amp; $A106, Table2[HomeTeam], I$1)</f>
        <v>7</v>
      </c>
      <c r="J106" s="145">
        <f>SUMIFS(Table2[NewPointsAway],Table2[GameDate], "&lt;=" &amp; $A106, Table2[AwayTeam], J$1)+SUMIFS(Table2[NewPointsHome],Table2[GameDate], "&lt;=" &amp; $A106, Table2[HomeTeam], J$1)</f>
        <v>4</v>
      </c>
      <c r="K106" s="145">
        <f>SUMIFS(Table2[NewPointsAway],Table2[GameDate], "&lt;=" &amp; $A106, Table2[AwayTeam], K$1)+SUMIFS(Table2[NewPointsHome],Table2[GameDate], "&lt;=" &amp; $A106, Table2[HomeTeam], K$1)</f>
        <v>4</v>
      </c>
      <c r="L106" s="145">
        <f>SUMIFS(Table2[NewPointsAway],Table2[GameDate], "&lt;=" &amp; $A106, Table2[AwayTeam], L$1)+SUMIFS(Table2[NewPointsHome],Table2[GameDate], "&lt;=" &amp; $A106, Table2[HomeTeam], L$1)</f>
        <v>3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3</v>
      </c>
      <c r="O106" s="145">
        <f>SUMIFS(Table2[NewPointsAway],Table2[GameDate], "&lt;=" &amp; $A106, Table2[AwayTeam], O$1)+SUMIFS(Table2[NewPointsHome],Table2[GameDate], "&lt;=" &amp; $A106, Table2[HomeTeam], O$1)</f>
        <v>4</v>
      </c>
      <c r="P106" s="145">
        <f>SUMIFS(Table2[NewPointsAway],Table2[GameDate], "&lt;=" &amp; $A106, Table2[AwayTeam], P$1)+SUMIFS(Table2[NewPointsHome],Table2[GameDate], "&lt;=" &amp; $A106, Table2[HomeTeam], P$1)</f>
        <v>4</v>
      </c>
      <c r="Q106" s="145">
        <f>SUMIFS(Table2[NewPointsAway],Table2[GameDate], "&lt;=" &amp; $A106, Table2[AwayTeam], Q$1)+SUMIFS(Table2[NewPointsHome],Table2[GameDate], "&lt;=" &amp; $A106, Table2[HomeTeam], Q$1)</f>
        <v>4</v>
      </c>
      <c r="R106" s="145">
        <f>SUMIFS(Table2[NewPointsAway],Table2[GameDate], "&lt;=" &amp; $A106, Table2[AwayTeam], R$1)+SUMIFS(Table2[NewPointsHome],Table2[GameDate], "&lt;=" &amp; $A106, Table2[HomeTeam], R$1)</f>
        <v>5</v>
      </c>
      <c r="S106" s="145">
        <f>SUMIFS(Table2[NewPointsAway],Table2[GameDate], "&lt;=" &amp; $A106, Table2[AwayTeam], S$1)+SUMIFS(Table2[NewPointsHome],Table2[GameDate], "&lt;=" &amp; $A106, Table2[HomeTeam], S$1)</f>
        <v>0</v>
      </c>
      <c r="T106" s="145">
        <f>SUMIFS(Table2[NewPointsAway],Table2[GameDate], "&lt;=" &amp; $A106, Table2[AwayTeam], T$1)+SUMIFS(Table2[NewPointsHome],Table2[GameDate], "&lt;=" &amp; $A106, Table2[HomeTeam], T$1)</f>
        <v>4</v>
      </c>
      <c r="U106" s="145">
        <f>SUMIFS(Table2[NewPointsAway],Table2[GameDate], "&lt;=" &amp; $A106, Table2[AwayTeam], U$1)+SUMIFS(Table2[NewPointsHome],Table2[GameDate], "&lt;=" &amp; $A106, Table2[HomeTeam], U$1)</f>
        <v>2</v>
      </c>
      <c r="V106" s="145">
        <f>SUMIFS(Table2[NewPointsAway],Table2[GameDate], "&lt;=" &amp; $A106, Table2[AwayTeam], V$1)+SUMIFS(Table2[NewPointsHome],Table2[GameDate], "&lt;=" &amp; $A106, Table2[HomeTeam], V$1)</f>
        <v>3</v>
      </c>
      <c r="W106" s="145">
        <f>SUMIFS(Table2[NewPointsAway],Table2[GameDate], "&lt;=" &amp; $A106, Table2[AwayTeam], W$1)+SUMIFS(Table2[NewPointsHome],Table2[GameDate], "&lt;=" &amp; $A106, Table2[HomeTeam], W$1)</f>
        <v>4</v>
      </c>
      <c r="X106" s="145">
        <f>SUMIFS(Table2[NewPointsAway],Table2[GameDate], "&lt;=" &amp; $A106, Table2[AwayTeam], X$1)+SUMIFS(Table2[NewPointsHome],Table2[GameDate], "&lt;=" &amp; $A106, Table2[HomeTeam], X$1)</f>
        <v>4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4</v>
      </c>
      <c r="AA106" s="145">
        <f>SUMIFS(Table2[NewPointsAway],Table2[GameDate], "&lt;=" &amp; $A106, Table2[AwayTeam], AA$1)+SUMIFS(Table2[NewPointsHome],Table2[GameDate], "&lt;=" &amp; $A106, Table2[HomeTeam], AA$1)</f>
        <v>2</v>
      </c>
      <c r="AB106" s="145">
        <f>SUMIFS(Table2[NewPointsAway],Table2[GameDate], "&lt;=" &amp; $A106, Table2[AwayTeam], AB$1)+SUMIFS(Table2[NewPointsHome],Table2[GameDate], "&lt;=" &amp; $A106, Table2[HomeTeam], AB$1)</f>
        <v>2</v>
      </c>
      <c r="AC106" s="145">
        <f>SUMIFS(Table2[NewPointsAway],Table2[GameDate], "&lt;=" &amp; $A106, Table2[AwayTeam], AC$1)+SUMIFS(Table2[NewPointsHome],Table2[GameDate], "&lt;=" &amp; $A106, Table2[HomeTeam], AC$1)</f>
        <v>2</v>
      </c>
      <c r="AD106" s="145">
        <f>SUMIFS(Table2[NewPointsAway],Table2[GameDate], "&lt;=" &amp; $A106, Table2[AwayTeam], AD$1)+SUMIFS(Table2[NewPointsHome],Table2[GameDate], "&lt;=" &amp; $A106, Table2[HomeTeam], AD$1)</f>
        <v>2</v>
      </c>
      <c r="AE106" s="145">
        <f>SUMIFS(Table2[NewPointsAway],Table2[GameDate], "&lt;=" &amp; $A106, Table2[AwayTeam], AE$1)+SUMIFS(Table2[NewPointsHome],Table2[GameDate], "&lt;=" &amp; $A106, Table2[HomeTeam], AE$1)</f>
        <v>4</v>
      </c>
      <c r="AF106" s="145">
        <f>SUMIFS(Table2[NewPointsAway],Table2[GameDate], "&lt;=" &amp; $A106, Table2[AwayTeam], AF$1)+SUMIFS(Table2[NewPointsHome],Table2[GameDate], "&lt;=" &amp; $A106, Table2[HomeTeam], AF$1)</f>
        <v>4</v>
      </c>
      <c r="AG106" s="145">
        <f>SUMIFS(Table2[NewPointsAway],Table2[GameDate], "&lt;=" &amp; $A106, Table2[AwayTeam], AG$1)+SUMIFS(Table2[NewPointsHome],Table2[GameDate], "&lt;=" &amp; $A106, Table2[HomeTeam], AG$1)</f>
        <v>4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2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0</v>
      </c>
      <c r="E107" s="145">
        <f>SUMIFS(Table2[NewPointsAway],Table2[GameDate], "&lt;=" &amp; $A107, Table2[AwayTeam], E$1)+SUMIFS(Table2[NewPointsHome],Table2[GameDate], "&lt;=" &amp; $A107, Table2[HomeTeam], E$1)</f>
        <v>4</v>
      </c>
      <c r="F107" s="145">
        <f>SUMIFS(Table2[NewPointsAway],Table2[GameDate], "&lt;=" &amp; $A107, Table2[AwayTeam], F$1)+SUMIFS(Table2[NewPointsHome],Table2[GameDate], "&lt;=" &amp; $A107, Table2[HomeTeam], F$1)</f>
        <v>2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3</v>
      </c>
      <c r="I107" s="145">
        <f>SUMIFS(Table2[NewPointsAway],Table2[GameDate], "&lt;=" &amp; $A107, Table2[AwayTeam], I$1)+SUMIFS(Table2[NewPointsHome],Table2[GameDate], "&lt;=" &amp; $A107, Table2[HomeTeam], I$1)</f>
        <v>7</v>
      </c>
      <c r="J107" s="145">
        <f>SUMIFS(Table2[NewPointsAway],Table2[GameDate], "&lt;=" &amp; $A107, Table2[AwayTeam], J$1)+SUMIFS(Table2[NewPointsHome],Table2[GameDate], "&lt;=" &amp; $A107, Table2[HomeTeam], J$1)</f>
        <v>4</v>
      </c>
      <c r="K107" s="145">
        <f>SUMIFS(Table2[NewPointsAway],Table2[GameDate], "&lt;=" &amp; $A107, Table2[AwayTeam], K$1)+SUMIFS(Table2[NewPointsHome],Table2[GameDate], "&lt;=" &amp; $A107, Table2[HomeTeam], K$1)</f>
        <v>4</v>
      </c>
      <c r="L107" s="145">
        <f>SUMIFS(Table2[NewPointsAway],Table2[GameDate], "&lt;=" &amp; $A107, Table2[AwayTeam], L$1)+SUMIFS(Table2[NewPointsHome],Table2[GameDate], "&lt;=" &amp; $A107, Table2[HomeTeam], L$1)</f>
        <v>3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3</v>
      </c>
      <c r="O107" s="145">
        <f>SUMIFS(Table2[NewPointsAway],Table2[GameDate], "&lt;=" &amp; $A107, Table2[AwayTeam], O$1)+SUMIFS(Table2[NewPointsHome],Table2[GameDate], "&lt;=" &amp; $A107, Table2[HomeTeam], O$1)</f>
        <v>4</v>
      </c>
      <c r="P107" s="145">
        <f>SUMIFS(Table2[NewPointsAway],Table2[GameDate], "&lt;=" &amp; $A107, Table2[AwayTeam], P$1)+SUMIFS(Table2[NewPointsHome],Table2[GameDate], "&lt;=" &amp; $A107, Table2[HomeTeam], P$1)</f>
        <v>4</v>
      </c>
      <c r="Q107" s="145">
        <f>SUMIFS(Table2[NewPointsAway],Table2[GameDate], "&lt;=" &amp; $A107, Table2[AwayTeam], Q$1)+SUMIFS(Table2[NewPointsHome],Table2[GameDate], "&lt;=" &amp; $A107, Table2[HomeTeam], Q$1)</f>
        <v>4</v>
      </c>
      <c r="R107" s="145">
        <f>SUMIFS(Table2[NewPointsAway],Table2[GameDate], "&lt;=" &amp; $A107, Table2[AwayTeam], R$1)+SUMIFS(Table2[NewPointsHome],Table2[GameDate], "&lt;=" &amp; $A107, Table2[HomeTeam], R$1)</f>
        <v>5</v>
      </c>
      <c r="S107" s="145">
        <f>SUMIFS(Table2[NewPointsAway],Table2[GameDate], "&lt;=" &amp; $A107, Table2[AwayTeam], S$1)+SUMIFS(Table2[NewPointsHome],Table2[GameDate], "&lt;=" &amp; $A107, Table2[HomeTeam], S$1)</f>
        <v>0</v>
      </c>
      <c r="T107" s="145">
        <f>SUMIFS(Table2[NewPointsAway],Table2[GameDate], "&lt;=" &amp; $A107, Table2[AwayTeam], T$1)+SUMIFS(Table2[NewPointsHome],Table2[GameDate], "&lt;=" &amp; $A107, Table2[HomeTeam], T$1)</f>
        <v>4</v>
      </c>
      <c r="U107" s="145">
        <f>SUMIFS(Table2[NewPointsAway],Table2[GameDate], "&lt;=" &amp; $A107, Table2[AwayTeam], U$1)+SUMIFS(Table2[NewPointsHome],Table2[GameDate], "&lt;=" &amp; $A107, Table2[HomeTeam], U$1)</f>
        <v>2</v>
      </c>
      <c r="V107" s="145">
        <f>SUMIFS(Table2[NewPointsAway],Table2[GameDate], "&lt;=" &amp; $A107, Table2[AwayTeam], V$1)+SUMIFS(Table2[NewPointsHome],Table2[GameDate], "&lt;=" &amp; $A107, Table2[HomeTeam], V$1)</f>
        <v>3</v>
      </c>
      <c r="W107" s="145">
        <f>SUMIFS(Table2[NewPointsAway],Table2[GameDate], "&lt;=" &amp; $A107, Table2[AwayTeam], W$1)+SUMIFS(Table2[NewPointsHome],Table2[GameDate], "&lt;=" &amp; $A107, Table2[HomeTeam], W$1)</f>
        <v>4</v>
      </c>
      <c r="X107" s="145">
        <f>SUMIFS(Table2[NewPointsAway],Table2[GameDate], "&lt;=" &amp; $A107, Table2[AwayTeam], X$1)+SUMIFS(Table2[NewPointsHome],Table2[GameDate], "&lt;=" &amp; $A107, Table2[HomeTeam], X$1)</f>
        <v>4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4</v>
      </c>
      <c r="AA107" s="145">
        <f>SUMIFS(Table2[NewPointsAway],Table2[GameDate], "&lt;=" &amp; $A107, Table2[AwayTeam], AA$1)+SUMIFS(Table2[NewPointsHome],Table2[GameDate], "&lt;=" &amp; $A107, Table2[HomeTeam], AA$1)</f>
        <v>2</v>
      </c>
      <c r="AB107" s="145">
        <f>SUMIFS(Table2[NewPointsAway],Table2[GameDate], "&lt;=" &amp; $A107, Table2[AwayTeam], AB$1)+SUMIFS(Table2[NewPointsHome],Table2[GameDate], "&lt;=" &amp; $A107, Table2[HomeTeam], AB$1)</f>
        <v>2</v>
      </c>
      <c r="AC107" s="145">
        <f>SUMIFS(Table2[NewPointsAway],Table2[GameDate], "&lt;=" &amp; $A107, Table2[AwayTeam], AC$1)+SUMIFS(Table2[NewPointsHome],Table2[GameDate], "&lt;=" &amp; $A107, Table2[HomeTeam], AC$1)</f>
        <v>2</v>
      </c>
      <c r="AD107" s="145">
        <f>SUMIFS(Table2[NewPointsAway],Table2[GameDate], "&lt;=" &amp; $A107, Table2[AwayTeam], AD$1)+SUMIFS(Table2[NewPointsHome],Table2[GameDate], "&lt;=" &amp; $A107, Table2[HomeTeam], AD$1)</f>
        <v>2</v>
      </c>
      <c r="AE107" s="145">
        <f>SUMIFS(Table2[NewPointsAway],Table2[GameDate], "&lt;=" &amp; $A107, Table2[AwayTeam], AE$1)+SUMIFS(Table2[NewPointsHome],Table2[GameDate], "&lt;=" &amp; $A107, Table2[HomeTeam], AE$1)</f>
        <v>4</v>
      </c>
      <c r="AF107" s="145">
        <f>SUMIFS(Table2[NewPointsAway],Table2[GameDate], "&lt;=" &amp; $A107, Table2[AwayTeam], AF$1)+SUMIFS(Table2[NewPointsHome],Table2[GameDate], "&lt;=" &amp; $A107, Table2[HomeTeam], AF$1)</f>
        <v>4</v>
      </c>
      <c r="AG107" s="145">
        <f>SUMIFS(Table2[NewPointsAway],Table2[GameDate], "&lt;=" &amp; $A107, Table2[AwayTeam], AG$1)+SUMIFS(Table2[NewPointsHome],Table2[GameDate], "&lt;=" &amp; $A107, Table2[HomeTeam], AG$1)</f>
        <v>4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2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0</v>
      </c>
      <c r="E108" s="145">
        <f>SUMIFS(Table2[NewPointsAway],Table2[GameDate], "&lt;=" &amp; $A108, Table2[AwayTeam], E$1)+SUMIFS(Table2[NewPointsHome],Table2[GameDate], "&lt;=" &amp; $A108, Table2[HomeTeam], E$1)</f>
        <v>4</v>
      </c>
      <c r="F108" s="145">
        <f>SUMIFS(Table2[NewPointsAway],Table2[GameDate], "&lt;=" &amp; $A108, Table2[AwayTeam], F$1)+SUMIFS(Table2[NewPointsHome],Table2[GameDate], "&lt;=" &amp; $A108, Table2[HomeTeam], F$1)</f>
        <v>2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3</v>
      </c>
      <c r="I108" s="145">
        <f>SUMIFS(Table2[NewPointsAway],Table2[GameDate], "&lt;=" &amp; $A108, Table2[AwayTeam], I$1)+SUMIFS(Table2[NewPointsHome],Table2[GameDate], "&lt;=" &amp; $A108, Table2[HomeTeam], I$1)</f>
        <v>7</v>
      </c>
      <c r="J108" s="145">
        <f>SUMIFS(Table2[NewPointsAway],Table2[GameDate], "&lt;=" &amp; $A108, Table2[AwayTeam], J$1)+SUMIFS(Table2[NewPointsHome],Table2[GameDate], "&lt;=" &amp; $A108, Table2[HomeTeam], J$1)</f>
        <v>4</v>
      </c>
      <c r="K108" s="145">
        <f>SUMIFS(Table2[NewPointsAway],Table2[GameDate], "&lt;=" &amp; $A108, Table2[AwayTeam], K$1)+SUMIFS(Table2[NewPointsHome],Table2[GameDate], "&lt;=" &amp; $A108, Table2[HomeTeam], K$1)</f>
        <v>4</v>
      </c>
      <c r="L108" s="145">
        <f>SUMIFS(Table2[NewPointsAway],Table2[GameDate], "&lt;=" &amp; $A108, Table2[AwayTeam], L$1)+SUMIFS(Table2[NewPointsHome],Table2[GameDate], "&lt;=" &amp; $A108, Table2[HomeTeam], L$1)</f>
        <v>3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3</v>
      </c>
      <c r="O108" s="145">
        <f>SUMIFS(Table2[NewPointsAway],Table2[GameDate], "&lt;=" &amp; $A108, Table2[AwayTeam], O$1)+SUMIFS(Table2[NewPointsHome],Table2[GameDate], "&lt;=" &amp; $A108, Table2[HomeTeam], O$1)</f>
        <v>4</v>
      </c>
      <c r="P108" s="145">
        <f>SUMIFS(Table2[NewPointsAway],Table2[GameDate], "&lt;=" &amp; $A108, Table2[AwayTeam], P$1)+SUMIFS(Table2[NewPointsHome],Table2[GameDate], "&lt;=" &amp; $A108, Table2[HomeTeam], P$1)</f>
        <v>4</v>
      </c>
      <c r="Q108" s="145">
        <f>SUMIFS(Table2[NewPointsAway],Table2[GameDate], "&lt;=" &amp; $A108, Table2[AwayTeam], Q$1)+SUMIFS(Table2[NewPointsHome],Table2[GameDate], "&lt;=" &amp; $A108, Table2[HomeTeam], Q$1)</f>
        <v>4</v>
      </c>
      <c r="R108" s="145">
        <f>SUMIFS(Table2[NewPointsAway],Table2[GameDate], "&lt;=" &amp; $A108, Table2[AwayTeam], R$1)+SUMIFS(Table2[NewPointsHome],Table2[GameDate], "&lt;=" &amp; $A108, Table2[HomeTeam], R$1)</f>
        <v>5</v>
      </c>
      <c r="S108" s="145">
        <f>SUMIFS(Table2[NewPointsAway],Table2[GameDate], "&lt;=" &amp; $A108, Table2[AwayTeam], S$1)+SUMIFS(Table2[NewPointsHome],Table2[GameDate], "&lt;=" &amp; $A108, Table2[HomeTeam], S$1)</f>
        <v>0</v>
      </c>
      <c r="T108" s="145">
        <f>SUMIFS(Table2[NewPointsAway],Table2[GameDate], "&lt;=" &amp; $A108, Table2[AwayTeam], T$1)+SUMIFS(Table2[NewPointsHome],Table2[GameDate], "&lt;=" &amp; $A108, Table2[HomeTeam], T$1)</f>
        <v>4</v>
      </c>
      <c r="U108" s="145">
        <f>SUMIFS(Table2[NewPointsAway],Table2[GameDate], "&lt;=" &amp; $A108, Table2[AwayTeam], U$1)+SUMIFS(Table2[NewPointsHome],Table2[GameDate], "&lt;=" &amp; $A108, Table2[HomeTeam], U$1)</f>
        <v>2</v>
      </c>
      <c r="V108" s="145">
        <f>SUMIFS(Table2[NewPointsAway],Table2[GameDate], "&lt;=" &amp; $A108, Table2[AwayTeam], V$1)+SUMIFS(Table2[NewPointsHome],Table2[GameDate], "&lt;=" &amp; $A108, Table2[HomeTeam], V$1)</f>
        <v>3</v>
      </c>
      <c r="W108" s="145">
        <f>SUMIFS(Table2[NewPointsAway],Table2[GameDate], "&lt;=" &amp; $A108, Table2[AwayTeam], W$1)+SUMIFS(Table2[NewPointsHome],Table2[GameDate], "&lt;=" &amp; $A108, Table2[HomeTeam], W$1)</f>
        <v>4</v>
      </c>
      <c r="X108" s="145">
        <f>SUMIFS(Table2[NewPointsAway],Table2[GameDate], "&lt;=" &amp; $A108, Table2[AwayTeam], X$1)+SUMIFS(Table2[NewPointsHome],Table2[GameDate], "&lt;=" &amp; $A108, Table2[HomeTeam], X$1)</f>
        <v>4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4</v>
      </c>
      <c r="AA108" s="145">
        <f>SUMIFS(Table2[NewPointsAway],Table2[GameDate], "&lt;=" &amp; $A108, Table2[AwayTeam], AA$1)+SUMIFS(Table2[NewPointsHome],Table2[GameDate], "&lt;=" &amp; $A108, Table2[HomeTeam], AA$1)</f>
        <v>2</v>
      </c>
      <c r="AB108" s="145">
        <f>SUMIFS(Table2[NewPointsAway],Table2[GameDate], "&lt;=" &amp; $A108, Table2[AwayTeam], AB$1)+SUMIFS(Table2[NewPointsHome],Table2[GameDate], "&lt;=" &amp; $A108, Table2[HomeTeam], AB$1)</f>
        <v>2</v>
      </c>
      <c r="AC108" s="145">
        <f>SUMIFS(Table2[NewPointsAway],Table2[GameDate], "&lt;=" &amp; $A108, Table2[AwayTeam], AC$1)+SUMIFS(Table2[NewPointsHome],Table2[GameDate], "&lt;=" &amp; $A108, Table2[HomeTeam], AC$1)</f>
        <v>2</v>
      </c>
      <c r="AD108" s="145">
        <f>SUMIFS(Table2[NewPointsAway],Table2[GameDate], "&lt;=" &amp; $A108, Table2[AwayTeam], AD$1)+SUMIFS(Table2[NewPointsHome],Table2[GameDate], "&lt;=" &amp; $A108, Table2[HomeTeam], AD$1)</f>
        <v>2</v>
      </c>
      <c r="AE108" s="145">
        <f>SUMIFS(Table2[NewPointsAway],Table2[GameDate], "&lt;=" &amp; $A108, Table2[AwayTeam], AE$1)+SUMIFS(Table2[NewPointsHome],Table2[GameDate], "&lt;=" &amp; $A108, Table2[HomeTeam], AE$1)</f>
        <v>4</v>
      </c>
      <c r="AF108" s="145">
        <f>SUMIFS(Table2[NewPointsAway],Table2[GameDate], "&lt;=" &amp; $A108, Table2[AwayTeam], AF$1)+SUMIFS(Table2[NewPointsHome],Table2[GameDate], "&lt;=" &amp; $A108, Table2[HomeTeam], AF$1)</f>
        <v>4</v>
      </c>
      <c r="AG108" s="145">
        <f>SUMIFS(Table2[NewPointsAway],Table2[GameDate], "&lt;=" &amp; $A108, Table2[AwayTeam], AG$1)+SUMIFS(Table2[NewPointsHome],Table2[GameDate], "&lt;=" &amp; $A108, Table2[HomeTeam], AG$1)</f>
        <v>4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2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0</v>
      </c>
      <c r="E109" s="145">
        <f>SUMIFS(Table2[NewPointsAway],Table2[GameDate], "&lt;=" &amp; $A109, Table2[AwayTeam], E$1)+SUMIFS(Table2[NewPointsHome],Table2[GameDate], "&lt;=" &amp; $A109, Table2[HomeTeam], E$1)</f>
        <v>4</v>
      </c>
      <c r="F109" s="145">
        <f>SUMIFS(Table2[NewPointsAway],Table2[GameDate], "&lt;=" &amp; $A109, Table2[AwayTeam], F$1)+SUMIFS(Table2[NewPointsHome],Table2[GameDate], "&lt;=" &amp; $A109, Table2[HomeTeam], F$1)</f>
        <v>2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3</v>
      </c>
      <c r="I109" s="145">
        <f>SUMIFS(Table2[NewPointsAway],Table2[GameDate], "&lt;=" &amp; $A109, Table2[AwayTeam], I$1)+SUMIFS(Table2[NewPointsHome],Table2[GameDate], "&lt;=" &amp; $A109, Table2[HomeTeam], I$1)</f>
        <v>7</v>
      </c>
      <c r="J109" s="145">
        <f>SUMIFS(Table2[NewPointsAway],Table2[GameDate], "&lt;=" &amp; $A109, Table2[AwayTeam], J$1)+SUMIFS(Table2[NewPointsHome],Table2[GameDate], "&lt;=" &amp; $A109, Table2[HomeTeam], J$1)</f>
        <v>4</v>
      </c>
      <c r="K109" s="145">
        <f>SUMIFS(Table2[NewPointsAway],Table2[GameDate], "&lt;=" &amp; $A109, Table2[AwayTeam], K$1)+SUMIFS(Table2[NewPointsHome],Table2[GameDate], "&lt;=" &amp; $A109, Table2[HomeTeam], K$1)</f>
        <v>4</v>
      </c>
      <c r="L109" s="145">
        <f>SUMIFS(Table2[NewPointsAway],Table2[GameDate], "&lt;=" &amp; $A109, Table2[AwayTeam], L$1)+SUMIFS(Table2[NewPointsHome],Table2[GameDate], "&lt;=" &amp; $A109, Table2[HomeTeam], L$1)</f>
        <v>3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3</v>
      </c>
      <c r="O109" s="145">
        <f>SUMIFS(Table2[NewPointsAway],Table2[GameDate], "&lt;=" &amp; $A109, Table2[AwayTeam], O$1)+SUMIFS(Table2[NewPointsHome],Table2[GameDate], "&lt;=" &amp; $A109, Table2[HomeTeam], O$1)</f>
        <v>4</v>
      </c>
      <c r="P109" s="145">
        <f>SUMIFS(Table2[NewPointsAway],Table2[GameDate], "&lt;=" &amp; $A109, Table2[AwayTeam], P$1)+SUMIFS(Table2[NewPointsHome],Table2[GameDate], "&lt;=" &amp; $A109, Table2[HomeTeam], P$1)</f>
        <v>4</v>
      </c>
      <c r="Q109" s="145">
        <f>SUMIFS(Table2[NewPointsAway],Table2[GameDate], "&lt;=" &amp; $A109, Table2[AwayTeam], Q$1)+SUMIFS(Table2[NewPointsHome],Table2[GameDate], "&lt;=" &amp; $A109, Table2[HomeTeam], Q$1)</f>
        <v>4</v>
      </c>
      <c r="R109" s="145">
        <f>SUMIFS(Table2[NewPointsAway],Table2[GameDate], "&lt;=" &amp; $A109, Table2[AwayTeam], R$1)+SUMIFS(Table2[NewPointsHome],Table2[GameDate], "&lt;=" &amp; $A109, Table2[HomeTeam], R$1)</f>
        <v>5</v>
      </c>
      <c r="S109" s="145">
        <f>SUMIFS(Table2[NewPointsAway],Table2[GameDate], "&lt;=" &amp; $A109, Table2[AwayTeam], S$1)+SUMIFS(Table2[NewPointsHome],Table2[GameDate], "&lt;=" &amp; $A109, Table2[HomeTeam], S$1)</f>
        <v>0</v>
      </c>
      <c r="T109" s="145">
        <f>SUMIFS(Table2[NewPointsAway],Table2[GameDate], "&lt;=" &amp; $A109, Table2[AwayTeam], T$1)+SUMIFS(Table2[NewPointsHome],Table2[GameDate], "&lt;=" &amp; $A109, Table2[HomeTeam], T$1)</f>
        <v>4</v>
      </c>
      <c r="U109" s="145">
        <f>SUMIFS(Table2[NewPointsAway],Table2[GameDate], "&lt;=" &amp; $A109, Table2[AwayTeam], U$1)+SUMIFS(Table2[NewPointsHome],Table2[GameDate], "&lt;=" &amp; $A109, Table2[HomeTeam], U$1)</f>
        <v>2</v>
      </c>
      <c r="V109" s="145">
        <f>SUMIFS(Table2[NewPointsAway],Table2[GameDate], "&lt;=" &amp; $A109, Table2[AwayTeam], V$1)+SUMIFS(Table2[NewPointsHome],Table2[GameDate], "&lt;=" &amp; $A109, Table2[HomeTeam], V$1)</f>
        <v>3</v>
      </c>
      <c r="W109" s="145">
        <f>SUMIFS(Table2[NewPointsAway],Table2[GameDate], "&lt;=" &amp; $A109, Table2[AwayTeam], W$1)+SUMIFS(Table2[NewPointsHome],Table2[GameDate], "&lt;=" &amp; $A109, Table2[HomeTeam], W$1)</f>
        <v>4</v>
      </c>
      <c r="X109" s="145">
        <f>SUMIFS(Table2[NewPointsAway],Table2[GameDate], "&lt;=" &amp; $A109, Table2[AwayTeam], X$1)+SUMIFS(Table2[NewPointsHome],Table2[GameDate], "&lt;=" &amp; $A109, Table2[HomeTeam], X$1)</f>
        <v>4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4</v>
      </c>
      <c r="AA109" s="145">
        <f>SUMIFS(Table2[NewPointsAway],Table2[GameDate], "&lt;=" &amp; $A109, Table2[AwayTeam], AA$1)+SUMIFS(Table2[NewPointsHome],Table2[GameDate], "&lt;=" &amp; $A109, Table2[HomeTeam], AA$1)</f>
        <v>2</v>
      </c>
      <c r="AB109" s="145">
        <f>SUMIFS(Table2[NewPointsAway],Table2[GameDate], "&lt;=" &amp; $A109, Table2[AwayTeam], AB$1)+SUMIFS(Table2[NewPointsHome],Table2[GameDate], "&lt;=" &amp; $A109, Table2[HomeTeam], AB$1)</f>
        <v>2</v>
      </c>
      <c r="AC109" s="145">
        <f>SUMIFS(Table2[NewPointsAway],Table2[GameDate], "&lt;=" &amp; $A109, Table2[AwayTeam], AC$1)+SUMIFS(Table2[NewPointsHome],Table2[GameDate], "&lt;=" &amp; $A109, Table2[HomeTeam], AC$1)</f>
        <v>2</v>
      </c>
      <c r="AD109" s="145">
        <f>SUMIFS(Table2[NewPointsAway],Table2[GameDate], "&lt;=" &amp; $A109, Table2[AwayTeam], AD$1)+SUMIFS(Table2[NewPointsHome],Table2[GameDate], "&lt;=" &amp; $A109, Table2[HomeTeam], AD$1)</f>
        <v>2</v>
      </c>
      <c r="AE109" s="145">
        <f>SUMIFS(Table2[NewPointsAway],Table2[GameDate], "&lt;=" &amp; $A109, Table2[AwayTeam], AE$1)+SUMIFS(Table2[NewPointsHome],Table2[GameDate], "&lt;=" &amp; $A109, Table2[HomeTeam], AE$1)</f>
        <v>4</v>
      </c>
      <c r="AF109" s="145">
        <f>SUMIFS(Table2[NewPointsAway],Table2[GameDate], "&lt;=" &amp; $A109, Table2[AwayTeam], AF$1)+SUMIFS(Table2[NewPointsHome],Table2[GameDate], "&lt;=" &amp; $A109, Table2[HomeTeam], AF$1)</f>
        <v>4</v>
      </c>
      <c r="AG109" s="145">
        <f>SUMIFS(Table2[NewPointsAway],Table2[GameDate], "&lt;=" &amp; $A109, Table2[AwayTeam], AG$1)+SUMIFS(Table2[NewPointsHome],Table2[GameDate], "&lt;=" &amp; $A109, Table2[HomeTeam], AG$1)</f>
        <v>4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2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0</v>
      </c>
      <c r="E110" s="145">
        <f>SUMIFS(Table2[NewPointsAway],Table2[GameDate], "&lt;=" &amp; $A110, Table2[AwayTeam], E$1)+SUMIFS(Table2[NewPointsHome],Table2[GameDate], "&lt;=" &amp; $A110, Table2[HomeTeam], E$1)</f>
        <v>4</v>
      </c>
      <c r="F110" s="145">
        <f>SUMIFS(Table2[NewPointsAway],Table2[GameDate], "&lt;=" &amp; $A110, Table2[AwayTeam], F$1)+SUMIFS(Table2[NewPointsHome],Table2[GameDate], "&lt;=" &amp; $A110, Table2[HomeTeam], F$1)</f>
        <v>2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3</v>
      </c>
      <c r="I110" s="145">
        <f>SUMIFS(Table2[NewPointsAway],Table2[GameDate], "&lt;=" &amp; $A110, Table2[AwayTeam], I$1)+SUMIFS(Table2[NewPointsHome],Table2[GameDate], "&lt;=" &amp; $A110, Table2[HomeTeam], I$1)</f>
        <v>7</v>
      </c>
      <c r="J110" s="145">
        <f>SUMIFS(Table2[NewPointsAway],Table2[GameDate], "&lt;=" &amp; $A110, Table2[AwayTeam], J$1)+SUMIFS(Table2[NewPointsHome],Table2[GameDate], "&lt;=" &amp; $A110, Table2[HomeTeam], J$1)</f>
        <v>4</v>
      </c>
      <c r="K110" s="145">
        <f>SUMIFS(Table2[NewPointsAway],Table2[GameDate], "&lt;=" &amp; $A110, Table2[AwayTeam], K$1)+SUMIFS(Table2[NewPointsHome],Table2[GameDate], "&lt;=" &amp; $A110, Table2[HomeTeam], K$1)</f>
        <v>4</v>
      </c>
      <c r="L110" s="145">
        <f>SUMIFS(Table2[NewPointsAway],Table2[GameDate], "&lt;=" &amp; $A110, Table2[AwayTeam], L$1)+SUMIFS(Table2[NewPointsHome],Table2[GameDate], "&lt;=" &amp; $A110, Table2[HomeTeam], L$1)</f>
        <v>3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3</v>
      </c>
      <c r="O110" s="145">
        <f>SUMIFS(Table2[NewPointsAway],Table2[GameDate], "&lt;=" &amp; $A110, Table2[AwayTeam], O$1)+SUMIFS(Table2[NewPointsHome],Table2[GameDate], "&lt;=" &amp; $A110, Table2[HomeTeam], O$1)</f>
        <v>4</v>
      </c>
      <c r="P110" s="145">
        <f>SUMIFS(Table2[NewPointsAway],Table2[GameDate], "&lt;=" &amp; $A110, Table2[AwayTeam], P$1)+SUMIFS(Table2[NewPointsHome],Table2[GameDate], "&lt;=" &amp; $A110, Table2[HomeTeam], P$1)</f>
        <v>4</v>
      </c>
      <c r="Q110" s="145">
        <f>SUMIFS(Table2[NewPointsAway],Table2[GameDate], "&lt;=" &amp; $A110, Table2[AwayTeam], Q$1)+SUMIFS(Table2[NewPointsHome],Table2[GameDate], "&lt;=" &amp; $A110, Table2[HomeTeam], Q$1)</f>
        <v>4</v>
      </c>
      <c r="R110" s="145">
        <f>SUMIFS(Table2[NewPointsAway],Table2[GameDate], "&lt;=" &amp; $A110, Table2[AwayTeam], R$1)+SUMIFS(Table2[NewPointsHome],Table2[GameDate], "&lt;=" &amp; $A110, Table2[HomeTeam], R$1)</f>
        <v>5</v>
      </c>
      <c r="S110" s="145">
        <f>SUMIFS(Table2[NewPointsAway],Table2[GameDate], "&lt;=" &amp; $A110, Table2[AwayTeam], S$1)+SUMIFS(Table2[NewPointsHome],Table2[GameDate], "&lt;=" &amp; $A110, Table2[HomeTeam], S$1)</f>
        <v>0</v>
      </c>
      <c r="T110" s="145">
        <f>SUMIFS(Table2[NewPointsAway],Table2[GameDate], "&lt;=" &amp; $A110, Table2[AwayTeam], T$1)+SUMIFS(Table2[NewPointsHome],Table2[GameDate], "&lt;=" &amp; $A110, Table2[HomeTeam], T$1)</f>
        <v>4</v>
      </c>
      <c r="U110" s="145">
        <f>SUMIFS(Table2[NewPointsAway],Table2[GameDate], "&lt;=" &amp; $A110, Table2[AwayTeam], U$1)+SUMIFS(Table2[NewPointsHome],Table2[GameDate], "&lt;=" &amp; $A110, Table2[HomeTeam], U$1)</f>
        <v>2</v>
      </c>
      <c r="V110" s="145">
        <f>SUMIFS(Table2[NewPointsAway],Table2[GameDate], "&lt;=" &amp; $A110, Table2[AwayTeam], V$1)+SUMIFS(Table2[NewPointsHome],Table2[GameDate], "&lt;=" &amp; $A110, Table2[HomeTeam], V$1)</f>
        <v>3</v>
      </c>
      <c r="W110" s="145">
        <f>SUMIFS(Table2[NewPointsAway],Table2[GameDate], "&lt;=" &amp; $A110, Table2[AwayTeam], W$1)+SUMIFS(Table2[NewPointsHome],Table2[GameDate], "&lt;=" &amp; $A110, Table2[HomeTeam], W$1)</f>
        <v>4</v>
      </c>
      <c r="X110" s="145">
        <f>SUMIFS(Table2[NewPointsAway],Table2[GameDate], "&lt;=" &amp; $A110, Table2[AwayTeam], X$1)+SUMIFS(Table2[NewPointsHome],Table2[GameDate], "&lt;=" &amp; $A110, Table2[HomeTeam], X$1)</f>
        <v>4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4</v>
      </c>
      <c r="AA110" s="145">
        <f>SUMIFS(Table2[NewPointsAway],Table2[GameDate], "&lt;=" &amp; $A110, Table2[AwayTeam], AA$1)+SUMIFS(Table2[NewPointsHome],Table2[GameDate], "&lt;=" &amp; $A110, Table2[HomeTeam], AA$1)</f>
        <v>2</v>
      </c>
      <c r="AB110" s="145">
        <f>SUMIFS(Table2[NewPointsAway],Table2[GameDate], "&lt;=" &amp; $A110, Table2[AwayTeam], AB$1)+SUMIFS(Table2[NewPointsHome],Table2[GameDate], "&lt;=" &amp; $A110, Table2[HomeTeam], AB$1)</f>
        <v>2</v>
      </c>
      <c r="AC110" s="145">
        <f>SUMIFS(Table2[NewPointsAway],Table2[GameDate], "&lt;=" &amp; $A110, Table2[AwayTeam], AC$1)+SUMIFS(Table2[NewPointsHome],Table2[GameDate], "&lt;=" &amp; $A110, Table2[HomeTeam], AC$1)</f>
        <v>2</v>
      </c>
      <c r="AD110" s="145">
        <f>SUMIFS(Table2[NewPointsAway],Table2[GameDate], "&lt;=" &amp; $A110, Table2[AwayTeam], AD$1)+SUMIFS(Table2[NewPointsHome],Table2[GameDate], "&lt;=" &amp; $A110, Table2[HomeTeam], AD$1)</f>
        <v>2</v>
      </c>
      <c r="AE110" s="145">
        <f>SUMIFS(Table2[NewPointsAway],Table2[GameDate], "&lt;=" &amp; $A110, Table2[AwayTeam], AE$1)+SUMIFS(Table2[NewPointsHome],Table2[GameDate], "&lt;=" &amp; $A110, Table2[HomeTeam], AE$1)</f>
        <v>4</v>
      </c>
      <c r="AF110" s="145">
        <f>SUMIFS(Table2[NewPointsAway],Table2[GameDate], "&lt;=" &amp; $A110, Table2[AwayTeam], AF$1)+SUMIFS(Table2[NewPointsHome],Table2[GameDate], "&lt;=" &amp; $A110, Table2[HomeTeam], AF$1)</f>
        <v>4</v>
      </c>
      <c r="AG110" s="145">
        <f>SUMIFS(Table2[NewPointsAway],Table2[GameDate], "&lt;=" &amp; $A110, Table2[AwayTeam], AG$1)+SUMIFS(Table2[NewPointsHome],Table2[GameDate], "&lt;=" &amp; $A110, Table2[HomeTeam], AG$1)</f>
        <v>4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2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0</v>
      </c>
      <c r="E111" s="145">
        <f>SUMIFS(Table2[NewPointsAway],Table2[GameDate], "&lt;=" &amp; $A111, Table2[AwayTeam], E$1)+SUMIFS(Table2[NewPointsHome],Table2[GameDate], "&lt;=" &amp; $A111, Table2[HomeTeam], E$1)</f>
        <v>4</v>
      </c>
      <c r="F111" s="145">
        <f>SUMIFS(Table2[NewPointsAway],Table2[GameDate], "&lt;=" &amp; $A111, Table2[AwayTeam], F$1)+SUMIFS(Table2[NewPointsHome],Table2[GameDate], "&lt;=" &amp; $A111, Table2[HomeTeam], F$1)</f>
        <v>2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3</v>
      </c>
      <c r="I111" s="145">
        <f>SUMIFS(Table2[NewPointsAway],Table2[GameDate], "&lt;=" &amp; $A111, Table2[AwayTeam], I$1)+SUMIFS(Table2[NewPointsHome],Table2[GameDate], "&lt;=" &amp; $A111, Table2[HomeTeam], I$1)</f>
        <v>7</v>
      </c>
      <c r="J111" s="145">
        <f>SUMIFS(Table2[NewPointsAway],Table2[GameDate], "&lt;=" &amp; $A111, Table2[AwayTeam], J$1)+SUMIFS(Table2[NewPointsHome],Table2[GameDate], "&lt;=" &amp; $A111, Table2[HomeTeam], J$1)</f>
        <v>4</v>
      </c>
      <c r="K111" s="145">
        <f>SUMIFS(Table2[NewPointsAway],Table2[GameDate], "&lt;=" &amp; $A111, Table2[AwayTeam], K$1)+SUMIFS(Table2[NewPointsHome],Table2[GameDate], "&lt;=" &amp; $A111, Table2[HomeTeam], K$1)</f>
        <v>4</v>
      </c>
      <c r="L111" s="145">
        <f>SUMIFS(Table2[NewPointsAway],Table2[GameDate], "&lt;=" &amp; $A111, Table2[AwayTeam], L$1)+SUMIFS(Table2[NewPointsHome],Table2[GameDate], "&lt;=" &amp; $A111, Table2[HomeTeam], L$1)</f>
        <v>3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3</v>
      </c>
      <c r="O111" s="145">
        <f>SUMIFS(Table2[NewPointsAway],Table2[GameDate], "&lt;=" &amp; $A111, Table2[AwayTeam], O$1)+SUMIFS(Table2[NewPointsHome],Table2[GameDate], "&lt;=" &amp; $A111, Table2[HomeTeam], O$1)</f>
        <v>4</v>
      </c>
      <c r="P111" s="145">
        <f>SUMIFS(Table2[NewPointsAway],Table2[GameDate], "&lt;=" &amp; $A111, Table2[AwayTeam], P$1)+SUMIFS(Table2[NewPointsHome],Table2[GameDate], "&lt;=" &amp; $A111, Table2[HomeTeam], P$1)</f>
        <v>4</v>
      </c>
      <c r="Q111" s="145">
        <f>SUMIFS(Table2[NewPointsAway],Table2[GameDate], "&lt;=" &amp; $A111, Table2[AwayTeam], Q$1)+SUMIFS(Table2[NewPointsHome],Table2[GameDate], "&lt;=" &amp; $A111, Table2[HomeTeam], Q$1)</f>
        <v>4</v>
      </c>
      <c r="R111" s="145">
        <f>SUMIFS(Table2[NewPointsAway],Table2[GameDate], "&lt;=" &amp; $A111, Table2[AwayTeam], R$1)+SUMIFS(Table2[NewPointsHome],Table2[GameDate], "&lt;=" &amp; $A111, Table2[HomeTeam], R$1)</f>
        <v>5</v>
      </c>
      <c r="S111" s="145">
        <f>SUMIFS(Table2[NewPointsAway],Table2[GameDate], "&lt;=" &amp; $A111, Table2[AwayTeam], S$1)+SUMIFS(Table2[NewPointsHome],Table2[GameDate], "&lt;=" &amp; $A111, Table2[HomeTeam], S$1)</f>
        <v>0</v>
      </c>
      <c r="T111" s="145">
        <f>SUMIFS(Table2[NewPointsAway],Table2[GameDate], "&lt;=" &amp; $A111, Table2[AwayTeam], T$1)+SUMIFS(Table2[NewPointsHome],Table2[GameDate], "&lt;=" &amp; $A111, Table2[HomeTeam], T$1)</f>
        <v>4</v>
      </c>
      <c r="U111" s="145">
        <f>SUMIFS(Table2[NewPointsAway],Table2[GameDate], "&lt;=" &amp; $A111, Table2[AwayTeam], U$1)+SUMIFS(Table2[NewPointsHome],Table2[GameDate], "&lt;=" &amp; $A111, Table2[HomeTeam], U$1)</f>
        <v>2</v>
      </c>
      <c r="V111" s="145">
        <f>SUMIFS(Table2[NewPointsAway],Table2[GameDate], "&lt;=" &amp; $A111, Table2[AwayTeam], V$1)+SUMIFS(Table2[NewPointsHome],Table2[GameDate], "&lt;=" &amp; $A111, Table2[HomeTeam], V$1)</f>
        <v>3</v>
      </c>
      <c r="W111" s="145">
        <f>SUMIFS(Table2[NewPointsAway],Table2[GameDate], "&lt;=" &amp; $A111, Table2[AwayTeam], W$1)+SUMIFS(Table2[NewPointsHome],Table2[GameDate], "&lt;=" &amp; $A111, Table2[HomeTeam], W$1)</f>
        <v>4</v>
      </c>
      <c r="X111" s="145">
        <f>SUMIFS(Table2[NewPointsAway],Table2[GameDate], "&lt;=" &amp; $A111, Table2[AwayTeam], X$1)+SUMIFS(Table2[NewPointsHome],Table2[GameDate], "&lt;=" &amp; $A111, Table2[HomeTeam], X$1)</f>
        <v>4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4</v>
      </c>
      <c r="AA111" s="145">
        <f>SUMIFS(Table2[NewPointsAway],Table2[GameDate], "&lt;=" &amp; $A111, Table2[AwayTeam], AA$1)+SUMIFS(Table2[NewPointsHome],Table2[GameDate], "&lt;=" &amp; $A111, Table2[HomeTeam], AA$1)</f>
        <v>2</v>
      </c>
      <c r="AB111" s="145">
        <f>SUMIFS(Table2[NewPointsAway],Table2[GameDate], "&lt;=" &amp; $A111, Table2[AwayTeam], AB$1)+SUMIFS(Table2[NewPointsHome],Table2[GameDate], "&lt;=" &amp; $A111, Table2[HomeTeam], AB$1)</f>
        <v>2</v>
      </c>
      <c r="AC111" s="145">
        <f>SUMIFS(Table2[NewPointsAway],Table2[GameDate], "&lt;=" &amp; $A111, Table2[AwayTeam], AC$1)+SUMIFS(Table2[NewPointsHome],Table2[GameDate], "&lt;=" &amp; $A111, Table2[HomeTeam], AC$1)</f>
        <v>2</v>
      </c>
      <c r="AD111" s="145">
        <f>SUMIFS(Table2[NewPointsAway],Table2[GameDate], "&lt;=" &amp; $A111, Table2[AwayTeam], AD$1)+SUMIFS(Table2[NewPointsHome],Table2[GameDate], "&lt;=" &amp; $A111, Table2[HomeTeam], AD$1)</f>
        <v>2</v>
      </c>
      <c r="AE111" s="145">
        <f>SUMIFS(Table2[NewPointsAway],Table2[GameDate], "&lt;=" &amp; $A111, Table2[AwayTeam], AE$1)+SUMIFS(Table2[NewPointsHome],Table2[GameDate], "&lt;=" &amp; $A111, Table2[HomeTeam], AE$1)</f>
        <v>4</v>
      </c>
      <c r="AF111" s="145">
        <f>SUMIFS(Table2[NewPointsAway],Table2[GameDate], "&lt;=" &amp; $A111, Table2[AwayTeam], AF$1)+SUMIFS(Table2[NewPointsHome],Table2[GameDate], "&lt;=" &amp; $A111, Table2[HomeTeam], AF$1)</f>
        <v>4</v>
      </c>
      <c r="AG111" s="145">
        <f>SUMIFS(Table2[NewPointsAway],Table2[GameDate], "&lt;=" &amp; $A111, Table2[AwayTeam], AG$1)+SUMIFS(Table2[NewPointsHome],Table2[GameDate], "&lt;=" &amp; $A111, Table2[HomeTeam], AG$1)</f>
        <v>4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2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0</v>
      </c>
      <c r="E112" s="145">
        <f>SUMIFS(Table2[NewPointsAway],Table2[GameDate], "&lt;=" &amp; $A112, Table2[AwayTeam], E$1)+SUMIFS(Table2[NewPointsHome],Table2[GameDate], "&lt;=" &amp; $A112, Table2[HomeTeam], E$1)</f>
        <v>4</v>
      </c>
      <c r="F112" s="145">
        <f>SUMIFS(Table2[NewPointsAway],Table2[GameDate], "&lt;=" &amp; $A112, Table2[AwayTeam], F$1)+SUMIFS(Table2[NewPointsHome],Table2[GameDate], "&lt;=" &amp; $A112, Table2[HomeTeam], F$1)</f>
        <v>2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3</v>
      </c>
      <c r="I112" s="145">
        <f>SUMIFS(Table2[NewPointsAway],Table2[GameDate], "&lt;=" &amp; $A112, Table2[AwayTeam], I$1)+SUMIFS(Table2[NewPointsHome],Table2[GameDate], "&lt;=" &amp; $A112, Table2[HomeTeam], I$1)</f>
        <v>7</v>
      </c>
      <c r="J112" s="145">
        <f>SUMIFS(Table2[NewPointsAway],Table2[GameDate], "&lt;=" &amp; $A112, Table2[AwayTeam], J$1)+SUMIFS(Table2[NewPointsHome],Table2[GameDate], "&lt;=" &amp; $A112, Table2[HomeTeam], J$1)</f>
        <v>4</v>
      </c>
      <c r="K112" s="145">
        <f>SUMIFS(Table2[NewPointsAway],Table2[GameDate], "&lt;=" &amp; $A112, Table2[AwayTeam], K$1)+SUMIFS(Table2[NewPointsHome],Table2[GameDate], "&lt;=" &amp; $A112, Table2[HomeTeam], K$1)</f>
        <v>4</v>
      </c>
      <c r="L112" s="145">
        <f>SUMIFS(Table2[NewPointsAway],Table2[GameDate], "&lt;=" &amp; $A112, Table2[AwayTeam], L$1)+SUMIFS(Table2[NewPointsHome],Table2[GameDate], "&lt;=" &amp; $A112, Table2[HomeTeam], L$1)</f>
        <v>3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3</v>
      </c>
      <c r="O112" s="145">
        <f>SUMIFS(Table2[NewPointsAway],Table2[GameDate], "&lt;=" &amp; $A112, Table2[AwayTeam], O$1)+SUMIFS(Table2[NewPointsHome],Table2[GameDate], "&lt;=" &amp; $A112, Table2[HomeTeam], O$1)</f>
        <v>4</v>
      </c>
      <c r="P112" s="145">
        <f>SUMIFS(Table2[NewPointsAway],Table2[GameDate], "&lt;=" &amp; $A112, Table2[AwayTeam], P$1)+SUMIFS(Table2[NewPointsHome],Table2[GameDate], "&lt;=" &amp; $A112, Table2[HomeTeam], P$1)</f>
        <v>4</v>
      </c>
      <c r="Q112" s="145">
        <f>SUMIFS(Table2[NewPointsAway],Table2[GameDate], "&lt;=" &amp; $A112, Table2[AwayTeam], Q$1)+SUMIFS(Table2[NewPointsHome],Table2[GameDate], "&lt;=" &amp; $A112, Table2[HomeTeam], Q$1)</f>
        <v>4</v>
      </c>
      <c r="R112" s="145">
        <f>SUMIFS(Table2[NewPointsAway],Table2[GameDate], "&lt;=" &amp; $A112, Table2[AwayTeam], R$1)+SUMIFS(Table2[NewPointsHome],Table2[GameDate], "&lt;=" &amp; $A112, Table2[HomeTeam], R$1)</f>
        <v>5</v>
      </c>
      <c r="S112" s="145">
        <f>SUMIFS(Table2[NewPointsAway],Table2[GameDate], "&lt;=" &amp; $A112, Table2[AwayTeam], S$1)+SUMIFS(Table2[NewPointsHome],Table2[GameDate], "&lt;=" &amp; $A112, Table2[HomeTeam], S$1)</f>
        <v>0</v>
      </c>
      <c r="T112" s="145">
        <f>SUMIFS(Table2[NewPointsAway],Table2[GameDate], "&lt;=" &amp; $A112, Table2[AwayTeam], T$1)+SUMIFS(Table2[NewPointsHome],Table2[GameDate], "&lt;=" &amp; $A112, Table2[HomeTeam], T$1)</f>
        <v>4</v>
      </c>
      <c r="U112" s="145">
        <f>SUMIFS(Table2[NewPointsAway],Table2[GameDate], "&lt;=" &amp; $A112, Table2[AwayTeam], U$1)+SUMIFS(Table2[NewPointsHome],Table2[GameDate], "&lt;=" &amp; $A112, Table2[HomeTeam], U$1)</f>
        <v>2</v>
      </c>
      <c r="V112" s="145">
        <f>SUMIFS(Table2[NewPointsAway],Table2[GameDate], "&lt;=" &amp; $A112, Table2[AwayTeam], V$1)+SUMIFS(Table2[NewPointsHome],Table2[GameDate], "&lt;=" &amp; $A112, Table2[HomeTeam], V$1)</f>
        <v>3</v>
      </c>
      <c r="W112" s="145">
        <f>SUMIFS(Table2[NewPointsAway],Table2[GameDate], "&lt;=" &amp; $A112, Table2[AwayTeam], W$1)+SUMIFS(Table2[NewPointsHome],Table2[GameDate], "&lt;=" &amp; $A112, Table2[HomeTeam], W$1)</f>
        <v>4</v>
      </c>
      <c r="X112" s="145">
        <f>SUMIFS(Table2[NewPointsAway],Table2[GameDate], "&lt;=" &amp; $A112, Table2[AwayTeam], X$1)+SUMIFS(Table2[NewPointsHome],Table2[GameDate], "&lt;=" &amp; $A112, Table2[HomeTeam], X$1)</f>
        <v>4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4</v>
      </c>
      <c r="AA112" s="145">
        <f>SUMIFS(Table2[NewPointsAway],Table2[GameDate], "&lt;=" &amp; $A112, Table2[AwayTeam], AA$1)+SUMIFS(Table2[NewPointsHome],Table2[GameDate], "&lt;=" &amp; $A112, Table2[HomeTeam], AA$1)</f>
        <v>2</v>
      </c>
      <c r="AB112" s="145">
        <f>SUMIFS(Table2[NewPointsAway],Table2[GameDate], "&lt;=" &amp; $A112, Table2[AwayTeam], AB$1)+SUMIFS(Table2[NewPointsHome],Table2[GameDate], "&lt;=" &amp; $A112, Table2[HomeTeam], AB$1)</f>
        <v>2</v>
      </c>
      <c r="AC112" s="145">
        <f>SUMIFS(Table2[NewPointsAway],Table2[GameDate], "&lt;=" &amp; $A112, Table2[AwayTeam], AC$1)+SUMIFS(Table2[NewPointsHome],Table2[GameDate], "&lt;=" &amp; $A112, Table2[HomeTeam], AC$1)</f>
        <v>2</v>
      </c>
      <c r="AD112" s="145">
        <f>SUMIFS(Table2[NewPointsAway],Table2[GameDate], "&lt;=" &amp; $A112, Table2[AwayTeam], AD$1)+SUMIFS(Table2[NewPointsHome],Table2[GameDate], "&lt;=" &amp; $A112, Table2[HomeTeam], AD$1)</f>
        <v>2</v>
      </c>
      <c r="AE112" s="145">
        <f>SUMIFS(Table2[NewPointsAway],Table2[GameDate], "&lt;=" &amp; $A112, Table2[AwayTeam], AE$1)+SUMIFS(Table2[NewPointsHome],Table2[GameDate], "&lt;=" &amp; $A112, Table2[HomeTeam], AE$1)</f>
        <v>4</v>
      </c>
      <c r="AF112" s="145">
        <f>SUMIFS(Table2[NewPointsAway],Table2[GameDate], "&lt;=" &amp; $A112, Table2[AwayTeam], AF$1)+SUMIFS(Table2[NewPointsHome],Table2[GameDate], "&lt;=" &amp; $A112, Table2[HomeTeam], AF$1)</f>
        <v>4</v>
      </c>
      <c r="AG112" s="145">
        <f>SUMIFS(Table2[NewPointsAway],Table2[GameDate], "&lt;=" &amp; $A112, Table2[AwayTeam], AG$1)+SUMIFS(Table2[NewPointsHome],Table2[GameDate], "&lt;=" &amp; $A112, Table2[HomeTeam], AG$1)</f>
        <v>4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2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0</v>
      </c>
      <c r="E113" s="145">
        <f>SUMIFS(Table2[NewPointsAway],Table2[GameDate], "&lt;=" &amp; $A113, Table2[AwayTeam], E$1)+SUMIFS(Table2[NewPointsHome],Table2[GameDate], "&lt;=" &amp; $A113, Table2[HomeTeam], E$1)</f>
        <v>4</v>
      </c>
      <c r="F113" s="145">
        <f>SUMIFS(Table2[NewPointsAway],Table2[GameDate], "&lt;=" &amp; $A113, Table2[AwayTeam], F$1)+SUMIFS(Table2[NewPointsHome],Table2[GameDate], "&lt;=" &amp; $A113, Table2[HomeTeam], F$1)</f>
        <v>2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3</v>
      </c>
      <c r="I113" s="145">
        <f>SUMIFS(Table2[NewPointsAway],Table2[GameDate], "&lt;=" &amp; $A113, Table2[AwayTeam], I$1)+SUMIFS(Table2[NewPointsHome],Table2[GameDate], "&lt;=" &amp; $A113, Table2[HomeTeam], I$1)</f>
        <v>7</v>
      </c>
      <c r="J113" s="145">
        <f>SUMIFS(Table2[NewPointsAway],Table2[GameDate], "&lt;=" &amp; $A113, Table2[AwayTeam], J$1)+SUMIFS(Table2[NewPointsHome],Table2[GameDate], "&lt;=" &amp; $A113, Table2[HomeTeam], J$1)</f>
        <v>4</v>
      </c>
      <c r="K113" s="145">
        <f>SUMIFS(Table2[NewPointsAway],Table2[GameDate], "&lt;=" &amp; $A113, Table2[AwayTeam], K$1)+SUMIFS(Table2[NewPointsHome],Table2[GameDate], "&lt;=" &amp; $A113, Table2[HomeTeam], K$1)</f>
        <v>4</v>
      </c>
      <c r="L113" s="145">
        <f>SUMIFS(Table2[NewPointsAway],Table2[GameDate], "&lt;=" &amp; $A113, Table2[AwayTeam], L$1)+SUMIFS(Table2[NewPointsHome],Table2[GameDate], "&lt;=" &amp; $A113, Table2[HomeTeam], L$1)</f>
        <v>3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3</v>
      </c>
      <c r="O113" s="145">
        <f>SUMIFS(Table2[NewPointsAway],Table2[GameDate], "&lt;=" &amp; $A113, Table2[AwayTeam], O$1)+SUMIFS(Table2[NewPointsHome],Table2[GameDate], "&lt;=" &amp; $A113, Table2[HomeTeam], O$1)</f>
        <v>4</v>
      </c>
      <c r="P113" s="145">
        <f>SUMIFS(Table2[NewPointsAway],Table2[GameDate], "&lt;=" &amp; $A113, Table2[AwayTeam], P$1)+SUMIFS(Table2[NewPointsHome],Table2[GameDate], "&lt;=" &amp; $A113, Table2[HomeTeam], P$1)</f>
        <v>4</v>
      </c>
      <c r="Q113" s="145">
        <f>SUMIFS(Table2[NewPointsAway],Table2[GameDate], "&lt;=" &amp; $A113, Table2[AwayTeam], Q$1)+SUMIFS(Table2[NewPointsHome],Table2[GameDate], "&lt;=" &amp; $A113, Table2[HomeTeam], Q$1)</f>
        <v>4</v>
      </c>
      <c r="R113" s="145">
        <f>SUMIFS(Table2[NewPointsAway],Table2[GameDate], "&lt;=" &amp; $A113, Table2[AwayTeam], R$1)+SUMIFS(Table2[NewPointsHome],Table2[GameDate], "&lt;=" &amp; $A113, Table2[HomeTeam], R$1)</f>
        <v>5</v>
      </c>
      <c r="S113" s="145">
        <f>SUMIFS(Table2[NewPointsAway],Table2[GameDate], "&lt;=" &amp; $A113, Table2[AwayTeam], S$1)+SUMIFS(Table2[NewPointsHome],Table2[GameDate], "&lt;=" &amp; $A113, Table2[HomeTeam], S$1)</f>
        <v>0</v>
      </c>
      <c r="T113" s="145">
        <f>SUMIFS(Table2[NewPointsAway],Table2[GameDate], "&lt;=" &amp; $A113, Table2[AwayTeam], T$1)+SUMIFS(Table2[NewPointsHome],Table2[GameDate], "&lt;=" &amp; $A113, Table2[HomeTeam], T$1)</f>
        <v>4</v>
      </c>
      <c r="U113" s="145">
        <f>SUMIFS(Table2[NewPointsAway],Table2[GameDate], "&lt;=" &amp; $A113, Table2[AwayTeam], U$1)+SUMIFS(Table2[NewPointsHome],Table2[GameDate], "&lt;=" &amp; $A113, Table2[HomeTeam], U$1)</f>
        <v>2</v>
      </c>
      <c r="V113" s="145">
        <f>SUMIFS(Table2[NewPointsAway],Table2[GameDate], "&lt;=" &amp; $A113, Table2[AwayTeam], V$1)+SUMIFS(Table2[NewPointsHome],Table2[GameDate], "&lt;=" &amp; $A113, Table2[HomeTeam], V$1)</f>
        <v>3</v>
      </c>
      <c r="W113" s="145">
        <f>SUMIFS(Table2[NewPointsAway],Table2[GameDate], "&lt;=" &amp; $A113, Table2[AwayTeam], W$1)+SUMIFS(Table2[NewPointsHome],Table2[GameDate], "&lt;=" &amp; $A113, Table2[HomeTeam], W$1)</f>
        <v>4</v>
      </c>
      <c r="X113" s="145">
        <f>SUMIFS(Table2[NewPointsAway],Table2[GameDate], "&lt;=" &amp; $A113, Table2[AwayTeam], X$1)+SUMIFS(Table2[NewPointsHome],Table2[GameDate], "&lt;=" &amp; $A113, Table2[HomeTeam], X$1)</f>
        <v>4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4</v>
      </c>
      <c r="AA113" s="145">
        <f>SUMIFS(Table2[NewPointsAway],Table2[GameDate], "&lt;=" &amp; $A113, Table2[AwayTeam], AA$1)+SUMIFS(Table2[NewPointsHome],Table2[GameDate], "&lt;=" &amp; $A113, Table2[HomeTeam], AA$1)</f>
        <v>2</v>
      </c>
      <c r="AB113" s="145">
        <f>SUMIFS(Table2[NewPointsAway],Table2[GameDate], "&lt;=" &amp; $A113, Table2[AwayTeam], AB$1)+SUMIFS(Table2[NewPointsHome],Table2[GameDate], "&lt;=" &amp; $A113, Table2[HomeTeam], AB$1)</f>
        <v>2</v>
      </c>
      <c r="AC113" s="145">
        <f>SUMIFS(Table2[NewPointsAway],Table2[GameDate], "&lt;=" &amp; $A113, Table2[AwayTeam], AC$1)+SUMIFS(Table2[NewPointsHome],Table2[GameDate], "&lt;=" &amp; $A113, Table2[HomeTeam], AC$1)</f>
        <v>2</v>
      </c>
      <c r="AD113" s="145">
        <f>SUMIFS(Table2[NewPointsAway],Table2[GameDate], "&lt;=" &amp; $A113, Table2[AwayTeam], AD$1)+SUMIFS(Table2[NewPointsHome],Table2[GameDate], "&lt;=" &amp; $A113, Table2[HomeTeam], AD$1)</f>
        <v>2</v>
      </c>
      <c r="AE113" s="145">
        <f>SUMIFS(Table2[NewPointsAway],Table2[GameDate], "&lt;=" &amp; $A113, Table2[AwayTeam], AE$1)+SUMIFS(Table2[NewPointsHome],Table2[GameDate], "&lt;=" &amp; $A113, Table2[HomeTeam], AE$1)</f>
        <v>4</v>
      </c>
      <c r="AF113" s="145">
        <f>SUMIFS(Table2[NewPointsAway],Table2[GameDate], "&lt;=" &amp; $A113, Table2[AwayTeam], AF$1)+SUMIFS(Table2[NewPointsHome],Table2[GameDate], "&lt;=" &amp; $A113, Table2[HomeTeam], AF$1)</f>
        <v>4</v>
      </c>
      <c r="AG113" s="145">
        <f>SUMIFS(Table2[NewPointsAway],Table2[GameDate], "&lt;=" &amp; $A113, Table2[AwayTeam], AG$1)+SUMIFS(Table2[NewPointsHome],Table2[GameDate], "&lt;=" &amp; $A113, Table2[HomeTeam], AG$1)</f>
        <v>4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2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0</v>
      </c>
      <c r="E114" s="145">
        <f>SUMIFS(Table2[NewPointsAway],Table2[GameDate], "&lt;=" &amp; $A114, Table2[AwayTeam], E$1)+SUMIFS(Table2[NewPointsHome],Table2[GameDate], "&lt;=" &amp; $A114, Table2[HomeTeam], E$1)</f>
        <v>4</v>
      </c>
      <c r="F114" s="145">
        <f>SUMIFS(Table2[NewPointsAway],Table2[GameDate], "&lt;=" &amp; $A114, Table2[AwayTeam], F$1)+SUMIFS(Table2[NewPointsHome],Table2[GameDate], "&lt;=" &amp; $A114, Table2[HomeTeam], F$1)</f>
        <v>2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3</v>
      </c>
      <c r="I114" s="145">
        <f>SUMIFS(Table2[NewPointsAway],Table2[GameDate], "&lt;=" &amp; $A114, Table2[AwayTeam], I$1)+SUMIFS(Table2[NewPointsHome],Table2[GameDate], "&lt;=" &amp; $A114, Table2[HomeTeam], I$1)</f>
        <v>7</v>
      </c>
      <c r="J114" s="145">
        <f>SUMIFS(Table2[NewPointsAway],Table2[GameDate], "&lt;=" &amp; $A114, Table2[AwayTeam], J$1)+SUMIFS(Table2[NewPointsHome],Table2[GameDate], "&lt;=" &amp; $A114, Table2[HomeTeam], J$1)</f>
        <v>4</v>
      </c>
      <c r="K114" s="145">
        <f>SUMIFS(Table2[NewPointsAway],Table2[GameDate], "&lt;=" &amp; $A114, Table2[AwayTeam], K$1)+SUMIFS(Table2[NewPointsHome],Table2[GameDate], "&lt;=" &amp; $A114, Table2[HomeTeam], K$1)</f>
        <v>4</v>
      </c>
      <c r="L114" s="145">
        <f>SUMIFS(Table2[NewPointsAway],Table2[GameDate], "&lt;=" &amp; $A114, Table2[AwayTeam], L$1)+SUMIFS(Table2[NewPointsHome],Table2[GameDate], "&lt;=" &amp; $A114, Table2[HomeTeam], L$1)</f>
        <v>3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3</v>
      </c>
      <c r="O114" s="145">
        <f>SUMIFS(Table2[NewPointsAway],Table2[GameDate], "&lt;=" &amp; $A114, Table2[AwayTeam], O$1)+SUMIFS(Table2[NewPointsHome],Table2[GameDate], "&lt;=" &amp; $A114, Table2[HomeTeam], O$1)</f>
        <v>4</v>
      </c>
      <c r="P114" s="145">
        <f>SUMIFS(Table2[NewPointsAway],Table2[GameDate], "&lt;=" &amp; $A114, Table2[AwayTeam], P$1)+SUMIFS(Table2[NewPointsHome],Table2[GameDate], "&lt;=" &amp; $A114, Table2[HomeTeam], P$1)</f>
        <v>4</v>
      </c>
      <c r="Q114" s="145">
        <f>SUMIFS(Table2[NewPointsAway],Table2[GameDate], "&lt;=" &amp; $A114, Table2[AwayTeam], Q$1)+SUMIFS(Table2[NewPointsHome],Table2[GameDate], "&lt;=" &amp; $A114, Table2[HomeTeam], Q$1)</f>
        <v>4</v>
      </c>
      <c r="R114" s="145">
        <f>SUMIFS(Table2[NewPointsAway],Table2[GameDate], "&lt;=" &amp; $A114, Table2[AwayTeam], R$1)+SUMIFS(Table2[NewPointsHome],Table2[GameDate], "&lt;=" &amp; $A114, Table2[HomeTeam], R$1)</f>
        <v>5</v>
      </c>
      <c r="S114" s="145">
        <f>SUMIFS(Table2[NewPointsAway],Table2[GameDate], "&lt;=" &amp; $A114, Table2[AwayTeam], S$1)+SUMIFS(Table2[NewPointsHome],Table2[GameDate], "&lt;=" &amp; $A114, Table2[HomeTeam], S$1)</f>
        <v>0</v>
      </c>
      <c r="T114" s="145">
        <f>SUMIFS(Table2[NewPointsAway],Table2[GameDate], "&lt;=" &amp; $A114, Table2[AwayTeam], T$1)+SUMIFS(Table2[NewPointsHome],Table2[GameDate], "&lt;=" &amp; $A114, Table2[HomeTeam], T$1)</f>
        <v>4</v>
      </c>
      <c r="U114" s="145">
        <f>SUMIFS(Table2[NewPointsAway],Table2[GameDate], "&lt;=" &amp; $A114, Table2[AwayTeam], U$1)+SUMIFS(Table2[NewPointsHome],Table2[GameDate], "&lt;=" &amp; $A114, Table2[HomeTeam], U$1)</f>
        <v>2</v>
      </c>
      <c r="V114" s="145">
        <f>SUMIFS(Table2[NewPointsAway],Table2[GameDate], "&lt;=" &amp; $A114, Table2[AwayTeam], V$1)+SUMIFS(Table2[NewPointsHome],Table2[GameDate], "&lt;=" &amp; $A114, Table2[HomeTeam], V$1)</f>
        <v>3</v>
      </c>
      <c r="W114" s="145">
        <f>SUMIFS(Table2[NewPointsAway],Table2[GameDate], "&lt;=" &amp; $A114, Table2[AwayTeam], W$1)+SUMIFS(Table2[NewPointsHome],Table2[GameDate], "&lt;=" &amp; $A114, Table2[HomeTeam], W$1)</f>
        <v>4</v>
      </c>
      <c r="X114" s="145">
        <f>SUMIFS(Table2[NewPointsAway],Table2[GameDate], "&lt;=" &amp; $A114, Table2[AwayTeam], X$1)+SUMIFS(Table2[NewPointsHome],Table2[GameDate], "&lt;=" &amp; $A114, Table2[HomeTeam], X$1)</f>
        <v>4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4</v>
      </c>
      <c r="AA114" s="145">
        <f>SUMIFS(Table2[NewPointsAway],Table2[GameDate], "&lt;=" &amp; $A114, Table2[AwayTeam], AA$1)+SUMIFS(Table2[NewPointsHome],Table2[GameDate], "&lt;=" &amp; $A114, Table2[HomeTeam], AA$1)</f>
        <v>2</v>
      </c>
      <c r="AB114" s="145">
        <f>SUMIFS(Table2[NewPointsAway],Table2[GameDate], "&lt;=" &amp; $A114, Table2[AwayTeam], AB$1)+SUMIFS(Table2[NewPointsHome],Table2[GameDate], "&lt;=" &amp; $A114, Table2[HomeTeam], AB$1)</f>
        <v>2</v>
      </c>
      <c r="AC114" s="145">
        <f>SUMIFS(Table2[NewPointsAway],Table2[GameDate], "&lt;=" &amp; $A114, Table2[AwayTeam], AC$1)+SUMIFS(Table2[NewPointsHome],Table2[GameDate], "&lt;=" &amp; $A114, Table2[HomeTeam], AC$1)</f>
        <v>2</v>
      </c>
      <c r="AD114" s="145">
        <f>SUMIFS(Table2[NewPointsAway],Table2[GameDate], "&lt;=" &amp; $A114, Table2[AwayTeam], AD$1)+SUMIFS(Table2[NewPointsHome],Table2[GameDate], "&lt;=" &amp; $A114, Table2[HomeTeam], AD$1)</f>
        <v>2</v>
      </c>
      <c r="AE114" s="145">
        <f>SUMIFS(Table2[NewPointsAway],Table2[GameDate], "&lt;=" &amp; $A114, Table2[AwayTeam], AE$1)+SUMIFS(Table2[NewPointsHome],Table2[GameDate], "&lt;=" &amp; $A114, Table2[HomeTeam], AE$1)</f>
        <v>4</v>
      </c>
      <c r="AF114" s="145">
        <f>SUMIFS(Table2[NewPointsAway],Table2[GameDate], "&lt;=" &amp; $A114, Table2[AwayTeam], AF$1)+SUMIFS(Table2[NewPointsHome],Table2[GameDate], "&lt;=" &amp; $A114, Table2[HomeTeam], AF$1)</f>
        <v>4</v>
      </c>
      <c r="AG114" s="145">
        <f>SUMIFS(Table2[NewPointsAway],Table2[GameDate], "&lt;=" &amp; $A114, Table2[AwayTeam], AG$1)+SUMIFS(Table2[NewPointsHome],Table2[GameDate], "&lt;=" &amp; $A114, Table2[HomeTeam], AG$1)</f>
        <v>4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2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0</v>
      </c>
      <c r="E115" s="145">
        <f>SUMIFS(Table2[NewPointsAway],Table2[GameDate], "&lt;=" &amp; $A115, Table2[AwayTeam], E$1)+SUMIFS(Table2[NewPointsHome],Table2[GameDate], "&lt;=" &amp; $A115, Table2[HomeTeam], E$1)</f>
        <v>4</v>
      </c>
      <c r="F115" s="145">
        <f>SUMIFS(Table2[NewPointsAway],Table2[GameDate], "&lt;=" &amp; $A115, Table2[AwayTeam], F$1)+SUMIFS(Table2[NewPointsHome],Table2[GameDate], "&lt;=" &amp; $A115, Table2[HomeTeam], F$1)</f>
        <v>2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3</v>
      </c>
      <c r="I115" s="145">
        <f>SUMIFS(Table2[NewPointsAway],Table2[GameDate], "&lt;=" &amp; $A115, Table2[AwayTeam], I$1)+SUMIFS(Table2[NewPointsHome],Table2[GameDate], "&lt;=" &amp; $A115, Table2[HomeTeam], I$1)</f>
        <v>7</v>
      </c>
      <c r="J115" s="145">
        <f>SUMIFS(Table2[NewPointsAway],Table2[GameDate], "&lt;=" &amp; $A115, Table2[AwayTeam], J$1)+SUMIFS(Table2[NewPointsHome],Table2[GameDate], "&lt;=" &amp; $A115, Table2[HomeTeam], J$1)</f>
        <v>4</v>
      </c>
      <c r="K115" s="145">
        <f>SUMIFS(Table2[NewPointsAway],Table2[GameDate], "&lt;=" &amp; $A115, Table2[AwayTeam], K$1)+SUMIFS(Table2[NewPointsHome],Table2[GameDate], "&lt;=" &amp; $A115, Table2[HomeTeam], K$1)</f>
        <v>4</v>
      </c>
      <c r="L115" s="145">
        <f>SUMIFS(Table2[NewPointsAway],Table2[GameDate], "&lt;=" &amp; $A115, Table2[AwayTeam], L$1)+SUMIFS(Table2[NewPointsHome],Table2[GameDate], "&lt;=" &amp; $A115, Table2[HomeTeam], L$1)</f>
        <v>3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3</v>
      </c>
      <c r="O115" s="145">
        <f>SUMIFS(Table2[NewPointsAway],Table2[GameDate], "&lt;=" &amp; $A115, Table2[AwayTeam], O$1)+SUMIFS(Table2[NewPointsHome],Table2[GameDate], "&lt;=" &amp; $A115, Table2[HomeTeam], O$1)</f>
        <v>4</v>
      </c>
      <c r="P115" s="145">
        <f>SUMIFS(Table2[NewPointsAway],Table2[GameDate], "&lt;=" &amp; $A115, Table2[AwayTeam], P$1)+SUMIFS(Table2[NewPointsHome],Table2[GameDate], "&lt;=" &amp; $A115, Table2[HomeTeam], P$1)</f>
        <v>4</v>
      </c>
      <c r="Q115" s="145">
        <f>SUMIFS(Table2[NewPointsAway],Table2[GameDate], "&lt;=" &amp; $A115, Table2[AwayTeam], Q$1)+SUMIFS(Table2[NewPointsHome],Table2[GameDate], "&lt;=" &amp; $A115, Table2[HomeTeam], Q$1)</f>
        <v>4</v>
      </c>
      <c r="R115" s="145">
        <f>SUMIFS(Table2[NewPointsAway],Table2[GameDate], "&lt;=" &amp; $A115, Table2[AwayTeam], R$1)+SUMIFS(Table2[NewPointsHome],Table2[GameDate], "&lt;=" &amp; $A115, Table2[HomeTeam], R$1)</f>
        <v>5</v>
      </c>
      <c r="S115" s="145">
        <f>SUMIFS(Table2[NewPointsAway],Table2[GameDate], "&lt;=" &amp; $A115, Table2[AwayTeam], S$1)+SUMIFS(Table2[NewPointsHome],Table2[GameDate], "&lt;=" &amp; $A115, Table2[HomeTeam], S$1)</f>
        <v>0</v>
      </c>
      <c r="T115" s="145">
        <f>SUMIFS(Table2[NewPointsAway],Table2[GameDate], "&lt;=" &amp; $A115, Table2[AwayTeam], T$1)+SUMIFS(Table2[NewPointsHome],Table2[GameDate], "&lt;=" &amp; $A115, Table2[HomeTeam], T$1)</f>
        <v>4</v>
      </c>
      <c r="U115" s="145">
        <f>SUMIFS(Table2[NewPointsAway],Table2[GameDate], "&lt;=" &amp; $A115, Table2[AwayTeam], U$1)+SUMIFS(Table2[NewPointsHome],Table2[GameDate], "&lt;=" &amp; $A115, Table2[HomeTeam], U$1)</f>
        <v>2</v>
      </c>
      <c r="V115" s="145">
        <f>SUMIFS(Table2[NewPointsAway],Table2[GameDate], "&lt;=" &amp; $A115, Table2[AwayTeam], V$1)+SUMIFS(Table2[NewPointsHome],Table2[GameDate], "&lt;=" &amp; $A115, Table2[HomeTeam], V$1)</f>
        <v>3</v>
      </c>
      <c r="W115" s="145">
        <f>SUMIFS(Table2[NewPointsAway],Table2[GameDate], "&lt;=" &amp; $A115, Table2[AwayTeam], W$1)+SUMIFS(Table2[NewPointsHome],Table2[GameDate], "&lt;=" &amp; $A115, Table2[HomeTeam], W$1)</f>
        <v>4</v>
      </c>
      <c r="X115" s="145">
        <f>SUMIFS(Table2[NewPointsAway],Table2[GameDate], "&lt;=" &amp; $A115, Table2[AwayTeam], X$1)+SUMIFS(Table2[NewPointsHome],Table2[GameDate], "&lt;=" &amp; $A115, Table2[HomeTeam], X$1)</f>
        <v>4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4</v>
      </c>
      <c r="AA115" s="145">
        <f>SUMIFS(Table2[NewPointsAway],Table2[GameDate], "&lt;=" &amp; $A115, Table2[AwayTeam], AA$1)+SUMIFS(Table2[NewPointsHome],Table2[GameDate], "&lt;=" &amp; $A115, Table2[HomeTeam], AA$1)</f>
        <v>2</v>
      </c>
      <c r="AB115" s="145">
        <f>SUMIFS(Table2[NewPointsAway],Table2[GameDate], "&lt;=" &amp; $A115, Table2[AwayTeam], AB$1)+SUMIFS(Table2[NewPointsHome],Table2[GameDate], "&lt;=" &amp; $A115, Table2[HomeTeam], AB$1)</f>
        <v>2</v>
      </c>
      <c r="AC115" s="145">
        <f>SUMIFS(Table2[NewPointsAway],Table2[GameDate], "&lt;=" &amp; $A115, Table2[AwayTeam], AC$1)+SUMIFS(Table2[NewPointsHome],Table2[GameDate], "&lt;=" &amp; $A115, Table2[HomeTeam], AC$1)</f>
        <v>2</v>
      </c>
      <c r="AD115" s="145">
        <f>SUMIFS(Table2[NewPointsAway],Table2[GameDate], "&lt;=" &amp; $A115, Table2[AwayTeam], AD$1)+SUMIFS(Table2[NewPointsHome],Table2[GameDate], "&lt;=" &amp; $A115, Table2[HomeTeam], AD$1)</f>
        <v>2</v>
      </c>
      <c r="AE115" s="145">
        <f>SUMIFS(Table2[NewPointsAway],Table2[GameDate], "&lt;=" &amp; $A115, Table2[AwayTeam], AE$1)+SUMIFS(Table2[NewPointsHome],Table2[GameDate], "&lt;=" &amp; $A115, Table2[HomeTeam], AE$1)</f>
        <v>4</v>
      </c>
      <c r="AF115" s="145">
        <f>SUMIFS(Table2[NewPointsAway],Table2[GameDate], "&lt;=" &amp; $A115, Table2[AwayTeam], AF$1)+SUMIFS(Table2[NewPointsHome],Table2[GameDate], "&lt;=" &amp; $A115, Table2[HomeTeam], AF$1)</f>
        <v>4</v>
      </c>
      <c r="AG115" s="145">
        <f>SUMIFS(Table2[NewPointsAway],Table2[GameDate], "&lt;=" &amp; $A115, Table2[AwayTeam], AG$1)+SUMIFS(Table2[NewPointsHome],Table2[GameDate], "&lt;=" &amp; $A115, Table2[HomeTeam], AG$1)</f>
        <v>4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2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0</v>
      </c>
      <c r="E116" s="145">
        <f>SUMIFS(Table2[NewPointsAway],Table2[GameDate], "&lt;=" &amp; $A116, Table2[AwayTeam], E$1)+SUMIFS(Table2[NewPointsHome],Table2[GameDate], "&lt;=" &amp; $A116, Table2[HomeTeam], E$1)</f>
        <v>4</v>
      </c>
      <c r="F116" s="145">
        <f>SUMIFS(Table2[NewPointsAway],Table2[GameDate], "&lt;=" &amp; $A116, Table2[AwayTeam], F$1)+SUMIFS(Table2[NewPointsHome],Table2[GameDate], "&lt;=" &amp; $A116, Table2[HomeTeam], F$1)</f>
        <v>2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3</v>
      </c>
      <c r="I116" s="145">
        <f>SUMIFS(Table2[NewPointsAway],Table2[GameDate], "&lt;=" &amp; $A116, Table2[AwayTeam], I$1)+SUMIFS(Table2[NewPointsHome],Table2[GameDate], "&lt;=" &amp; $A116, Table2[HomeTeam], I$1)</f>
        <v>7</v>
      </c>
      <c r="J116" s="145">
        <f>SUMIFS(Table2[NewPointsAway],Table2[GameDate], "&lt;=" &amp; $A116, Table2[AwayTeam], J$1)+SUMIFS(Table2[NewPointsHome],Table2[GameDate], "&lt;=" &amp; $A116, Table2[HomeTeam], J$1)</f>
        <v>4</v>
      </c>
      <c r="K116" s="145">
        <f>SUMIFS(Table2[NewPointsAway],Table2[GameDate], "&lt;=" &amp; $A116, Table2[AwayTeam], K$1)+SUMIFS(Table2[NewPointsHome],Table2[GameDate], "&lt;=" &amp; $A116, Table2[HomeTeam], K$1)</f>
        <v>4</v>
      </c>
      <c r="L116" s="145">
        <f>SUMIFS(Table2[NewPointsAway],Table2[GameDate], "&lt;=" &amp; $A116, Table2[AwayTeam], L$1)+SUMIFS(Table2[NewPointsHome],Table2[GameDate], "&lt;=" &amp; $A116, Table2[HomeTeam], L$1)</f>
        <v>3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3</v>
      </c>
      <c r="O116" s="145">
        <f>SUMIFS(Table2[NewPointsAway],Table2[GameDate], "&lt;=" &amp; $A116, Table2[AwayTeam], O$1)+SUMIFS(Table2[NewPointsHome],Table2[GameDate], "&lt;=" &amp; $A116, Table2[HomeTeam], O$1)</f>
        <v>4</v>
      </c>
      <c r="P116" s="145">
        <f>SUMIFS(Table2[NewPointsAway],Table2[GameDate], "&lt;=" &amp; $A116, Table2[AwayTeam], P$1)+SUMIFS(Table2[NewPointsHome],Table2[GameDate], "&lt;=" &amp; $A116, Table2[HomeTeam], P$1)</f>
        <v>4</v>
      </c>
      <c r="Q116" s="145">
        <f>SUMIFS(Table2[NewPointsAway],Table2[GameDate], "&lt;=" &amp; $A116, Table2[AwayTeam], Q$1)+SUMIFS(Table2[NewPointsHome],Table2[GameDate], "&lt;=" &amp; $A116, Table2[HomeTeam], Q$1)</f>
        <v>4</v>
      </c>
      <c r="R116" s="145">
        <f>SUMIFS(Table2[NewPointsAway],Table2[GameDate], "&lt;=" &amp; $A116, Table2[AwayTeam], R$1)+SUMIFS(Table2[NewPointsHome],Table2[GameDate], "&lt;=" &amp; $A116, Table2[HomeTeam], R$1)</f>
        <v>5</v>
      </c>
      <c r="S116" s="145">
        <f>SUMIFS(Table2[NewPointsAway],Table2[GameDate], "&lt;=" &amp; $A116, Table2[AwayTeam], S$1)+SUMIFS(Table2[NewPointsHome],Table2[GameDate], "&lt;=" &amp; $A116, Table2[HomeTeam], S$1)</f>
        <v>0</v>
      </c>
      <c r="T116" s="145">
        <f>SUMIFS(Table2[NewPointsAway],Table2[GameDate], "&lt;=" &amp; $A116, Table2[AwayTeam], T$1)+SUMIFS(Table2[NewPointsHome],Table2[GameDate], "&lt;=" &amp; $A116, Table2[HomeTeam], T$1)</f>
        <v>4</v>
      </c>
      <c r="U116" s="145">
        <f>SUMIFS(Table2[NewPointsAway],Table2[GameDate], "&lt;=" &amp; $A116, Table2[AwayTeam], U$1)+SUMIFS(Table2[NewPointsHome],Table2[GameDate], "&lt;=" &amp; $A116, Table2[HomeTeam], U$1)</f>
        <v>2</v>
      </c>
      <c r="V116" s="145">
        <f>SUMIFS(Table2[NewPointsAway],Table2[GameDate], "&lt;=" &amp; $A116, Table2[AwayTeam], V$1)+SUMIFS(Table2[NewPointsHome],Table2[GameDate], "&lt;=" &amp; $A116, Table2[HomeTeam], V$1)</f>
        <v>3</v>
      </c>
      <c r="W116" s="145">
        <f>SUMIFS(Table2[NewPointsAway],Table2[GameDate], "&lt;=" &amp; $A116, Table2[AwayTeam], W$1)+SUMIFS(Table2[NewPointsHome],Table2[GameDate], "&lt;=" &amp; $A116, Table2[HomeTeam], W$1)</f>
        <v>4</v>
      </c>
      <c r="X116" s="145">
        <f>SUMIFS(Table2[NewPointsAway],Table2[GameDate], "&lt;=" &amp; $A116, Table2[AwayTeam], X$1)+SUMIFS(Table2[NewPointsHome],Table2[GameDate], "&lt;=" &amp; $A116, Table2[HomeTeam], X$1)</f>
        <v>4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4</v>
      </c>
      <c r="AA116" s="145">
        <f>SUMIFS(Table2[NewPointsAway],Table2[GameDate], "&lt;=" &amp; $A116, Table2[AwayTeam], AA$1)+SUMIFS(Table2[NewPointsHome],Table2[GameDate], "&lt;=" &amp; $A116, Table2[HomeTeam], AA$1)</f>
        <v>2</v>
      </c>
      <c r="AB116" s="145">
        <f>SUMIFS(Table2[NewPointsAway],Table2[GameDate], "&lt;=" &amp; $A116, Table2[AwayTeam], AB$1)+SUMIFS(Table2[NewPointsHome],Table2[GameDate], "&lt;=" &amp; $A116, Table2[HomeTeam], AB$1)</f>
        <v>2</v>
      </c>
      <c r="AC116" s="145">
        <f>SUMIFS(Table2[NewPointsAway],Table2[GameDate], "&lt;=" &amp; $A116, Table2[AwayTeam], AC$1)+SUMIFS(Table2[NewPointsHome],Table2[GameDate], "&lt;=" &amp; $A116, Table2[HomeTeam], AC$1)</f>
        <v>2</v>
      </c>
      <c r="AD116" s="145">
        <f>SUMIFS(Table2[NewPointsAway],Table2[GameDate], "&lt;=" &amp; $A116, Table2[AwayTeam], AD$1)+SUMIFS(Table2[NewPointsHome],Table2[GameDate], "&lt;=" &amp; $A116, Table2[HomeTeam], AD$1)</f>
        <v>2</v>
      </c>
      <c r="AE116" s="145">
        <f>SUMIFS(Table2[NewPointsAway],Table2[GameDate], "&lt;=" &amp; $A116, Table2[AwayTeam], AE$1)+SUMIFS(Table2[NewPointsHome],Table2[GameDate], "&lt;=" &amp; $A116, Table2[HomeTeam], AE$1)</f>
        <v>4</v>
      </c>
      <c r="AF116" s="145">
        <f>SUMIFS(Table2[NewPointsAway],Table2[GameDate], "&lt;=" &amp; $A116, Table2[AwayTeam], AF$1)+SUMIFS(Table2[NewPointsHome],Table2[GameDate], "&lt;=" &amp; $A116, Table2[HomeTeam], AF$1)</f>
        <v>4</v>
      </c>
      <c r="AG116" s="145">
        <f>SUMIFS(Table2[NewPointsAway],Table2[GameDate], "&lt;=" &amp; $A116, Table2[AwayTeam], AG$1)+SUMIFS(Table2[NewPointsHome],Table2[GameDate], "&lt;=" &amp; $A116, Table2[HomeTeam], AG$1)</f>
        <v>4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2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0</v>
      </c>
      <c r="E117" s="145">
        <f>SUMIFS(Table2[NewPointsAway],Table2[GameDate], "&lt;=" &amp; $A117, Table2[AwayTeam], E$1)+SUMIFS(Table2[NewPointsHome],Table2[GameDate], "&lt;=" &amp; $A117, Table2[HomeTeam], E$1)</f>
        <v>4</v>
      </c>
      <c r="F117" s="145">
        <f>SUMIFS(Table2[NewPointsAway],Table2[GameDate], "&lt;=" &amp; $A117, Table2[AwayTeam], F$1)+SUMIFS(Table2[NewPointsHome],Table2[GameDate], "&lt;=" &amp; $A117, Table2[HomeTeam], F$1)</f>
        <v>2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3</v>
      </c>
      <c r="I117" s="145">
        <f>SUMIFS(Table2[NewPointsAway],Table2[GameDate], "&lt;=" &amp; $A117, Table2[AwayTeam], I$1)+SUMIFS(Table2[NewPointsHome],Table2[GameDate], "&lt;=" &amp; $A117, Table2[HomeTeam], I$1)</f>
        <v>7</v>
      </c>
      <c r="J117" s="145">
        <f>SUMIFS(Table2[NewPointsAway],Table2[GameDate], "&lt;=" &amp; $A117, Table2[AwayTeam], J$1)+SUMIFS(Table2[NewPointsHome],Table2[GameDate], "&lt;=" &amp; $A117, Table2[HomeTeam], J$1)</f>
        <v>4</v>
      </c>
      <c r="K117" s="145">
        <f>SUMIFS(Table2[NewPointsAway],Table2[GameDate], "&lt;=" &amp; $A117, Table2[AwayTeam], K$1)+SUMIFS(Table2[NewPointsHome],Table2[GameDate], "&lt;=" &amp; $A117, Table2[HomeTeam], K$1)</f>
        <v>4</v>
      </c>
      <c r="L117" s="145">
        <f>SUMIFS(Table2[NewPointsAway],Table2[GameDate], "&lt;=" &amp; $A117, Table2[AwayTeam], L$1)+SUMIFS(Table2[NewPointsHome],Table2[GameDate], "&lt;=" &amp; $A117, Table2[HomeTeam], L$1)</f>
        <v>3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3</v>
      </c>
      <c r="O117" s="145">
        <f>SUMIFS(Table2[NewPointsAway],Table2[GameDate], "&lt;=" &amp; $A117, Table2[AwayTeam], O$1)+SUMIFS(Table2[NewPointsHome],Table2[GameDate], "&lt;=" &amp; $A117, Table2[HomeTeam], O$1)</f>
        <v>4</v>
      </c>
      <c r="P117" s="145">
        <f>SUMIFS(Table2[NewPointsAway],Table2[GameDate], "&lt;=" &amp; $A117, Table2[AwayTeam], P$1)+SUMIFS(Table2[NewPointsHome],Table2[GameDate], "&lt;=" &amp; $A117, Table2[HomeTeam], P$1)</f>
        <v>4</v>
      </c>
      <c r="Q117" s="145">
        <f>SUMIFS(Table2[NewPointsAway],Table2[GameDate], "&lt;=" &amp; $A117, Table2[AwayTeam], Q$1)+SUMIFS(Table2[NewPointsHome],Table2[GameDate], "&lt;=" &amp; $A117, Table2[HomeTeam], Q$1)</f>
        <v>4</v>
      </c>
      <c r="R117" s="145">
        <f>SUMIFS(Table2[NewPointsAway],Table2[GameDate], "&lt;=" &amp; $A117, Table2[AwayTeam], R$1)+SUMIFS(Table2[NewPointsHome],Table2[GameDate], "&lt;=" &amp; $A117, Table2[HomeTeam], R$1)</f>
        <v>5</v>
      </c>
      <c r="S117" s="145">
        <f>SUMIFS(Table2[NewPointsAway],Table2[GameDate], "&lt;=" &amp; $A117, Table2[AwayTeam], S$1)+SUMIFS(Table2[NewPointsHome],Table2[GameDate], "&lt;=" &amp; $A117, Table2[HomeTeam], S$1)</f>
        <v>0</v>
      </c>
      <c r="T117" s="145">
        <f>SUMIFS(Table2[NewPointsAway],Table2[GameDate], "&lt;=" &amp; $A117, Table2[AwayTeam], T$1)+SUMIFS(Table2[NewPointsHome],Table2[GameDate], "&lt;=" &amp; $A117, Table2[HomeTeam], T$1)</f>
        <v>4</v>
      </c>
      <c r="U117" s="145">
        <f>SUMIFS(Table2[NewPointsAway],Table2[GameDate], "&lt;=" &amp; $A117, Table2[AwayTeam], U$1)+SUMIFS(Table2[NewPointsHome],Table2[GameDate], "&lt;=" &amp; $A117, Table2[HomeTeam], U$1)</f>
        <v>2</v>
      </c>
      <c r="V117" s="145">
        <f>SUMIFS(Table2[NewPointsAway],Table2[GameDate], "&lt;=" &amp; $A117, Table2[AwayTeam], V$1)+SUMIFS(Table2[NewPointsHome],Table2[GameDate], "&lt;=" &amp; $A117, Table2[HomeTeam], V$1)</f>
        <v>3</v>
      </c>
      <c r="W117" s="145">
        <f>SUMIFS(Table2[NewPointsAway],Table2[GameDate], "&lt;=" &amp; $A117, Table2[AwayTeam], W$1)+SUMIFS(Table2[NewPointsHome],Table2[GameDate], "&lt;=" &amp; $A117, Table2[HomeTeam], W$1)</f>
        <v>4</v>
      </c>
      <c r="X117" s="145">
        <f>SUMIFS(Table2[NewPointsAway],Table2[GameDate], "&lt;=" &amp; $A117, Table2[AwayTeam], X$1)+SUMIFS(Table2[NewPointsHome],Table2[GameDate], "&lt;=" &amp; $A117, Table2[HomeTeam], X$1)</f>
        <v>4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4</v>
      </c>
      <c r="AA117" s="145">
        <f>SUMIFS(Table2[NewPointsAway],Table2[GameDate], "&lt;=" &amp; $A117, Table2[AwayTeam], AA$1)+SUMIFS(Table2[NewPointsHome],Table2[GameDate], "&lt;=" &amp; $A117, Table2[HomeTeam], AA$1)</f>
        <v>2</v>
      </c>
      <c r="AB117" s="145">
        <f>SUMIFS(Table2[NewPointsAway],Table2[GameDate], "&lt;=" &amp; $A117, Table2[AwayTeam], AB$1)+SUMIFS(Table2[NewPointsHome],Table2[GameDate], "&lt;=" &amp; $A117, Table2[HomeTeam], AB$1)</f>
        <v>2</v>
      </c>
      <c r="AC117" s="145">
        <f>SUMIFS(Table2[NewPointsAway],Table2[GameDate], "&lt;=" &amp; $A117, Table2[AwayTeam], AC$1)+SUMIFS(Table2[NewPointsHome],Table2[GameDate], "&lt;=" &amp; $A117, Table2[HomeTeam], AC$1)</f>
        <v>2</v>
      </c>
      <c r="AD117" s="145">
        <f>SUMIFS(Table2[NewPointsAway],Table2[GameDate], "&lt;=" &amp; $A117, Table2[AwayTeam], AD$1)+SUMIFS(Table2[NewPointsHome],Table2[GameDate], "&lt;=" &amp; $A117, Table2[HomeTeam], AD$1)</f>
        <v>2</v>
      </c>
      <c r="AE117" s="145">
        <f>SUMIFS(Table2[NewPointsAway],Table2[GameDate], "&lt;=" &amp; $A117, Table2[AwayTeam], AE$1)+SUMIFS(Table2[NewPointsHome],Table2[GameDate], "&lt;=" &amp; $A117, Table2[HomeTeam], AE$1)</f>
        <v>4</v>
      </c>
      <c r="AF117" s="145">
        <f>SUMIFS(Table2[NewPointsAway],Table2[GameDate], "&lt;=" &amp; $A117, Table2[AwayTeam], AF$1)+SUMIFS(Table2[NewPointsHome],Table2[GameDate], "&lt;=" &amp; $A117, Table2[HomeTeam], AF$1)</f>
        <v>4</v>
      </c>
      <c r="AG117" s="145">
        <f>SUMIFS(Table2[NewPointsAway],Table2[GameDate], "&lt;=" &amp; $A117, Table2[AwayTeam], AG$1)+SUMIFS(Table2[NewPointsHome],Table2[GameDate], "&lt;=" &amp; $A117, Table2[HomeTeam], AG$1)</f>
        <v>4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2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0</v>
      </c>
      <c r="E118" s="145">
        <f>SUMIFS(Table2[NewPointsAway],Table2[GameDate], "&lt;=" &amp; $A118, Table2[AwayTeam], E$1)+SUMIFS(Table2[NewPointsHome],Table2[GameDate], "&lt;=" &amp; $A118, Table2[HomeTeam], E$1)</f>
        <v>4</v>
      </c>
      <c r="F118" s="145">
        <f>SUMIFS(Table2[NewPointsAway],Table2[GameDate], "&lt;=" &amp; $A118, Table2[AwayTeam], F$1)+SUMIFS(Table2[NewPointsHome],Table2[GameDate], "&lt;=" &amp; $A118, Table2[HomeTeam], F$1)</f>
        <v>2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3</v>
      </c>
      <c r="I118" s="145">
        <f>SUMIFS(Table2[NewPointsAway],Table2[GameDate], "&lt;=" &amp; $A118, Table2[AwayTeam], I$1)+SUMIFS(Table2[NewPointsHome],Table2[GameDate], "&lt;=" &amp; $A118, Table2[HomeTeam], I$1)</f>
        <v>7</v>
      </c>
      <c r="J118" s="145">
        <f>SUMIFS(Table2[NewPointsAway],Table2[GameDate], "&lt;=" &amp; $A118, Table2[AwayTeam], J$1)+SUMIFS(Table2[NewPointsHome],Table2[GameDate], "&lt;=" &amp; $A118, Table2[HomeTeam], J$1)</f>
        <v>4</v>
      </c>
      <c r="K118" s="145">
        <f>SUMIFS(Table2[NewPointsAway],Table2[GameDate], "&lt;=" &amp; $A118, Table2[AwayTeam], K$1)+SUMIFS(Table2[NewPointsHome],Table2[GameDate], "&lt;=" &amp; $A118, Table2[HomeTeam], K$1)</f>
        <v>4</v>
      </c>
      <c r="L118" s="145">
        <f>SUMIFS(Table2[NewPointsAway],Table2[GameDate], "&lt;=" &amp; $A118, Table2[AwayTeam], L$1)+SUMIFS(Table2[NewPointsHome],Table2[GameDate], "&lt;=" &amp; $A118, Table2[HomeTeam], L$1)</f>
        <v>3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3</v>
      </c>
      <c r="O118" s="145">
        <f>SUMIFS(Table2[NewPointsAway],Table2[GameDate], "&lt;=" &amp; $A118, Table2[AwayTeam], O$1)+SUMIFS(Table2[NewPointsHome],Table2[GameDate], "&lt;=" &amp; $A118, Table2[HomeTeam], O$1)</f>
        <v>4</v>
      </c>
      <c r="P118" s="145">
        <f>SUMIFS(Table2[NewPointsAway],Table2[GameDate], "&lt;=" &amp; $A118, Table2[AwayTeam], P$1)+SUMIFS(Table2[NewPointsHome],Table2[GameDate], "&lt;=" &amp; $A118, Table2[HomeTeam], P$1)</f>
        <v>4</v>
      </c>
      <c r="Q118" s="145">
        <f>SUMIFS(Table2[NewPointsAway],Table2[GameDate], "&lt;=" &amp; $A118, Table2[AwayTeam], Q$1)+SUMIFS(Table2[NewPointsHome],Table2[GameDate], "&lt;=" &amp; $A118, Table2[HomeTeam], Q$1)</f>
        <v>4</v>
      </c>
      <c r="R118" s="145">
        <f>SUMIFS(Table2[NewPointsAway],Table2[GameDate], "&lt;=" &amp; $A118, Table2[AwayTeam], R$1)+SUMIFS(Table2[NewPointsHome],Table2[GameDate], "&lt;=" &amp; $A118, Table2[HomeTeam], R$1)</f>
        <v>5</v>
      </c>
      <c r="S118" s="145">
        <f>SUMIFS(Table2[NewPointsAway],Table2[GameDate], "&lt;=" &amp; $A118, Table2[AwayTeam], S$1)+SUMIFS(Table2[NewPointsHome],Table2[GameDate], "&lt;=" &amp; $A118, Table2[HomeTeam], S$1)</f>
        <v>0</v>
      </c>
      <c r="T118" s="145">
        <f>SUMIFS(Table2[NewPointsAway],Table2[GameDate], "&lt;=" &amp; $A118, Table2[AwayTeam], T$1)+SUMIFS(Table2[NewPointsHome],Table2[GameDate], "&lt;=" &amp; $A118, Table2[HomeTeam], T$1)</f>
        <v>4</v>
      </c>
      <c r="U118" s="145">
        <f>SUMIFS(Table2[NewPointsAway],Table2[GameDate], "&lt;=" &amp; $A118, Table2[AwayTeam], U$1)+SUMIFS(Table2[NewPointsHome],Table2[GameDate], "&lt;=" &amp; $A118, Table2[HomeTeam], U$1)</f>
        <v>2</v>
      </c>
      <c r="V118" s="145">
        <f>SUMIFS(Table2[NewPointsAway],Table2[GameDate], "&lt;=" &amp; $A118, Table2[AwayTeam], V$1)+SUMIFS(Table2[NewPointsHome],Table2[GameDate], "&lt;=" &amp; $A118, Table2[HomeTeam], V$1)</f>
        <v>3</v>
      </c>
      <c r="W118" s="145">
        <f>SUMIFS(Table2[NewPointsAway],Table2[GameDate], "&lt;=" &amp; $A118, Table2[AwayTeam], W$1)+SUMIFS(Table2[NewPointsHome],Table2[GameDate], "&lt;=" &amp; $A118, Table2[HomeTeam], W$1)</f>
        <v>4</v>
      </c>
      <c r="X118" s="145">
        <f>SUMIFS(Table2[NewPointsAway],Table2[GameDate], "&lt;=" &amp; $A118, Table2[AwayTeam], X$1)+SUMIFS(Table2[NewPointsHome],Table2[GameDate], "&lt;=" &amp; $A118, Table2[HomeTeam], X$1)</f>
        <v>4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4</v>
      </c>
      <c r="AA118" s="145">
        <f>SUMIFS(Table2[NewPointsAway],Table2[GameDate], "&lt;=" &amp; $A118, Table2[AwayTeam], AA$1)+SUMIFS(Table2[NewPointsHome],Table2[GameDate], "&lt;=" &amp; $A118, Table2[HomeTeam], AA$1)</f>
        <v>2</v>
      </c>
      <c r="AB118" s="145">
        <f>SUMIFS(Table2[NewPointsAway],Table2[GameDate], "&lt;=" &amp; $A118, Table2[AwayTeam], AB$1)+SUMIFS(Table2[NewPointsHome],Table2[GameDate], "&lt;=" &amp; $A118, Table2[HomeTeam], AB$1)</f>
        <v>2</v>
      </c>
      <c r="AC118" s="145">
        <f>SUMIFS(Table2[NewPointsAway],Table2[GameDate], "&lt;=" &amp; $A118, Table2[AwayTeam], AC$1)+SUMIFS(Table2[NewPointsHome],Table2[GameDate], "&lt;=" &amp; $A118, Table2[HomeTeam], AC$1)</f>
        <v>2</v>
      </c>
      <c r="AD118" s="145">
        <f>SUMIFS(Table2[NewPointsAway],Table2[GameDate], "&lt;=" &amp; $A118, Table2[AwayTeam], AD$1)+SUMIFS(Table2[NewPointsHome],Table2[GameDate], "&lt;=" &amp; $A118, Table2[HomeTeam], AD$1)</f>
        <v>2</v>
      </c>
      <c r="AE118" s="145">
        <f>SUMIFS(Table2[NewPointsAway],Table2[GameDate], "&lt;=" &amp; $A118, Table2[AwayTeam], AE$1)+SUMIFS(Table2[NewPointsHome],Table2[GameDate], "&lt;=" &amp; $A118, Table2[HomeTeam], AE$1)</f>
        <v>4</v>
      </c>
      <c r="AF118" s="145">
        <f>SUMIFS(Table2[NewPointsAway],Table2[GameDate], "&lt;=" &amp; $A118, Table2[AwayTeam], AF$1)+SUMIFS(Table2[NewPointsHome],Table2[GameDate], "&lt;=" &amp; $A118, Table2[HomeTeam], AF$1)</f>
        <v>4</v>
      </c>
      <c r="AG118" s="145">
        <f>SUMIFS(Table2[NewPointsAway],Table2[GameDate], "&lt;=" &amp; $A118, Table2[AwayTeam], AG$1)+SUMIFS(Table2[NewPointsHome],Table2[GameDate], "&lt;=" &amp; $A118, Table2[HomeTeam], AG$1)</f>
        <v>4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2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0</v>
      </c>
      <c r="E119" s="145">
        <f>SUMIFS(Table2[NewPointsAway],Table2[GameDate], "&lt;=" &amp; $A119, Table2[AwayTeam], E$1)+SUMIFS(Table2[NewPointsHome],Table2[GameDate], "&lt;=" &amp; $A119, Table2[HomeTeam], E$1)</f>
        <v>4</v>
      </c>
      <c r="F119" s="145">
        <f>SUMIFS(Table2[NewPointsAway],Table2[GameDate], "&lt;=" &amp; $A119, Table2[AwayTeam], F$1)+SUMIFS(Table2[NewPointsHome],Table2[GameDate], "&lt;=" &amp; $A119, Table2[HomeTeam], F$1)</f>
        <v>2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3</v>
      </c>
      <c r="I119" s="145">
        <f>SUMIFS(Table2[NewPointsAway],Table2[GameDate], "&lt;=" &amp; $A119, Table2[AwayTeam], I$1)+SUMIFS(Table2[NewPointsHome],Table2[GameDate], "&lt;=" &amp; $A119, Table2[HomeTeam], I$1)</f>
        <v>7</v>
      </c>
      <c r="J119" s="145">
        <f>SUMIFS(Table2[NewPointsAway],Table2[GameDate], "&lt;=" &amp; $A119, Table2[AwayTeam], J$1)+SUMIFS(Table2[NewPointsHome],Table2[GameDate], "&lt;=" &amp; $A119, Table2[HomeTeam], J$1)</f>
        <v>4</v>
      </c>
      <c r="K119" s="145">
        <f>SUMIFS(Table2[NewPointsAway],Table2[GameDate], "&lt;=" &amp; $A119, Table2[AwayTeam], K$1)+SUMIFS(Table2[NewPointsHome],Table2[GameDate], "&lt;=" &amp; $A119, Table2[HomeTeam], K$1)</f>
        <v>4</v>
      </c>
      <c r="L119" s="145">
        <f>SUMIFS(Table2[NewPointsAway],Table2[GameDate], "&lt;=" &amp; $A119, Table2[AwayTeam], L$1)+SUMIFS(Table2[NewPointsHome],Table2[GameDate], "&lt;=" &amp; $A119, Table2[HomeTeam], L$1)</f>
        <v>3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3</v>
      </c>
      <c r="O119" s="145">
        <f>SUMIFS(Table2[NewPointsAway],Table2[GameDate], "&lt;=" &amp; $A119, Table2[AwayTeam], O$1)+SUMIFS(Table2[NewPointsHome],Table2[GameDate], "&lt;=" &amp; $A119, Table2[HomeTeam], O$1)</f>
        <v>4</v>
      </c>
      <c r="P119" s="145">
        <f>SUMIFS(Table2[NewPointsAway],Table2[GameDate], "&lt;=" &amp; $A119, Table2[AwayTeam], P$1)+SUMIFS(Table2[NewPointsHome],Table2[GameDate], "&lt;=" &amp; $A119, Table2[HomeTeam], P$1)</f>
        <v>4</v>
      </c>
      <c r="Q119" s="145">
        <f>SUMIFS(Table2[NewPointsAway],Table2[GameDate], "&lt;=" &amp; $A119, Table2[AwayTeam], Q$1)+SUMIFS(Table2[NewPointsHome],Table2[GameDate], "&lt;=" &amp; $A119, Table2[HomeTeam], Q$1)</f>
        <v>4</v>
      </c>
      <c r="R119" s="145">
        <f>SUMIFS(Table2[NewPointsAway],Table2[GameDate], "&lt;=" &amp; $A119, Table2[AwayTeam], R$1)+SUMIFS(Table2[NewPointsHome],Table2[GameDate], "&lt;=" &amp; $A119, Table2[HomeTeam], R$1)</f>
        <v>5</v>
      </c>
      <c r="S119" s="145">
        <f>SUMIFS(Table2[NewPointsAway],Table2[GameDate], "&lt;=" &amp; $A119, Table2[AwayTeam], S$1)+SUMIFS(Table2[NewPointsHome],Table2[GameDate], "&lt;=" &amp; $A119, Table2[HomeTeam], S$1)</f>
        <v>0</v>
      </c>
      <c r="T119" s="145">
        <f>SUMIFS(Table2[NewPointsAway],Table2[GameDate], "&lt;=" &amp; $A119, Table2[AwayTeam], T$1)+SUMIFS(Table2[NewPointsHome],Table2[GameDate], "&lt;=" &amp; $A119, Table2[HomeTeam], T$1)</f>
        <v>4</v>
      </c>
      <c r="U119" s="145">
        <f>SUMIFS(Table2[NewPointsAway],Table2[GameDate], "&lt;=" &amp; $A119, Table2[AwayTeam], U$1)+SUMIFS(Table2[NewPointsHome],Table2[GameDate], "&lt;=" &amp; $A119, Table2[HomeTeam], U$1)</f>
        <v>2</v>
      </c>
      <c r="V119" s="145">
        <f>SUMIFS(Table2[NewPointsAway],Table2[GameDate], "&lt;=" &amp; $A119, Table2[AwayTeam], V$1)+SUMIFS(Table2[NewPointsHome],Table2[GameDate], "&lt;=" &amp; $A119, Table2[HomeTeam], V$1)</f>
        <v>3</v>
      </c>
      <c r="W119" s="145">
        <f>SUMIFS(Table2[NewPointsAway],Table2[GameDate], "&lt;=" &amp; $A119, Table2[AwayTeam], W$1)+SUMIFS(Table2[NewPointsHome],Table2[GameDate], "&lt;=" &amp; $A119, Table2[HomeTeam], W$1)</f>
        <v>4</v>
      </c>
      <c r="X119" s="145">
        <f>SUMIFS(Table2[NewPointsAway],Table2[GameDate], "&lt;=" &amp; $A119, Table2[AwayTeam], X$1)+SUMIFS(Table2[NewPointsHome],Table2[GameDate], "&lt;=" &amp; $A119, Table2[HomeTeam], X$1)</f>
        <v>4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4</v>
      </c>
      <c r="AA119" s="145">
        <f>SUMIFS(Table2[NewPointsAway],Table2[GameDate], "&lt;=" &amp; $A119, Table2[AwayTeam], AA$1)+SUMIFS(Table2[NewPointsHome],Table2[GameDate], "&lt;=" &amp; $A119, Table2[HomeTeam], AA$1)</f>
        <v>2</v>
      </c>
      <c r="AB119" s="145">
        <f>SUMIFS(Table2[NewPointsAway],Table2[GameDate], "&lt;=" &amp; $A119, Table2[AwayTeam], AB$1)+SUMIFS(Table2[NewPointsHome],Table2[GameDate], "&lt;=" &amp; $A119, Table2[HomeTeam], AB$1)</f>
        <v>2</v>
      </c>
      <c r="AC119" s="145">
        <f>SUMIFS(Table2[NewPointsAway],Table2[GameDate], "&lt;=" &amp; $A119, Table2[AwayTeam], AC$1)+SUMIFS(Table2[NewPointsHome],Table2[GameDate], "&lt;=" &amp; $A119, Table2[HomeTeam], AC$1)</f>
        <v>2</v>
      </c>
      <c r="AD119" s="145">
        <f>SUMIFS(Table2[NewPointsAway],Table2[GameDate], "&lt;=" &amp; $A119, Table2[AwayTeam], AD$1)+SUMIFS(Table2[NewPointsHome],Table2[GameDate], "&lt;=" &amp; $A119, Table2[HomeTeam], AD$1)</f>
        <v>2</v>
      </c>
      <c r="AE119" s="145">
        <f>SUMIFS(Table2[NewPointsAway],Table2[GameDate], "&lt;=" &amp; $A119, Table2[AwayTeam], AE$1)+SUMIFS(Table2[NewPointsHome],Table2[GameDate], "&lt;=" &amp; $A119, Table2[HomeTeam], AE$1)</f>
        <v>4</v>
      </c>
      <c r="AF119" s="145">
        <f>SUMIFS(Table2[NewPointsAway],Table2[GameDate], "&lt;=" &amp; $A119, Table2[AwayTeam], AF$1)+SUMIFS(Table2[NewPointsHome],Table2[GameDate], "&lt;=" &amp; $A119, Table2[HomeTeam], AF$1)</f>
        <v>4</v>
      </c>
      <c r="AG119" s="145">
        <f>SUMIFS(Table2[NewPointsAway],Table2[GameDate], "&lt;=" &amp; $A119, Table2[AwayTeam], AG$1)+SUMIFS(Table2[NewPointsHome],Table2[GameDate], "&lt;=" &amp; $A119, Table2[HomeTeam], AG$1)</f>
        <v>4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2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0</v>
      </c>
      <c r="E120" s="145">
        <f>SUMIFS(Table2[NewPointsAway],Table2[GameDate], "&lt;=" &amp; $A120, Table2[AwayTeam], E$1)+SUMIFS(Table2[NewPointsHome],Table2[GameDate], "&lt;=" &amp; $A120, Table2[HomeTeam], E$1)</f>
        <v>4</v>
      </c>
      <c r="F120" s="145">
        <f>SUMIFS(Table2[NewPointsAway],Table2[GameDate], "&lt;=" &amp; $A120, Table2[AwayTeam], F$1)+SUMIFS(Table2[NewPointsHome],Table2[GameDate], "&lt;=" &amp; $A120, Table2[HomeTeam], F$1)</f>
        <v>2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3</v>
      </c>
      <c r="I120" s="145">
        <f>SUMIFS(Table2[NewPointsAway],Table2[GameDate], "&lt;=" &amp; $A120, Table2[AwayTeam], I$1)+SUMIFS(Table2[NewPointsHome],Table2[GameDate], "&lt;=" &amp; $A120, Table2[HomeTeam], I$1)</f>
        <v>7</v>
      </c>
      <c r="J120" s="145">
        <f>SUMIFS(Table2[NewPointsAway],Table2[GameDate], "&lt;=" &amp; $A120, Table2[AwayTeam], J$1)+SUMIFS(Table2[NewPointsHome],Table2[GameDate], "&lt;=" &amp; $A120, Table2[HomeTeam], J$1)</f>
        <v>4</v>
      </c>
      <c r="K120" s="145">
        <f>SUMIFS(Table2[NewPointsAway],Table2[GameDate], "&lt;=" &amp; $A120, Table2[AwayTeam], K$1)+SUMIFS(Table2[NewPointsHome],Table2[GameDate], "&lt;=" &amp; $A120, Table2[HomeTeam], K$1)</f>
        <v>4</v>
      </c>
      <c r="L120" s="145">
        <f>SUMIFS(Table2[NewPointsAway],Table2[GameDate], "&lt;=" &amp; $A120, Table2[AwayTeam], L$1)+SUMIFS(Table2[NewPointsHome],Table2[GameDate], "&lt;=" &amp; $A120, Table2[HomeTeam], L$1)</f>
        <v>3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3</v>
      </c>
      <c r="O120" s="145">
        <f>SUMIFS(Table2[NewPointsAway],Table2[GameDate], "&lt;=" &amp; $A120, Table2[AwayTeam], O$1)+SUMIFS(Table2[NewPointsHome],Table2[GameDate], "&lt;=" &amp; $A120, Table2[HomeTeam], O$1)</f>
        <v>4</v>
      </c>
      <c r="P120" s="145">
        <f>SUMIFS(Table2[NewPointsAway],Table2[GameDate], "&lt;=" &amp; $A120, Table2[AwayTeam], P$1)+SUMIFS(Table2[NewPointsHome],Table2[GameDate], "&lt;=" &amp; $A120, Table2[HomeTeam], P$1)</f>
        <v>4</v>
      </c>
      <c r="Q120" s="145">
        <f>SUMIFS(Table2[NewPointsAway],Table2[GameDate], "&lt;=" &amp; $A120, Table2[AwayTeam], Q$1)+SUMIFS(Table2[NewPointsHome],Table2[GameDate], "&lt;=" &amp; $A120, Table2[HomeTeam], Q$1)</f>
        <v>4</v>
      </c>
      <c r="R120" s="145">
        <f>SUMIFS(Table2[NewPointsAway],Table2[GameDate], "&lt;=" &amp; $A120, Table2[AwayTeam], R$1)+SUMIFS(Table2[NewPointsHome],Table2[GameDate], "&lt;=" &amp; $A120, Table2[HomeTeam], R$1)</f>
        <v>5</v>
      </c>
      <c r="S120" s="145">
        <f>SUMIFS(Table2[NewPointsAway],Table2[GameDate], "&lt;=" &amp; $A120, Table2[AwayTeam], S$1)+SUMIFS(Table2[NewPointsHome],Table2[GameDate], "&lt;=" &amp; $A120, Table2[HomeTeam], S$1)</f>
        <v>0</v>
      </c>
      <c r="T120" s="145">
        <f>SUMIFS(Table2[NewPointsAway],Table2[GameDate], "&lt;=" &amp; $A120, Table2[AwayTeam], T$1)+SUMIFS(Table2[NewPointsHome],Table2[GameDate], "&lt;=" &amp; $A120, Table2[HomeTeam], T$1)</f>
        <v>4</v>
      </c>
      <c r="U120" s="145">
        <f>SUMIFS(Table2[NewPointsAway],Table2[GameDate], "&lt;=" &amp; $A120, Table2[AwayTeam], U$1)+SUMIFS(Table2[NewPointsHome],Table2[GameDate], "&lt;=" &amp; $A120, Table2[HomeTeam], U$1)</f>
        <v>2</v>
      </c>
      <c r="V120" s="145">
        <f>SUMIFS(Table2[NewPointsAway],Table2[GameDate], "&lt;=" &amp; $A120, Table2[AwayTeam], V$1)+SUMIFS(Table2[NewPointsHome],Table2[GameDate], "&lt;=" &amp; $A120, Table2[HomeTeam], V$1)</f>
        <v>3</v>
      </c>
      <c r="W120" s="145">
        <f>SUMIFS(Table2[NewPointsAway],Table2[GameDate], "&lt;=" &amp; $A120, Table2[AwayTeam], W$1)+SUMIFS(Table2[NewPointsHome],Table2[GameDate], "&lt;=" &amp; $A120, Table2[HomeTeam], W$1)</f>
        <v>4</v>
      </c>
      <c r="X120" s="145">
        <f>SUMIFS(Table2[NewPointsAway],Table2[GameDate], "&lt;=" &amp; $A120, Table2[AwayTeam], X$1)+SUMIFS(Table2[NewPointsHome],Table2[GameDate], "&lt;=" &amp; $A120, Table2[HomeTeam], X$1)</f>
        <v>4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4</v>
      </c>
      <c r="AA120" s="145">
        <f>SUMIFS(Table2[NewPointsAway],Table2[GameDate], "&lt;=" &amp; $A120, Table2[AwayTeam], AA$1)+SUMIFS(Table2[NewPointsHome],Table2[GameDate], "&lt;=" &amp; $A120, Table2[HomeTeam], AA$1)</f>
        <v>2</v>
      </c>
      <c r="AB120" s="145">
        <f>SUMIFS(Table2[NewPointsAway],Table2[GameDate], "&lt;=" &amp; $A120, Table2[AwayTeam], AB$1)+SUMIFS(Table2[NewPointsHome],Table2[GameDate], "&lt;=" &amp; $A120, Table2[HomeTeam], AB$1)</f>
        <v>2</v>
      </c>
      <c r="AC120" s="145">
        <f>SUMIFS(Table2[NewPointsAway],Table2[GameDate], "&lt;=" &amp; $A120, Table2[AwayTeam], AC$1)+SUMIFS(Table2[NewPointsHome],Table2[GameDate], "&lt;=" &amp; $A120, Table2[HomeTeam], AC$1)</f>
        <v>2</v>
      </c>
      <c r="AD120" s="145">
        <f>SUMIFS(Table2[NewPointsAway],Table2[GameDate], "&lt;=" &amp; $A120, Table2[AwayTeam], AD$1)+SUMIFS(Table2[NewPointsHome],Table2[GameDate], "&lt;=" &amp; $A120, Table2[HomeTeam], AD$1)</f>
        <v>2</v>
      </c>
      <c r="AE120" s="145">
        <f>SUMIFS(Table2[NewPointsAway],Table2[GameDate], "&lt;=" &amp; $A120, Table2[AwayTeam], AE$1)+SUMIFS(Table2[NewPointsHome],Table2[GameDate], "&lt;=" &amp; $A120, Table2[HomeTeam], AE$1)</f>
        <v>4</v>
      </c>
      <c r="AF120" s="145">
        <f>SUMIFS(Table2[NewPointsAway],Table2[GameDate], "&lt;=" &amp; $A120, Table2[AwayTeam], AF$1)+SUMIFS(Table2[NewPointsHome],Table2[GameDate], "&lt;=" &amp; $A120, Table2[HomeTeam], AF$1)</f>
        <v>4</v>
      </c>
      <c r="AG120" s="145">
        <f>SUMIFS(Table2[NewPointsAway],Table2[GameDate], "&lt;=" &amp; $A120, Table2[AwayTeam], AG$1)+SUMIFS(Table2[NewPointsHome],Table2[GameDate], "&lt;=" &amp; $A120, Table2[HomeTeam], AG$1)</f>
        <v>4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2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0</v>
      </c>
      <c r="E121" s="145">
        <f>SUMIFS(Table2[NewPointsAway],Table2[GameDate], "&lt;=" &amp; $A121, Table2[AwayTeam], E$1)+SUMIFS(Table2[NewPointsHome],Table2[GameDate], "&lt;=" &amp; $A121, Table2[HomeTeam], E$1)</f>
        <v>4</v>
      </c>
      <c r="F121" s="145">
        <f>SUMIFS(Table2[NewPointsAway],Table2[GameDate], "&lt;=" &amp; $A121, Table2[AwayTeam], F$1)+SUMIFS(Table2[NewPointsHome],Table2[GameDate], "&lt;=" &amp; $A121, Table2[HomeTeam], F$1)</f>
        <v>2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3</v>
      </c>
      <c r="I121" s="145">
        <f>SUMIFS(Table2[NewPointsAway],Table2[GameDate], "&lt;=" &amp; $A121, Table2[AwayTeam], I$1)+SUMIFS(Table2[NewPointsHome],Table2[GameDate], "&lt;=" &amp; $A121, Table2[HomeTeam], I$1)</f>
        <v>7</v>
      </c>
      <c r="J121" s="145">
        <f>SUMIFS(Table2[NewPointsAway],Table2[GameDate], "&lt;=" &amp; $A121, Table2[AwayTeam], J$1)+SUMIFS(Table2[NewPointsHome],Table2[GameDate], "&lt;=" &amp; $A121, Table2[HomeTeam], J$1)</f>
        <v>4</v>
      </c>
      <c r="K121" s="145">
        <f>SUMIFS(Table2[NewPointsAway],Table2[GameDate], "&lt;=" &amp; $A121, Table2[AwayTeam], K$1)+SUMIFS(Table2[NewPointsHome],Table2[GameDate], "&lt;=" &amp; $A121, Table2[HomeTeam], K$1)</f>
        <v>4</v>
      </c>
      <c r="L121" s="145">
        <f>SUMIFS(Table2[NewPointsAway],Table2[GameDate], "&lt;=" &amp; $A121, Table2[AwayTeam], L$1)+SUMIFS(Table2[NewPointsHome],Table2[GameDate], "&lt;=" &amp; $A121, Table2[HomeTeam], L$1)</f>
        <v>3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3</v>
      </c>
      <c r="O121" s="145">
        <f>SUMIFS(Table2[NewPointsAway],Table2[GameDate], "&lt;=" &amp; $A121, Table2[AwayTeam], O$1)+SUMIFS(Table2[NewPointsHome],Table2[GameDate], "&lt;=" &amp; $A121, Table2[HomeTeam], O$1)</f>
        <v>4</v>
      </c>
      <c r="P121" s="145">
        <f>SUMIFS(Table2[NewPointsAway],Table2[GameDate], "&lt;=" &amp; $A121, Table2[AwayTeam], P$1)+SUMIFS(Table2[NewPointsHome],Table2[GameDate], "&lt;=" &amp; $A121, Table2[HomeTeam], P$1)</f>
        <v>4</v>
      </c>
      <c r="Q121" s="145">
        <f>SUMIFS(Table2[NewPointsAway],Table2[GameDate], "&lt;=" &amp; $A121, Table2[AwayTeam], Q$1)+SUMIFS(Table2[NewPointsHome],Table2[GameDate], "&lt;=" &amp; $A121, Table2[HomeTeam], Q$1)</f>
        <v>4</v>
      </c>
      <c r="R121" s="145">
        <f>SUMIFS(Table2[NewPointsAway],Table2[GameDate], "&lt;=" &amp; $A121, Table2[AwayTeam], R$1)+SUMIFS(Table2[NewPointsHome],Table2[GameDate], "&lt;=" &amp; $A121, Table2[HomeTeam], R$1)</f>
        <v>5</v>
      </c>
      <c r="S121" s="145">
        <f>SUMIFS(Table2[NewPointsAway],Table2[GameDate], "&lt;=" &amp; $A121, Table2[AwayTeam], S$1)+SUMIFS(Table2[NewPointsHome],Table2[GameDate], "&lt;=" &amp; $A121, Table2[HomeTeam], S$1)</f>
        <v>0</v>
      </c>
      <c r="T121" s="145">
        <f>SUMIFS(Table2[NewPointsAway],Table2[GameDate], "&lt;=" &amp; $A121, Table2[AwayTeam], T$1)+SUMIFS(Table2[NewPointsHome],Table2[GameDate], "&lt;=" &amp; $A121, Table2[HomeTeam], T$1)</f>
        <v>4</v>
      </c>
      <c r="U121" s="145">
        <f>SUMIFS(Table2[NewPointsAway],Table2[GameDate], "&lt;=" &amp; $A121, Table2[AwayTeam], U$1)+SUMIFS(Table2[NewPointsHome],Table2[GameDate], "&lt;=" &amp; $A121, Table2[HomeTeam], U$1)</f>
        <v>2</v>
      </c>
      <c r="V121" s="145">
        <f>SUMIFS(Table2[NewPointsAway],Table2[GameDate], "&lt;=" &amp; $A121, Table2[AwayTeam], V$1)+SUMIFS(Table2[NewPointsHome],Table2[GameDate], "&lt;=" &amp; $A121, Table2[HomeTeam], V$1)</f>
        <v>3</v>
      </c>
      <c r="W121" s="145">
        <f>SUMIFS(Table2[NewPointsAway],Table2[GameDate], "&lt;=" &amp; $A121, Table2[AwayTeam], W$1)+SUMIFS(Table2[NewPointsHome],Table2[GameDate], "&lt;=" &amp; $A121, Table2[HomeTeam], W$1)</f>
        <v>4</v>
      </c>
      <c r="X121" s="145">
        <f>SUMIFS(Table2[NewPointsAway],Table2[GameDate], "&lt;=" &amp; $A121, Table2[AwayTeam], X$1)+SUMIFS(Table2[NewPointsHome],Table2[GameDate], "&lt;=" &amp; $A121, Table2[HomeTeam], X$1)</f>
        <v>4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4</v>
      </c>
      <c r="AA121" s="145">
        <f>SUMIFS(Table2[NewPointsAway],Table2[GameDate], "&lt;=" &amp; $A121, Table2[AwayTeam], AA$1)+SUMIFS(Table2[NewPointsHome],Table2[GameDate], "&lt;=" &amp; $A121, Table2[HomeTeam], AA$1)</f>
        <v>2</v>
      </c>
      <c r="AB121" s="145">
        <f>SUMIFS(Table2[NewPointsAway],Table2[GameDate], "&lt;=" &amp; $A121, Table2[AwayTeam], AB$1)+SUMIFS(Table2[NewPointsHome],Table2[GameDate], "&lt;=" &amp; $A121, Table2[HomeTeam], AB$1)</f>
        <v>2</v>
      </c>
      <c r="AC121" s="145">
        <f>SUMIFS(Table2[NewPointsAway],Table2[GameDate], "&lt;=" &amp; $A121, Table2[AwayTeam], AC$1)+SUMIFS(Table2[NewPointsHome],Table2[GameDate], "&lt;=" &amp; $A121, Table2[HomeTeam], AC$1)</f>
        <v>2</v>
      </c>
      <c r="AD121" s="145">
        <f>SUMIFS(Table2[NewPointsAway],Table2[GameDate], "&lt;=" &amp; $A121, Table2[AwayTeam], AD$1)+SUMIFS(Table2[NewPointsHome],Table2[GameDate], "&lt;=" &amp; $A121, Table2[HomeTeam], AD$1)</f>
        <v>2</v>
      </c>
      <c r="AE121" s="145">
        <f>SUMIFS(Table2[NewPointsAway],Table2[GameDate], "&lt;=" &amp; $A121, Table2[AwayTeam], AE$1)+SUMIFS(Table2[NewPointsHome],Table2[GameDate], "&lt;=" &amp; $A121, Table2[HomeTeam], AE$1)</f>
        <v>4</v>
      </c>
      <c r="AF121" s="145">
        <f>SUMIFS(Table2[NewPointsAway],Table2[GameDate], "&lt;=" &amp; $A121, Table2[AwayTeam], AF$1)+SUMIFS(Table2[NewPointsHome],Table2[GameDate], "&lt;=" &amp; $A121, Table2[HomeTeam], AF$1)</f>
        <v>4</v>
      </c>
      <c r="AG121" s="145">
        <f>SUMIFS(Table2[NewPointsAway],Table2[GameDate], "&lt;=" &amp; $A121, Table2[AwayTeam], AG$1)+SUMIFS(Table2[NewPointsHome],Table2[GameDate], "&lt;=" &amp; $A121, Table2[HomeTeam], AG$1)</f>
        <v>4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2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0</v>
      </c>
      <c r="E122" s="145">
        <f>SUMIFS(Table2[NewPointsAway],Table2[GameDate], "&lt;=" &amp; $A122, Table2[AwayTeam], E$1)+SUMIFS(Table2[NewPointsHome],Table2[GameDate], "&lt;=" &amp; $A122, Table2[HomeTeam], E$1)</f>
        <v>4</v>
      </c>
      <c r="F122" s="145">
        <f>SUMIFS(Table2[NewPointsAway],Table2[GameDate], "&lt;=" &amp; $A122, Table2[AwayTeam], F$1)+SUMIFS(Table2[NewPointsHome],Table2[GameDate], "&lt;=" &amp; $A122, Table2[HomeTeam], F$1)</f>
        <v>2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3</v>
      </c>
      <c r="I122" s="145">
        <f>SUMIFS(Table2[NewPointsAway],Table2[GameDate], "&lt;=" &amp; $A122, Table2[AwayTeam], I$1)+SUMIFS(Table2[NewPointsHome],Table2[GameDate], "&lt;=" &amp; $A122, Table2[HomeTeam], I$1)</f>
        <v>7</v>
      </c>
      <c r="J122" s="145">
        <f>SUMIFS(Table2[NewPointsAway],Table2[GameDate], "&lt;=" &amp; $A122, Table2[AwayTeam], J$1)+SUMIFS(Table2[NewPointsHome],Table2[GameDate], "&lt;=" &amp; $A122, Table2[HomeTeam], J$1)</f>
        <v>4</v>
      </c>
      <c r="K122" s="145">
        <f>SUMIFS(Table2[NewPointsAway],Table2[GameDate], "&lt;=" &amp; $A122, Table2[AwayTeam], K$1)+SUMIFS(Table2[NewPointsHome],Table2[GameDate], "&lt;=" &amp; $A122, Table2[HomeTeam], K$1)</f>
        <v>4</v>
      </c>
      <c r="L122" s="145">
        <f>SUMIFS(Table2[NewPointsAway],Table2[GameDate], "&lt;=" &amp; $A122, Table2[AwayTeam], L$1)+SUMIFS(Table2[NewPointsHome],Table2[GameDate], "&lt;=" &amp; $A122, Table2[HomeTeam], L$1)</f>
        <v>3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3</v>
      </c>
      <c r="O122" s="145">
        <f>SUMIFS(Table2[NewPointsAway],Table2[GameDate], "&lt;=" &amp; $A122, Table2[AwayTeam], O$1)+SUMIFS(Table2[NewPointsHome],Table2[GameDate], "&lt;=" &amp; $A122, Table2[HomeTeam], O$1)</f>
        <v>4</v>
      </c>
      <c r="P122" s="145">
        <f>SUMIFS(Table2[NewPointsAway],Table2[GameDate], "&lt;=" &amp; $A122, Table2[AwayTeam], P$1)+SUMIFS(Table2[NewPointsHome],Table2[GameDate], "&lt;=" &amp; $A122, Table2[HomeTeam], P$1)</f>
        <v>4</v>
      </c>
      <c r="Q122" s="145">
        <f>SUMIFS(Table2[NewPointsAway],Table2[GameDate], "&lt;=" &amp; $A122, Table2[AwayTeam], Q$1)+SUMIFS(Table2[NewPointsHome],Table2[GameDate], "&lt;=" &amp; $A122, Table2[HomeTeam], Q$1)</f>
        <v>4</v>
      </c>
      <c r="R122" s="145">
        <f>SUMIFS(Table2[NewPointsAway],Table2[GameDate], "&lt;=" &amp; $A122, Table2[AwayTeam], R$1)+SUMIFS(Table2[NewPointsHome],Table2[GameDate], "&lt;=" &amp; $A122, Table2[HomeTeam], R$1)</f>
        <v>5</v>
      </c>
      <c r="S122" s="145">
        <f>SUMIFS(Table2[NewPointsAway],Table2[GameDate], "&lt;=" &amp; $A122, Table2[AwayTeam], S$1)+SUMIFS(Table2[NewPointsHome],Table2[GameDate], "&lt;=" &amp; $A122, Table2[HomeTeam], S$1)</f>
        <v>0</v>
      </c>
      <c r="T122" s="145">
        <f>SUMIFS(Table2[NewPointsAway],Table2[GameDate], "&lt;=" &amp; $A122, Table2[AwayTeam], T$1)+SUMIFS(Table2[NewPointsHome],Table2[GameDate], "&lt;=" &amp; $A122, Table2[HomeTeam], T$1)</f>
        <v>4</v>
      </c>
      <c r="U122" s="145">
        <f>SUMIFS(Table2[NewPointsAway],Table2[GameDate], "&lt;=" &amp; $A122, Table2[AwayTeam], U$1)+SUMIFS(Table2[NewPointsHome],Table2[GameDate], "&lt;=" &amp; $A122, Table2[HomeTeam], U$1)</f>
        <v>2</v>
      </c>
      <c r="V122" s="145">
        <f>SUMIFS(Table2[NewPointsAway],Table2[GameDate], "&lt;=" &amp; $A122, Table2[AwayTeam], V$1)+SUMIFS(Table2[NewPointsHome],Table2[GameDate], "&lt;=" &amp; $A122, Table2[HomeTeam], V$1)</f>
        <v>3</v>
      </c>
      <c r="W122" s="145">
        <f>SUMIFS(Table2[NewPointsAway],Table2[GameDate], "&lt;=" &amp; $A122, Table2[AwayTeam], W$1)+SUMIFS(Table2[NewPointsHome],Table2[GameDate], "&lt;=" &amp; $A122, Table2[HomeTeam], W$1)</f>
        <v>4</v>
      </c>
      <c r="X122" s="145">
        <f>SUMIFS(Table2[NewPointsAway],Table2[GameDate], "&lt;=" &amp; $A122, Table2[AwayTeam], X$1)+SUMIFS(Table2[NewPointsHome],Table2[GameDate], "&lt;=" &amp; $A122, Table2[HomeTeam], X$1)</f>
        <v>4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4</v>
      </c>
      <c r="AA122" s="145">
        <f>SUMIFS(Table2[NewPointsAway],Table2[GameDate], "&lt;=" &amp; $A122, Table2[AwayTeam], AA$1)+SUMIFS(Table2[NewPointsHome],Table2[GameDate], "&lt;=" &amp; $A122, Table2[HomeTeam], AA$1)</f>
        <v>2</v>
      </c>
      <c r="AB122" s="145">
        <f>SUMIFS(Table2[NewPointsAway],Table2[GameDate], "&lt;=" &amp; $A122, Table2[AwayTeam], AB$1)+SUMIFS(Table2[NewPointsHome],Table2[GameDate], "&lt;=" &amp; $A122, Table2[HomeTeam], AB$1)</f>
        <v>2</v>
      </c>
      <c r="AC122" s="145">
        <f>SUMIFS(Table2[NewPointsAway],Table2[GameDate], "&lt;=" &amp; $A122, Table2[AwayTeam], AC$1)+SUMIFS(Table2[NewPointsHome],Table2[GameDate], "&lt;=" &amp; $A122, Table2[HomeTeam], AC$1)</f>
        <v>2</v>
      </c>
      <c r="AD122" s="145">
        <f>SUMIFS(Table2[NewPointsAway],Table2[GameDate], "&lt;=" &amp; $A122, Table2[AwayTeam], AD$1)+SUMIFS(Table2[NewPointsHome],Table2[GameDate], "&lt;=" &amp; $A122, Table2[HomeTeam], AD$1)</f>
        <v>2</v>
      </c>
      <c r="AE122" s="145">
        <f>SUMIFS(Table2[NewPointsAway],Table2[GameDate], "&lt;=" &amp; $A122, Table2[AwayTeam], AE$1)+SUMIFS(Table2[NewPointsHome],Table2[GameDate], "&lt;=" &amp; $A122, Table2[HomeTeam], AE$1)</f>
        <v>4</v>
      </c>
      <c r="AF122" s="145">
        <f>SUMIFS(Table2[NewPointsAway],Table2[GameDate], "&lt;=" &amp; $A122, Table2[AwayTeam], AF$1)+SUMIFS(Table2[NewPointsHome],Table2[GameDate], "&lt;=" &amp; $A122, Table2[HomeTeam], AF$1)</f>
        <v>4</v>
      </c>
      <c r="AG122" s="145">
        <f>SUMIFS(Table2[NewPointsAway],Table2[GameDate], "&lt;=" &amp; $A122, Table2[AwayTeam], AG$1)+SUMIFS(Table2[NewPointsHome],Table2[GameDate], "&lt;=" &amp; $A122, Table2[HomeTeam], AG$1)</f>
        <v>4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2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0</v>
      </c>
      <c r="E123" s="145">
        <f>SUMIFS(Table2[NewPointsAway],Table2[GameDate], "&lt;=" &amp; $A123, Table2[AwayTeam], E$1)+SUMIFS(Table2[NewPointsHome],Table2[GameDate], "&lt;=" &amp; $A123, Table2[HomeTeam], E$1)</f>
        <v>4</v>
      </c>
      <c r="F123" s="145">
        <f>SUMIFS(Table2[NewPointsAway],Table2[GameDate], "&lt;=" &amp; $A123, Table2[AwayTeam], F$1)+SUMIFS(Table2[NewPointsHome],Table2[GameDate], "&lt;=" &amp; $A123, Table2[HomeTeam], F$1)</f>
        <v>2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3</v>
      </c>
      <c r="I123" s="145">
        <f>SUMIFS(Table2[NewPointsAway],Table2[GameDate], "&lt;=" &amp; $A123, Table2[AwayTeam], I$1)+SUMIFS(Table2[NewPointsHome],Table2[GameDate], "&lt;=" &amp; $A123, Table2[HomeTeam], I$1)</f>
        <v>7</v>
      </c>
      <c r="J123" s="145">
        <f>SUMIFS(Table2[NewPointsAway],Table2[GameDate], "&lt;=" &amp; $A123, Table2[AwayTeam], J$1)+SUMIFS(Table2[NewPointsHome],Table2[GameDate], "&lt;=" &amp; $A123, Table2[HomeTeam], J$1)</f>
        <v>4</v>
      </c>
      <c r="K123" s="145">
        <f>SUMIFS(Table2[NewPointsAway],Table2[GameDate], "&lt;=" &amp; $A123, Table2[AwayTeam], K$1)+SUMIFS(Table2[NewPointsHome],Table2[GameDate], "&lt;=" &amp; $A123, Table2[HomeTeam], K$1)</f>
        <v>4</v>
      </c>
      <c r="L123" s="145">
        <f>SUMIFS(Table2[NewPointsAway],Table2[GameDate], "&lt;=" &amp; $A123, Table2[AwayTeam], L$1)+SUMIFS(Table2[NewPointsHome],Table2[GameDate], "&lt;=" &amp; $A123, Table2[HomeTeam], L$1)</f>
        <v>3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3</v>
      </c>
      <c r="O123" s="145">
        <f>SUMIFS(Table2[NewPointsAway],Table2[GameDate], "&lt;=" &amp; $A123, Table2[AwayTeam], O$1)+SUMIFS(Table2[NewPointsHome],Table2[GameDate], "&lt;=" &amp; $A123, Table2[HomeTeam], O$1)</f>
        <v>4</v>
      </c>
      <c r="P123" s="145">
        <f>SUMIFS(Table2[NewPointsAway],Table2[GameDate], "&lt;=" &amp; $A123, Table2[AwayTeam], P$1)+SUMIFS(Table2[NewPointsHome],Table2[GameDate], "&lt;=" &amp; $A123, Table2[HomeTeam], P$1)</f>
        <v>4</v>
      </c>
      <c r="Q123" s="145">
        <f>SUMIFS(Table2[NewPointsAway],Table2[GameDate], "&lt;=" &amp; $A123, Table2[AwayTeam], Q$1)+SUMIFS(Table2[NewPointsHome],Table2[GameDate], "&lt;=" &amp; $A123, Table2[HomeTeam], Q$1)</f>
        <v>4</v>
      </c>
      <c r="R123" s="145">
        <f>SUMIFS(Table2[NewPointsAway],Table2[GameDate], "&lt;=" &amp; $A123, Table2[AwayTeam], R$1)+SUMIFS(Table2[NewPointsHome],Table2[GameDate], "&lt;=" &amp; $A123, Table2[HomeTeam], R$1)</f>
        <v>5</v>
      </c>
      <c r="S123" s="145">
        <f>SUMIFS(Table2[NewPointsAway],Table2[GameDate], "&lt;=" &amp; $A123, Table2[AwayTeam], S$1)+SUMIFS(Table2[NewPointsHome],Table2[GameDate], "&lt;=" &amp; $A123, Table2[HomeTeam], S$1)</f>
        <v>0</v>
      </c>
      <c r="T123" s="145">
        <f>SUMIFS(Table2[NewPointsAway],Table2[GameDate], "&lt;=" &amp; $A123, Table2[AwayTeam], T$1)+SUMIFS(Table2[NewPointsHome],Table2[GameDate], "&lt;=" &amp; $A123, Table2[HomeTeam], T$1)</f>
        <v>4</v>
      </c>
      <c r="U123" s="145">
        <f>SUMIFS(Table2[NewPointsAway],Table2[GameDate], "&lt;=" &amp; $A123, Table2[AwayTeam], U$1)+SUMIFS(Table2[NewPointsHome],Table2[GameDate], "&lt;=" &amp; $A123, Table2[HomeTeam], U$1)</f>
        <v>2</v>
      </c>
      <c r="V123" s="145">
        <f>SUMIFS(Table2[NewPointsAway],Table2[GameDate], "&lt;=" &amp; $A123, Table2[AwayTeam], V$1)+SUMIFS(Table2[NewPointsHome],Table2[GameDate], "&lt;=" &amp; $A123, Table2[HomeTeam], V$1)</f>
        <v>3</v>
      </c>
      <c r="W123" s="145">
        <f>SUMIFS(Table2[NewPointsAway],Table2[GameDate], "&lt;=" &amp; $A123, Table2[AwayTeam], W$1)+SUMIFS(Table2[NewPointsHome],Table2[GameDate], "&lt;=" &amp; $A123, Table2[HomeTeam], W$1)</f>
        <v>4</v>
      </c>
      <c r="X123" s="145">
        <f>SUMIFS(Table2[NewPointsAway],Table2[GameDate], "&lt;=" &amp; $A123, Table2[AwayTeam], X$1)+SUMIFS(Table2[NewPointsHome],Table2[GameDate], "&lt;=" &amp; $A123, Table2[HomeTeam], X$1)</f>
        <v>4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4</v>
      </c>
      <c r="AA123" s="145">
        <f>SUMIFS(Table2[NewPointsAway],Table2[GameDate], "&lt;=" &amp; $A123, Table2[AwayTeam], AA$1)+SUMIFS(Table2[NewPointsHome],Table2[GameDate], "&lt;=" &amp; $A123, Table2[HomeTeam], AA$1)</f>
        <v>2</v>
      </c>
      <c r="AB123" s="145">
        <f>SUMIFS(Table2[NewPointsAway],Table2[GameDate], "&lt;=" &amp; $A123, Table2[AwayTeam], AB$1)+SUMIFS(Table2[NewPointsHome],Table2[GameDate], "&lt;=" &amp; $A123, Table2[HomeTeam], AB$1)</f>
        <v>2</v>
      </c>
      <c r="AC123" s="145">
        <f>SUMIFS(Table2[NewPointsAway],Table2[GameDate], "&lt;=" &amp; $A123, Table2[AwayTeam], AC$1)+SUMIFS(Table2[NewPointsHome],Table2[GameDate], "&lt;=" &amp; $A123, Table2[HomeTeam], AC$1)</f>
        <v>2</v>
      </c>
      <c r="AD123" s="145">
        <f>SUMIFS(Table2[NewPointsAway],Table2[GameDate], "&lt;=" &amp; $A123, Table2[AwayTeam], AD$1)+SUMIFS(Table2[NewPointsHome],Table2[GameDate], "&lt;=" &amp; $A123, Table2[HomeTeam], AD$1)</f>
        <v>2</v>
      </c>
      <c r="AE123" s="145">
        <f>SUMIFS(Table2[NewPointsAway],Table2[GameDate], "&lt;=" &amp; $A123, Table2[AwayTeam], AE$1)+SUMIFS(Table2[NewPointsHome],Table2[GameDate], "&lt;=" &amp; $A123, Table2[HomeTeam], AE$1)</f>
        <v>4</v>
      </c>
      <c r="AF123" s="145">
        <f>SUMIFS(Table2[NewPointsAway],Table2[GameDate], "&lt;=" &amp; $A123, Table2[AwayTeam], AF$1)+SUMIFS(Table2[NewPointsHome],Table2[GameDate], "&lt;=" &amp; $A123, Table2[HomeTeam], AF$1)</f>
        <v>4</v>
      </c>
      <c r="AG123" s="145">
        <f>SUMIFS(Table2[NewPointsAway],Table2[GameDate], "&lt;=" &amp; $A123, Table2[AwayTeam], AG$1)+SUMIFS(Table2[NewPointsHome],Table2[GameDate], "&lt;=" &amp; $A123, Table2[HomeTeam], AG$1)</f>
        <v>4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2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0</v>
      </c>
      <c r="E124" s="145">
        <f>SUMIFS(Table2[NewPointsAway],Table2[GameDate], "&lt;=" &amp; $A124, Table2[AwayTeam], E$1)+SUMIFS(Table2[NewPointsHome],Table2[GameDate], "&lt;=" &amp; $A124, Table2[HomeTeam], E$1)</f>
        <v>4</v>
      </c>
      <c r="F124" s="145">
        <f>SUMIFS(Table2[NewPointsAway],Table2[GameDate], "&lt;=" &amp; $A124, Table2[AwayTeam], F$1)+SUMIFS(Table2[NewPointsHome],Table2[GameDate], "&lt;=" &amp; $A124, Table2[HomeTeam], F$1)</f>
        <v>2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3</v>
      </c>
      <c r="I124" s="145">
        <f>SUMIFS(Table2[NewPointsAway],Table2[GameDate], "&lt;=" &amp; $A124, Table2[AwayTeam], I$1)+SUMIFS(Table2[NewPointsHome],Table2[GameDate], "&lt;=" &amp; $A124, Table2[HomeTeam], I$1)</f>
        <v>7</v>
      </c>
      <c r="J124" s="145">
        <f>SUMIFS(Table2[NewPointsAway],Table2[GameDate], "&lt;=" &amp; $A124, Table2[AwayTeam], J$1)+SUMIFS(Table2[NewPointsHome],Table2[GameDate], "&lt;=" &amp; $A124, Table2[HomeTeam], J$1)</f>
        <v>4</v>
      </c>
      <c r="K124" s="145">
        <f>SUMIFS(Table2[NewPointsAway],Table2[GameDate], "&lt;=" &amp; $A124, Table2[AwayTeam], K$1)+SUMIFS(Table2[NewPointsHome],Table2[GameDate], "&lt;=" &amp; $A124, Table2[HomeTeam], K$1)</f>
        <v>4</v>
      </c>
      <c r="L124" s="145">
        <f>SUMIFS(Table2[NewPointsAway],Table2[GameDate], "&lt;=" &amp; $A124, Table2[AwayTeam], L$1)+SUMIFS(Table2[NewPointsHome],Table2[GameDate], "&lt;=" &amp; $A124, Table2[HomeTeam], L$1)</f>
        <v>3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3</v>
      </c>
      <c r="O124" s="145">
        <f>SUMIFS(Table2[NewPointsAway],Table2[GameDate], "&lt;=" &amp; $A124, Table2[AwayTeam], O$1)+SUMIFS(Table2[NewPointsHome],Table2[GameDate], "&lt;=" &amp; $A124, Table2[HomeTeam], O$1)</f>
        <v>4</v>
      </c>
      <c r="P124" s="145">
        <f>SUMIFS(Table2[NewPointsAway],Table2[GameDate], "&lt;=" &amp; $A124, Table2[AwayTeam], P$1)+SUMIFS(Table2[NewPointsHome],Table2[GameDate], "&lt;=" &amp; $A124, Table2[HomeTeam], P$1)</f>
        <v>4</v>
      </c>
      <c r="Q124" s="145">
        <f>SUMIFS(Table2[NewPointsAway],Table2[GameDate], "&lt;=" &amp; $A124, Table2[AwayTeam], Q$1)+SUMIFS(Table2[NewPointsHome],Table2[GameDate], "&lt;=" &amp; $A124, Table2[HomeTeam], Q$1)</f>
        <v>4</v>
      </c>
      <c r="R124" s="145">
        <f>SUMIFS(Table2[NewPointsAway],Table2[GameDate], "&lt;=" &amp; $A124, Table2[AwayTeam], R$1)+SUMIFS(Table2[NewPointsHome],Table2[GameDate], "&lt;=" &amp; $A124, Table2[HomeTeam], R$1)</f>
        <v>5</v>
      </c>
      <c r="S124" s="145">
        <f>SUMIFS(Table2[NewPointsAway],Table2[GameDate], "&lt;=" &amp; $A124, Table2[AwayTeam], S$1)+SUMIFS(Table2[NewPointsHome],Table2[GameDate], "&lt;=" &amp; $A124, Table2[HomeTeam], S$1)</f>
        <v>0</v>
      </c>
      <c r="T124" s="145">
        <f>SUMIFS(Table2[NewPointsAway],Table2[GameDate], "&lt;=" &amp; $A124, Table2[AwayTeam], T$1)+SUMIFS(Table2[NewPointsHome],Table2[GameDate], "&lt;=" &amp; $A124, Table2[HomeTeam], T$1)</f>
        <v>4</v>
      </c>
      <c r="U124" s="145">
        <f>SUMIFS(Table2[NewPointsAway],Table2[GameDate], "&lt;=" &amp; $A124, Table2[AwayTeam], U$1)+SUMIFS(Table2[NewPointsHome],Table2[GameDate], "&lt;=" &amp; $A124, Table2[HomeTeam], U$1)</f>
        <v>2</v>
      </c>
      <c r="V124" s="145">
        <f>SUMIFS(Table2[NewPointsAway],Table2[GameDate], "&lt;=" &amp; $A124, Table2[AwayTeam], V$1)+SUMIFS(Table2[NewPointsHome],Table2[GameDate], "&lt;=" &amp; $A124, Table2[HomeTeam], V$1)</f>
        <v>3</v>
      </c>
      <c r="W124" s="145">
        <f>SUMIFS(Table2[NewPointsAway],Table2[GameDate], "&lt;=" &amp; $A124, Table2[AwayTeam], W$1)+SUMIFS(Table2[NewPointsHome],Table2[GameDate], "&lt;=" &amp; $A124, Table2[HomeTeam], W$1)</f>
        <v>4</v>
      </c>
      <c r="X124" s="145">
        <f>SUMIFS(Table2[NewPointsAway],Table2[GameDate], "&lt;=" &amp; $A124, Table2[AwayTeam], X$1)+SUMIFS(Table2[NewPointsHome],Table2[GameDate], "&lt;=" &amp; $A124, Table2[HomeTeam], X$1)</f>
        <v>4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4</v>
      </c>
      <c r="AA124" s="145">
        <f>SUMIFS(Table2[NewPointsAway],Table2[GameDate], "&lt;=" &amp; $A124, Table2[AwayTeam], AA$1)+SUMIFS(Table2[NewPointsHome],Table2[GameDate], "&lt;=" &amp; $A124, Table2[HomeTeam], AA$1)</f>
        <v>2</v>
      </c>
      <c r="AB124" s="145">
        <f>SUMIFS(Table2[NewPointsAway],Table2[GameDate], "&lt;=" &amp; $A124, Table2[AwayTeam], AB$1)+SUMIFS(Table2[NewPointsHome],Table2[GameDate], "&lt;=" &amp; $A124, Table2[HomeTeam], AB$1)</f>
        <v>2</v>
      </c>
      <c r="AC124" s="145">
        <f>SUMIFS(Table2[NewPointsAway],Table2[GameDate], "&lt;=" &amp; $A124, Table2[AwayTeam], AC$1)+SUMIFS(Table2[NewPointsHome],Table2[GameDate], "&lt;=" &amp; $A124, Table2[HomeTeam], AC$1)</f>
        <v>2</v>
      </c>
      <c r="AD124" s="145">
        <f>SUMIFS(Table2[NewPointsAway],Table2[GameDate], "&lt;=" &amp; $A124, Table2[AwayTeam], AD$1)+SUMIFS(Table2[NewPointsHome],Table2[GameDate], "&lt;=" &amp; $A124, Table2[HomeTeam], AD$1)</f>
        <v>2</v>
      </c>
      <c r="AE124" s="145">
        <f>SUMIFS(Table2[NewPointsAway],Table2[GameDate], "&lt;=" &amp; $A124, Table2[AwayTeam], AE$1)+SUMIFS(Table2[NewPointsHome],Table2[GameDate], "&lt;=" &amp; $A124, Table2[HomeTeam], AE$1)</f>
        <v>4</v>
      </c>
      <c r="AF124" s="145">
        <f>SUMIFS(Table2[NewPointsAway],Table2[GameDate], "&lt;=" &amp; $A124, Table2[AwayTeam], AF$1)+SUMIFS(Table2[NewPointsHome],Table2[GameDate], "&lt;=" &amp; $A124, Table2[HomeTeam], AF$1)</f>
        <v>4</v>
      </c>
      <c r="AG124" s="145">
        <f>SUMIFS(Table2[NewPointsAway],Table2[GameDate], "&lt;=" &amp; $A124, Table2[AwayTeam], AG$1)+SUMIFS(Table2[NewPointsHome],Table2[GameDate], "&lt;=" &amp; $A124, Table2[HomeTeam], AG$1)</f>
        <v>4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2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0</v>
      </c>
      <c r="E125" s="145">
        <f>SUMIFS(Table2[NewPointsAway],Table2[GameDate], "&lt;=" &amp; $A125, Table2[AwayTeam], E$1)+SUMIFS(Table2[NewPointsHome],Table2[GameDate], "&lt;=" &amp; $A125, Table2[HomeTeam], E$1)</f>
        <v>4</v>
      </c>
      <c r="F125" s="145">
        <f>SUMIFS(Table2[NewPointsAway],Table2[GameDate], "&lt;=" &amp; $A125, Table2[AwayTeam], F$1)+SUMIFS(Table2[NewPointsHome],Table2[GameDate], "&lt;=" &amp; $A125, Table2[HomeTeam], F$1)</f>
        <v>2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3</v>
      </c>
      <c r="I125" s="145">
        <f>SUMIFS(Table2[NewPointsAway],Table2[GameDate], "&lt;=" &amp; $A125, Table2[AwayTeam], I$1)+SUMIFS(Table2[NewPointsHome],Table2[GameDate], "&lt;=" &amp; $A125, Table2[HomeTeam], I$1)</f>
        <v>7</v>
      </c>
      <c r="J125" s="145">
        <f>SUMIFS(Table2[NewPointsAway],Table2[GameDate], "&lt;=" &amp; $A125, Table2[AwayTeam], J$1)+SUMIFS(Table2[NewPointsHome],Table2[GameDate], "&lt;=" &amp; $A125, Table2[HomeTeam], J$1)</f>
        <v>4</v>
      </c>
      <c r="K125" s="145">
        <f>SUMIFS(Table2[NewPointsAway],Table2[GameDate], "&lt;=" &amp; $A125, Table2[AwayTeam], K$1)+SUMIFS(Table2[NewPointsHome],Table2[GameDate], "&lt;=" &amp; $A125, Table2[HomeTeam], K$1)</f>
        <v>4</v>
      </c>
      <c r="L125" s="145">
        <f>SUMIFS(Table2[NewPointsAway],Table2[GameDate], "&lt;=" &amp; $A125, Table2[AwayTeam], L$1)+SUMIFS(Table2[NewPointsHome],Table2[GameDate], "&lt;=" &amp; $A125, Table2[HomeTeam], L$1)</f>
        <v>3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3</v>
      </c>
      <c r="O125" s="145">
        <f>SUMIFS(Table2[NewPointsAway],Table2[GameDate], "&lt;=" &amp; $A125, Table2[AwayTeam], O$1)+SUMIFS(Table2[NewPointsHome],Table2[GameDate], "&lt;=" &amp; $A125, Table2[HomeTeam], O$1)</f>
        <v>4</v>
      </c>
      <c r="P125" s="145">
        <f>SUMIFS(Table2[NewPointsAway],Table2[GameDate], "&lt;=" &amp; $A125, Table2[AwayTeam], P$1)+SUMIFS(Table2[NewPointsHome],Table2[GameDate], "&lt;=" &amp; $A125, Table2[HomeTeam], P$1)</f>
        <v>4</v>
      </c>
      <c r="Q125" s="145">
        <f>SUMIFS(Table2[NewPointsAway],Table2[GameDate], "&lt;=" &amp; $A125, Table2[AwayTeam], Q$1)+SUMIFS(Table2[NewPointsHome],Table2[GameDate], "&lt;=" &amp; $A125, Table2[HomeTeam], Q$1)</f>
        <v>4</v>
      </c>
      <c r="R125" s="145">
        <f>SUMIFS(Table2[NewPointsAway],Table2[GameDate], "&lt;=" &amp; $A125, Table2[AwayTeam], R$1)+SUMIFS(Table2[NewPointsHome],Table2[GameDate], "&lt;=" &amp; $A125, Table2[HomeTeam], R$1)</f>
        <v>5</v>
      </c>
      <c r="S125" s="145">
        <f>SUMIFS(Table2[NewPointsAway],Table2[GameDate], "&lt;=" &amp; $A125, Table2[AwayTeam], S$1)+SUMIFS(Table2[NewPointsHome],Table2[GameDate], "&lt;=" &amp; $A125, Table2[HomeTeam], S$1)</f>
        <v>0</v>
      </c>
      <c r="T125" s="145">
        <f>SUMIFS(Table2[NewPointsAway],Table2[GameDate], "&lt;=" &amp; $A125, Table2[AwayTeam], T$1)+SUMIFS(Table2[NewPointsHome],Table2[GameDate], "&lt;=" &amp; $A125, Table2[HomeTeam], T$1)</f>
        <v>4</v>
      </c>
      <c r="U125" s="145">
        <f>SUMIFS(Table2[NewPointsAway],Table2[GameDate], "&lt;=" &amp; $A125, Table2[AwayTeam], U$1)+SUMIFS(Table2[NewPointsHome],Table2[GameDate], "&lt;=" &amp; $A125, Table2[HomeTeam], U$1)</f>
        <v>2</v>
      </c>
      <c r="V125" s="145">
        <f>SUMIFS(Table2[NewPointsAway],Table2[GameDate], "&lt;=" &amp; $A125, Table2[AwayTeam], V$1)+SUMIFS(Table2[NewPointsHome],Table2[GameDate], "&lt;=" &amp; $A125, Table2[HomeTeam], V$1)</f>
        <v>3</v>
      </c>
      <c r="W125" s="145">
        <f>SUMIFS(Table2[NewPointsAway],Table2[GameDate], "&lt;=" &amp; $A125, Table2[AwayTeam], W$1)+SUMIFS(Table2[NewPointsHome],Table2[GameDate], "&lt;=" &amp; $A125, Table2[HomeTeam], W$1)</f>
        <v>4</v>
      </c>
      <c r="X125" s="145">
        <f>SUMIFS(Table2[NewPointsAway],Table2[GameDate], "&lt;=" &amp; $A125, Table2[AwayTeam], X$1)+SUMIFS(Table2[NewPointsHome],Table2[GameDate], "&lt;=" &amp; $A125, Table2[HomeTeam], X$1)</f>
        <v>4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4</v>
      </c>
      <c r="AA125" s="145">
        <f>SUMIFS(Table2[NewPointsAway],Table2[GameDate], "&lt;=" &amp; $A125, Table2[AwayTeam], AA$1)+SUMIFS(Table2[NewPointsHome],Table2[GameDate], "&lt;=" &amp; $A125, Table2[HomeTeam], AA$1)</f>
        <v>2</v>
      </c>
      <c r="AB125" s="145">
        <f>SUMIFS(Table2[NewPointsAway],Table2[GameDate], "&lt;=" &amp; $A125, Table2[AwayTeam], AB$1)+SUMIFS(Table2[NewPointsHome],Table2[GameDate], "&lt;=" &amp; $A125, Table2[HomeTeam], AB$1)</f>
        <v>2</v>
      </c>
      <c r="AC125" s="145">
        <f>SUMIFS(Table2[NewPointsAway],Table2[GameDate], "&lt;=" &amp; $A125, Table2[AwayTeam], AC$1)+SUMIFS(Table2[NewPointsHome],Table2[GameDate], "&lt;=" &amp; $A125, Table2[HomeTeam], AC$1)</f>
        <v>2</v>
      </c>
      <c r="AD125" s="145">
        <f>SUMIFS(Table2[NewPointsAway],Table2[GameDate], "&lt;=" &amp; $A125, Table2[AwayTeam], AD$1)+SUMIFS(Table2[NewPointsHome],Table2[GameDate], "&lt;=" &amp; $A125, Table2[HomeTeam], AD$1)</f>
        <v>2</v>
      </c>
      <c r="AE125" s="145">
        <f>SUMIFS(Table2[NewPointsAway],Table2[GameDate], "&lt;=" &amp; $A125, Table2[AwayTeam], AE$1)+SUMIFS(Table2[NewPointsHome],Table2[GameDate], "&lt;=" &amp; $A125, Table2[HomeTeam], AE$1)</f>
        <v>4</v>
      </c>
      <c r="AF125" s="145">
        <f>SUMIFS(Table2[NewPointsAway],Table2[GameDate], "&lt;=" &amp; $A125, Table2[AwayTeam], AF$1)+SUMIFS(Table2[NewPointsHome],Table2[GameDate], "&lt;=" &amp; $A125, Table2[HomeTeam], AF$1)</f>
        <v>4</v>
      </c>
      <c r="AG125" s="145">
        <f>SUMIFS(Table2[NewPointsAway],Table2[GameDate], "&lt;=" &amp; $A125, Table2[AwayTeam], AG$1)+SUMIFS(Table2[NewPointsHome],Table2[GameDate], "&lt;=" &amp; $A125, Table2[HomeTeam], AG$1)</f>
        <v>4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2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0</v>
      </c>
      <c r="E126" s="145">
        <f>SUMIFS(Table2[NewPointsAway],Table2[GameDate], "&lt;=" &amp; $A126, Table2[AwayTeam], E$1)+SUMIFS(Table2[NewPointsHome],Table2[GameDate], "&lt;=" &amp; $A126, Table2[HomeTeam], E$1)</f>
        <v>4</v>
      </c>
      <c r="F126" s="145">
        <f>SUMIFS(Table2[NewPointsAway],Table2[GameDate], "&lt;=" &amp; $A126, Table2[AwayTeam], F$1)+SUMIFS(Table2[NewPointsHome],Table2[GameDate], "&lt;=" &amp; $A126, Table2[HomeTeam], F$1)</f>
        <v>2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3</v>
      </c>
      <c r="I126" s="145">
        <f>SUMIFS(Table2[NewPointsAway],Table2[GameDate], "&lt;=" &amp; $A126, Table2[AwayTeam], I$1)+SUMIFS(Table2[NewPointsHome],Table2[GameDate], "&lt;=" &amp; $A126, Table2[HomeTeam], I$1)</f>
        <v>7</v>
      </c>
      <c r="J126" s="145">
        <f>SUMIFS(Table2[NewPointsAway],Table2[GameDate], "&lt;=" &amp; $A126, Table2[AwayTeam], J$1)+SUMIFS(Table2[NewPointsHome],Table2[GameDate], "&lt;=" &amp; $A126, Table2[HomeTeam], J$1)</f>
        <v>4</v>
      </c>
      <c r="K126" s="145">
        <f>SUMIFS(Table2[NewPointsAway],Table2[GameDate], "&lt;=" &amp; $A126, Table2[AwayTeam], K$1)+SUMIFS(Table2[NewPointsHome],Table2[GameDate], "&lt;=" &amp; $A126, Table2[HomeTeam], K$1)</f>
        <v>4</v>
      </c>
      <c r="L126" s="145">
        <f>SUMIFS(Table2[NewPointsAway],Table2[GameDate], "&lt;=" &amp; $A126, Table2[AwayTeam], L$1)+SUMIFS(Table2[NewPointsHome],Table2[GameDate], "&lt;=" &amp; $A126, Table2[HomeTeam], L$1)</f>
        <v>3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3</v>
      </c>
      <c r="O126" s="145">
        <f>SUMIFS(Table2[NewPointsAway],Table2[GameDate], "&lt;=" &amp; $A126, Table2[AwayTeam], O$1)+SUMIFS(Table2[NewPointsHome],Table2[GameDate], "&lt;=" &amp; $A126, Table2[HomeTeam], O$1)</f>
        <v>4</v>
      </c>
      <c r="P126" s="145">
        <f>SUMIFS(Table2[NewPointsAway],Table2[GameDate], "&lt;=" &amp; $A126, Table2[AwayTeam], P$1)+SUMIFS(Table2[NewPointsHome],Table2[GameDate], "&lt;=" &amp; $A126, Table2[HomeTeam], P$1)</f>
        <v>4</v>
      </c>
      <c r="Q126" s="145">
        <f>SUMIFS(Table2[NewPointsAway],Table2[GameDate], "&lt;=" &amp; $A126, Table2[AwayTeam], Q$1)+SUMIFS(Table2[NewPointsHome],Table2[GameDate], "&lt;=" &amp; $A126, Table2[HomeTeam], Q$1)</f>
        <v>4</v>
      </c>
      <c r="R126" s="145">
        <f>SUMIFS(Table2[NewPointsAway],Table2[GameDate], "&lt;=" &amp; $A126, Table2[AwayTeam], R$1)+SUMIFS(Table2[NewPointsHome],Table2[GameDate], "&lt;=" &amp; $A126, Table2[HomeTeam], R$1)</f>
        <v>5</v>
      </c>
      <c r="S126" s="145">
        <f>SUMIFS(Table2[NewPointsAway],Table2[GameDate], "&lt;=" &amp; $A126, Table2[AwayTeam], S$1)+SUMIFS(Table2[NewPointsHome],Table2[GameDate], "&lt;=" &amp; $A126, Table2[HomeTeam], S$1)</f>
        <v>0</v>
      </c>
      <c r="T126" s="145">
        <f>SUMIFS(Table2[NewPointsAway],Table2[GameDate], "&lt;=" &amp; $A126, Table2[AwayTeam], T$1)+SUMIFS(Table2[NewPointsHome],Table2[GameDate], "&lt;=" &amp; $A126, Table2[HomeTeam], T$1)</f>
        <v>4</v>
      </c>
      <c r="U126" s="145">
        <f>SUMIFS(Table2[NewPointsAway],Table2[GameDate], "&lt;=" &amp; $A126, Table2[AwayTeam], U$1)+SUMIFS(Table2[NewPointsHome],Table2[GameDate], "&lt;=" &amp; $A126, Table2[HomeTeam], U$1)</f>
        <v>2</v>
      </c>
      <c r="V126" s="145">
        <f>SUMIFS(Table2[NewPointsAway],Table2[GameDate], "&lt;=" &amp; $A126, Table2[AwayTeam], V$1)+SUMIFS(Table2[NewPointsHome],Table2[GameDate], "&lt;=" &amp; $A126, Table2[HomeTeam], V$1)</f>
        <v>3</v>
      </c>
      <c r="W126" s="145">
        <f>SUMIFS(Table2[NewPointsAway],Table2[GameDate], "&lt;=" &amp; $A126, Table2[AwayTeam], W$1)+SUMIFS(Table2[NewPointsHome],Table2[GameDate], "&lt;=" &amp; $A126, Table2[HomeTeam], W$1)</f>
        <v>4</v>
      </c>
      <c r="X126" s="145">
        <f>SUMIFS(Table2[NewPointsAway],Table2[GameDate], "&lt;=" &amp; $A126, Table2[AwayTeam], X$1)+SUMIFS(Table2[NewPointsHome],Table2[GameDate], "&lt;=" &amp; $A126, Table2[HomeTeam], X$1)</f>
        <v>4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4</v>
      </c>
      <c r="AA126" s="145">
        <f>SUMIFS(Table2[NewPointsAway],Table2[GameDate], "&lt;=" &amp; $A126, Table2[AwayTeam], AA$1)+SUMIFS(Table2[NewPointsHome],Table2[GameDate], "&lt;=" &amp; $A126, Table2[HomeTeam], AA$1)</f>
        <v>2</v>
      </c>
      <c r="AB126" s="145">
        <f>SUMIFS(Table2[NewPointsAway],Table2[GameDate], "&lt;=" &amp; $A126, Table2[AwayTeam], AB$1)+SUMIFS(Table2[NewPointsHome],Table2[GameDate], "&lt;=" &amp; $A126, Table2[HomeTeam], AB$1)</f>
        <v>2</v>
      </c>
      <c r="AC126" s="145">
        <f>SUMIFS(Table2[NewPointsAway],Table2[GameDate], "&lt;=" &amp; $A126, Table2[AwayTeam], AC$1)+SUMIFS(Table2[NewPointsHome],Table2[GameDate], "&lt;=" &amp; $A126, Table2[HomeTeam], AC$1)</f>
        <v>2</v>
      </c>
      <c r="AD126" s="145">
        <f>SUMIFS(Table2[NewPointsAway],Table2[GameDate], "&lt;=" &amp; $A126, Table2[AwayTeam], AD$1)+SUMIFS(Table2[NewPointsHome],Table2[GameDate], "&lt;=" &amp; $A126, Table2[HomeTeam], AD$1)</f>
        <v>2</v>
      </c>
      <c r="AE126" s="145">
        <f>SUMIFS(Table2[NewPointsAway],Table2[GameDate], "&lt;=" &amp; $A126, Table2[AwayTeam], AE$1)+SUMIFS(Table2[NewPointsHome],Table2[GameDate], "&lt;=" &amp; $A126, Table2[HomeTeam], AE$1)</f>
        <v>4</v>
      </c>
      <c r="AF126" s="145">
        <f>SUMIFS(Table2[NewPointsAway],Table2[GameDate], "&lt;=" &amp; $A126, Table2[AwayTeam], AF$1)+SUMIFS(Table2[NewPointsHome],Table2[GameDate], "&lt;=" &amp; $A126, Table2[HomeTeam], AF$1)</f>
        <v>4</v>
      </c>
      <c r="AG126" s="145">
        <f>SUMIFS(Table2[NewPointsAway],Table2[GameDate], "&lt;=" &amp; $A126, Table2[AwayTeam], AG$1)+SUMIFS(Table2[NewPointsHome],Table2[GameDate], "&lt;=" &amp; $A126, Table2[HomeTeam], AG$1)</f>
        <v>4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2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0</v>
      </c>
      <c r="E127" s="145">
        <f>SUMIFS(Table2[NewPointsAway],Table2[GameDate], "&lt;=" &amp; $A127, Table2[AwayTeam], E$1)+SUMIFS(Table2[NewPointsHome],Table2[GameDate], "&lt;=" &amp; $A127, Table2[HomeTeam], E$1)</f>
        <v>4</v>
      </c>
      <c r="F127" s="145">
        <f>SUMIFS(Table2[NewPointsAway],Table2[GameDate], "&lt;=" &amp; $A127, Table2[AwayTeam], F$1)+SUMIFS(Table2[NewPointsHome],Table2[GameDate], "&lt;=" &amp; $A127, Table2[HomeTeam], F$1)</f>
        <v>2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3</v>
      </c>
      <c r="I127" s="145">
        <f>SUMIFS(Table2[NewPointsAway],Table2[GameDate], "&lt;=" &amp; $A127, Table2[AwayTeam], I$1)+SUMIFS(Table2[NewPointsHome],Table2[GameDate], "&lt;=" &amp; $A127, Table2[HomeTeam], I$1)</f>
        <v>7</v>
      </c>
      <c r="J127" s="145">
        <f>SUMIFS(Table2[NewPointsAway],Table2[GameDate], "&lt;=" &amp; $A127, Table2[AwayTeam], J$1)+SUMIFS(Table2[NewPointsHome],Table2[GameDate], "&lt;=" &amp; $A127, Table2[HomeTeam], J$1)</f>
        <v>4</v>
      </c>
      <c r="K127" s="145">
        <f>SUMIFS(Table2[NewPointsAway],Table2[GameDate], "&lt;=" &amp; $A127, Table2[AwayTeam], K$1)+SUMIFS(Table2[NewPointsHome],Table2[GameDate], "&lt;=" &amp; $A127, Table2[HomeTeam], K$1)</f>
        <v>4</v>
      </c>
      <c r="L127" s="145">
        <f>SUMIFS(Table2[NewPointsAway],Table2[GameDate], "&lt;=" &amp; $A127, Table2[AwayTeam], L$1)+SUMIFS(Table2[NewPointsHome],Table2[GameDate], "&lt;=" &amp; $A127, Table2[HomeTeam], L$1)</f>
        <v>3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3</v>
      </c>
      <c r="O127" s="145">
        <f>SUMIFS(Table2[NewPointsAway],Table2[GameDate], "&lt;=" &amp; $A127, Table2[AwayTeam], O$1)+SUMIFS(Table2[NewPointsHome],Table2[GameDate], "&lt;=" &amp; $A127, Table2[HomeTeam], O$1)</f>
        <v>4</v>
      </c>
      <c r="P127" s="145">
        <f>SUMIFS(Table2[NewPointsAway],Table2[GameDate], "&lt;=" &amp; $A127, Table2[AwayTeam], P$1)+SUMIFS(Table2[NewPointsHome],Table2[GameDate], "&lt;=" &amp; $A127, Table2[HomeTeam], P$1)</f>
        <v>4</v>
      </c>
      <c r="Q127" s="145">
        <f>SUMIFS(Table2[NewPointsAway],Table2[GameDate], "&lt;=" &amp; $A127, Table2[AwayTeam], Q$1)+SUMIFS(Table2[NewPointsHome],Table2[GameDate], "&lt;=" &amp; $A127, Table2[HomeTeam], Q$1)</f>
        <v>4</v>
      </c>
      <c r="R127" s="145">
        <f>SUMIFS(Table2[NewPointsAway],Table2[GameDate], "&lt;=" &amp; $A127, Table2[AwayTeam], R$1)+SUMIFS(Table2[NewPointsHome],Table2[GameDate], "&lt;=" &amp; $A127, Table2[HomeTeam], R$1)</f>
        <v>5</v>
      </c>
      <c r="S127" s="145">
        <f>SUMIFS(Table2[NewPointsAway],Table2[GameDate], "&lt;=" &amp; $A127, Table2[AwayTeam], S$1)+SUMIFS(Table2[NewPointsHome],Table2[GameDate], "&lt;=" &amp; $A127, Table2[HomeTeam], S$1)</f>
        <v>0</v>
      </c>
      <c r="T127" s="145">
        <f>SUMIFS(Table2[NewPointsAway],Table2[GameDate], "&lt;=" &amp; $A127, Table2[AwayTeam], T$1)+SUMIFS(Table2[NewPointsHome],Table2[GameDate], "&lt;=" &amp; $A127, Table2[HomeTeam], T$1)</f>
        <v>4</v>
      </c>
      <c r="U127" s="145">
        <f>SUMIFS(Table2[NewPointsAway],Table2[GameDate], "&lt;=" &amp; $A127, Table2[AwayTeam], U$1)+SUMIFS(Table2[NewPointsHome],Table2[GameDate], "&lt;=" &amp; $A127, Table2[HomeTeam], U$1)</f>
        <v>2</v>
      </c>
      <c r="V127" s="145">
        <f>SUMIFS(Table2[NewPointsAway],Table2[GameDate], "&lt;=" &amp; $A127, Table2[AwayTeam], V$1)+SUMIFS(Table2[NewPointsHome],Table2[GameDate], "&lt;=" &amp; $A127, Table2[HomeTeam], V$1)</f>
        <v>3</v>
      </c>
      <c r="W127" s="145">
        <f>SUMIFS(Table2[NewPointsAway],Table2[GameDate], "&lt;=" &amp; $A127, Table2[AwayTeam], W$1)+SUMIFS(Table2[NewPointsHome],Table2[GameDate], "&lt;=" &amp; $A127, Table2[HomeTeam], W$1)</f>
        <v>4</v>
      </c>
      <c r="X127" s="145">
        <f>SUMIFS(Table2[NewPointsAway],Table2[GameDate], "&lt;=" &amp; $A127, Table2[AwayTeam], X$1)+SUMIFS(Table2[NewPointsHome],Table2[GameDate], "&lt;=" &amp; $A127, Table2[HomeTeam], X$1)</f>
        <v>4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4</v>
      </c>
      <c r="AA127" s="145">
        <f>SUMIFS(Table2[NewPointsAway],Table2[GameDate], "&lt;=" &amp; $A127, Table2[AwayTeam], AA$1)+SUMIFS(Table2[NewPointsHome],Table2[GameDate], "&lt;=" &amp; $A127, Table2[HomeTeam], AA$1)</f>
        <v>2</v>
      </c>
      <c r="AB127" s="145">
        <f>SUMIFS(Table2[NewPointsAway],Table2[GameDate], "&lt;=" &amp; $A127, Table2[AwayTeam], AB$1)+SUMIFS(Table2[NewPointsHome],Table2[GameDate], "&lt;=" &amp; $A127, Table2[HomeTeam], AB$1)</f>
        <v>2</v>
      </c>
      <c r="AC127" s="145">
        <f>SUMIFS(Table2[NewPointsAway],Table2[GameDate], "&lt;=" &amp; $A127, Table2[AwayTeam], AC$1)+SUMIFS(Table2[NewPointsHome],Table2[GameDate], "&lt;=" &amp; $A127, Table2[HomeTeam], AC$1)</f>
        <v>2</v>
      </c>
      <c r="AD127" s="145">
        <f>SUMIFS(Table2[NewPointsAway],Table2[GameDate], "&lt;=" &amp; $A127, Table2[AwayTeam], AD$1)+SUMIFS(Table2[NewPointsHome],Table2[GameDate], "&lt;=" &amp; $A127, Table2[HomeTeam], AD$1)</f>
        <v>2</v>
      </c>
      <c r="AE127" s="145">
        <f>SUMIFS(Table2[NewPointsAway],Table2[GameDate], "&lt;=" &amp; $A127, Table2[AwayTeam], AE$1)+SUMIFS(Table2[NewPointsHome],Table2[GameDate], "&lt;=" &amp; $A127, Table2[HomeTeam], AE$1)</f>
        <v>4</v>
      </c>
      <c r="AF127" s="145">
        <f>SUMIFS(Table2[NewPointsAway],Table2[GameDate], "&lt;=" &amp; $A127, Table2[AwayTeam], AF$1)+SUMIFS(Table2[NewPointsHome],Table2[GameDate], "&lt;=" &amp; $A127, Table2[HomeTeam], AF$1)</f>
        <v>4</v>
      </c>
      <c r="AG127" s="145">
        <f>SUMIFS(Table2[NewPointsAway],Table2[GameDate], "&lt;=" &amp; $A127, Table2[AwayTeam], AG$1)+SUMIFS(Table2[NewPointsHome],Table2[GameDate], "&lt;=" &amp; $A127, Table2[HomeTeam], AG$1)</f>
        <v>4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2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0</v>
      </c>
      <c r="E128" s="145">
        <f>SUMIFS(Table2[NewPointsAway],Table2[GameDate], "&lt;=" &amp; $A128, Table2[AwayTeam], E$1)+SUMIFS(Table2[NewPointsHome],Table2[GameDate], "&lt;=" &amp; $A128, Table2[HomeTeam], E$1)</f>
        <v>4</v>
      </c>
      <c r="F128" s="145">
        <f>SUMIFS(Table2[NewPointsAway],Table2[GameDate], "&lt;=" &amp; $A128, Table2[AwayTeam], F$1)+SUMIFS(Table2[NewPointsHome],Table2[GameDate], "&lt;=" &amp; $A128, Table2[HomeTeam], F$1)</f>
        <v>2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3</v>
      </c>
      <c r="I128" s="145">
        <f>SUMIFS(Table2[NewPointsAway],Table2[GameDate], "&lt;=" &amp; $A128, Table2[AwayTeam], I$1)+SUMIFS(Table2[NewPointsHome],Table2[GameDate], "&lt;=" &amp; $A128, Table2[HomeTeam], I$1)</f>
        <v>7</v>
      </c>
      <c r="J128" s="145">
        <f>SUMIFS(Table2[NewPointsAway],Table2[GameDate], "&lt;=" &amp; $A128, Table2[AwayTeam], J$1)+SUMIFS(Table2[NewPointsHome],Table2[GameDate], "&lt;=" &amp; $A128, Table2[HomeTeam], J$1)</f>
        <v>4</v>
      </c>
      <c r="K128" s="145">
        <f>SUMIFS(Table2[NewPointsAway],Table2[GameDate], "&lt;=" &amp; $A128, Table2[AwayTeam], K$1)+SUMIFS(Table2[NewPointsHome],Table2[GameDate], "&lt;=" &amp; $A128, Table2[HomeTeam], K$1)</f>
        <v>4</v>
      </c>
      <c r="L128" s="145">
        <f>SUMIFS(Table2[NewPointsAway],Table2[GameDate], "&lt;=" &amp; $A128, Table2[AwayTeam], L$1)+SUMIFS(Table2[NewPointsHome],Table2[GameDate], "&lt;=" &amp; $A128, Table2[HomeTeam], L$1)</f>
        <v>3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3</v>
      </c>
      <c r="O128" s="145">
        <f>SUMIFS(Table2[NewPointsAway],Table2[GameDate], "&lt;=" &amp; $A128, Table2[AwayTeam], O$1)+SUMIFS(Table2[NewPointsHome],Table2[GameDate], "&lt;=" &amp; $A128, Table2[HomeTeam], O$1)</f>
        <v>4</v>
      </c>
      <c r="P128" s="145">
        <f>SUMIFS(Table2[NewPointsAway],Table2[GameDate], "&lt;=" &amp; $A128, Table2[AwayTeam], P$1)+SUMIFS(Table2[NewPointsHome],Table2[GameDate], "&lt;=" &amp; $A128, Table2[HomeTeam], P$1)</f>
        <v>4</v>
      </c>
      <c r="Q128" s="145">
        <f>SUMIFS(Table2[NewPointsAway],Table2[GameDate], "&lt;=" &amp; $A128, Table2[AwayTeam], Q$1)+SUMIFS(Table2[NewPointsHome],Table2[GameDate], "&lt;=" &amp; $A128, Table2[HomeTeam], Q$1)</f>
        <v>4</v>
      </c>
      <c r="R128" s="145">
        <f>SUMIFS(Table2[NewPointsAway],Table2[GameDate], "&lt;=" &amp; $A128, Table2[AwayTeam], R$1)+SUMIFS(Table2[NewPointsHome],Table2[GameDate], "&lt;=" &amp; $A128, Table2[HomeTeam], R$1)</f>
        <v>5</v>
      </c>
      <c r="S128" s="145">
        <f>SUMIFS(Table2[NewPointsAway],Table2[GameDate], "&lt;=" &amp; $A128, Table2[AwayTeam], S$1)+SUMIFS(Table2[NewPointsHome],Table2[GameDate], "&lt;=" &amp; $A128, Table2[HomeTeam], S$1)</f>
        <v>0</v>
      </c>
      <c r="T128" s="145">
        <f>SUMIFS(Table2[NewPointsAway],Table2[GameDate], "&lt;=" &amp; $A128, Table2[AwayTeam], T$1)+SUMIFS(Table2[NewPointsHome],Table2[GameDate], "&lt;=" &amp; $A128, Table2[HomeTeam], T$1)</f>
        <v>4</v>
      </c>
      <c r="U128" s="145">
        <f>SUMIFS(Table2[NewPointsAway],Table2[GameDate], "&lt;=" &amp; $A128, Table2[AwayTeam], U$1)+SUMIFS(Table2[NewPointsHome],Table2[GameDate], "&lt;=" &amp; $A128, Table2[HomeTeam], U$1)</f>
        <v>2</v>
      </c>
      <c r="V128" s="145">
        <f>SUMIFS(Table2[NewPointsAway],Table2[GameDate], "&lt;=" &amp; $A128, Table2[AwayTeam], V$1)+SUMIFS(Table2[NewPointsHome],Table2[GameDate], "&lt;=" &amp; $A128, Table2[HomeTeam], V$1)</f>
        <v>3</v>
      </c>
      <c r="W128" s="145">
        <f>SUMIFS(Table2[NewPointsAway],Table2[GameDate], "&lt;=" &amp; $A128, Table2[AwayTeam], W$1)+SUMIFS(Table2[NewPointsHome],Table2[GameDate], "&lt;=" &amp; $A128, Table2[HomeTeam], W$1)</f>
        <v>4</v>
      </c>
      <c r="X128" s="145">
        <f>SUMIFS(Table2[NewPointsAway],Table2[GameDate], "&lt;=" &amp; $A128, Table2[AwayTeam], X$1)+SUMIFS(Table2[NewPointsHome],Table2[GameDate], "&lt;=" &amp; $A128, Table2[HomeTeam], X$1)</f>
        <v>4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4</v>
      </c>
      <c r="AA128" s="145">
        <f>SUMIFS(Table2[NewPointsAway],Table2[GameDate], "&lt;=" &amp; $A128, Table2[AwayTeam], AA$1)+SUMIFS(Table2[NewPointsHome],Table2[GameDate], "&lt;=" &amp; $A128, Table2[HomeTeam], AA$1)</f>
        <v>2</v>
      </c>
      <c r="AB128" s="145">
        <f>SUMIFS(Table2[NewPointsAway],Table2[GameDate], "&lt;=" &amp; $A128, Table2[AwayTeam], AB$1)+SUMIFS(Table2[NewPointsHome],Table2[GameDate], "&lt;=" &amp; $A128, Table2[HomeTeam], AB$1)</f>
        <v>2</v>
      </c>
      <c r="AC128" s="145">
        <f>SUMIFS(Table2[NewPointsAway],Table2[GameDate], "&lt;=" &amp; $A128, Table2[AwayTeam], AC$1)+SUMIFS(Table2[NewPointsHome],Table2[GameDate], "&lt;=" &amp; $A128, Table2[HomeTeam], AC$1)</f>
        <v>2</v>
      </c>
      <c r="AD128" s="145">
        <f>SUMIFS(Table2[NewPointsAway],Table2[GameDate], "&lt;=" &amp; $A128, Table2[AwayTeam], AD$1)+SUMIFS(Table2[NewPointsHome],Table2[GameDate], "&lt;=" &amp; $A128, Table2[HomeTeam], AD$1)</f>
        <v>2</v>
      </c>
      <c r="AE128" s="145">
        <f>SUMIFS(Table2[NewPointsAway],Table2[GameDate], "&lt;=" &amp; $A128, Table2[AwayTeam], AE$1)+SUMIFS(Table2[NewPointsHome],Table2[GameDate], "&lt;=" &amp; $A128, Table2[HomeTeam], AE$1)</f>
        <v>4</v>
      </c>
      <c r="AF128" s="145">
        <f>SUMIFS(Table2[NewPointsAway],Table2[GameDate], "&lt;=" &amp; $A128, Table2[AwayTeam], AF$1)+SUMIFS(Table2[NewPointsHome],Table2[GameDate], "&lt;=" &amp; $A128, Table2[HomeTeam], AF$1)</f>
        <v>4</v>
      </c>
      <c r="AG128" s="145">
        <f>SUMIFS(Table2[NewPointsAway],Table2[GameDate], "&lt;=" &amp; $A128, Table2[AwayTeam], AG$1)+SUMIFS(Table2[NewPointsHome],Table2[GameDate], "&lt;=" &amp; $A128, Table2[HomeTeam], AG$1)</f>
        <v>4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2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0</v>
      </c>
      <c r="E129" s="145">
        <f>SUMIFS(Table2[NewPointsAway],Table2[GameDate], "&lt;=" &amp; $A129, Table2[AwayTeam], E$1)+SUMIFS(Table2[NewPointsHome],Table2[GameDate], "&lt;=" &amp; $A129, Table2[HomeTeam], E$1)</f>
        <v>4</v>
      </c>
      <c r="F129" s="145">
        <f>SUMIFS(Table2[NewPointsAway],Table2[GameDate], "&lt;=" &amp; $A129, Table2[AwayTeam], F$1)+SUMIFS(Table2[NewPointsHome],Table2[GameDate], "&lt;=" &amp; $A129, Table2[HomeTeam], F$1)</f>
        <v>2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3</v>
      </c>
      <c r="I129" s="145">
        <f>SUMIFS(Table2[NewPointsAway],Table2[GameDate], "&lt;=" &amp; $A129, Table2[AwayTeam], I$1)+SUMIFS(Table2[NewPointsHome],Table2[GameDate], "&lt;=" &amp; $A129, Table2[HomeTeam], I$1)</f>
        <v>7</v>
      </c>
      <c r="J129" s="145">
        <f>SUMIFS(Table2[NewPointsAway],Table2[GameDate], "&lt;=" &amp; $A129, Table2[AwayTeam], J$1)+SUMIFS(Table2[NewPointsHome],Table2[GameDate], "&lt;=" &amp; $A129, Table2[HomeTeam], J$1)</f>
        <v>4</v>
      </c>
      <c r="K129" s="145">
        <f>SUMIFS(Table2[NewPointsAway],Table2[GameDate], "&lt;=" &amp; $A129, Table2[AwayTeam], K$1)+SUMIFS(Table2[NewPointsHome],Table2[GameDate], "&lt;=" &amp; $A129, Table2[HomeTeam], K$1)</f>
        <v>4</v>
      </c>
      <c r="L129" s="145">
        <f>SUMIFS(Table2[NewPointsAway],Table2[GameDate], "&lt;=" &amp; $A129, Table2[AwayTeam], L$1)+SUMIFS(Table2[NewPointsHome],Table2[GameDate], "&lt;=" &amp; $A129, Table2[HomeTeam], L$1)</f>
        <v>3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3</v>
      </c>
      <c r="O129" s="145">
        <f>SUMIFS(Table2[NewPointsAway],Table2[GameDate], "&lt;=" &amp; $A129, Table2[AwayTeam], O$1)+SUMIFS(Table2[NewPointsHome],Table2[GameDate], "&lt;=" &amp; $A129, Table2[HomeTeam], O$1)</f>
        <v>4</v>
      </c>
      <c r="P129" s="145">
        <f>SUMIFS(Table2[NewPointsAway],Table2[GameDate], "&lt;=" &amp; $A129, Table2[AwayTeam], P$1)+SUMIFS(Table2[NewPointsHome],Table2[GameDate], "&lt;=" &amp; $A129, Table2[HomeTeam], P$1)</f>
        <v>4</v>
      </c>
      <c r="Q129" s="145">
        <f>SUMIFS(Table2[NewPointsAway],Table2[GameDate], "&lt;=" &amp; $A129, Table2[AwayTeam], Q$1)+SUMIFS(Table2[NewPointsHome],Table2[GameDate], "&lt;=" &amp; $A129, Table2[HomeTeam], Q$1)</f>
        <v>4</v>
      </c>
      <c r="R129" s="145">
        <f>SUMIFS(Table2[NewPointsAway],Table2[GameDate], "&lt;=" &amp; $A129, Table2[AwayTeam], R$1)+SUMIFS(Table2[NewPointsHome],Table2[GameDate], "&lt;=" &amp; $A129, Table2[HomeTeam], R$1)</f>
        <v>5</v>
      </c>
      <c r="S129" s="145">
        <f>SUMIFS(Table2[NewPointsAway],Table2[GameDate], "&lt;=" &amp; $A129, Table2[AwayTeam], S$1)+SUMIFS(Table2[NewPointsHome],Table2[GameDate], "&lt;=" &amp; $A129, Table2[HomeTeam], S$1)</f>
        <v>0</v>
      </c>
      <c r="T129" s="145">
        <f>SUMIFS(Table2[NewPointsAway],Table2[GameDate], "&lt;=" &amp; $A129, Table2[AwayTeam], T$1)+SUMIFS(Table2[NewPointsHome],Table2[GameDate], "&lt;=" &amp; $A129, Table2[HomeTeam], T$1)</f>
        <v>4</v>
      </c>
      <c r="U129" s="145">
        <f>SUMIFS(Table2[NewPointsAway],Table2[GameDate], "&lt;=" &amp; $A129, Table2[AwayTeam], U$1)+SUMIFS(Table2[NewPointsHome],Table2[GameDate], "&lt;=" &amp; $A129, Table2[HomeTeam], U$1)</f>
        <v>2</v>
      </c>
      <c r="V129" s="145">
        <f>SUMIFS(Table2[NewPointsAway],Table2[GameDate], "&lt;=" &amp; $A129, Table2[AwayTeam], V$1)+SUMIFS(Table2[NewPointsHome],Table2[GameDate], "&lt;=" &amp; $A129, Table2[HomeTeam], V$1)</f>
        <v>3</v>
      </c>
      <c r="W129" s="145">
        <f>SUMIFS(Table2[NewPointsAway],Table2[GameDate], "&lt;=" &amp; $A129, Table2[AwayTeam], W$1)+SUMIFS(Table2[NewPointsHome],Table2[GameDate], "&lt;=" &amp; $A129, Table2[HomeTeam], W$1)</f>
        <v>4</v>
      </c>
      <c r="X129" s="145">
        <f>SUMIFS(Table2[NewPointsAway],Table2[GameDate], "&lt;=" &amp; $A129, Table2[AwayTeam], X$1)+SUMIFS(Table2[NewPointsHome],Table2[GameDate], "&lt;=" &amp; $A129, Table2[HomeTeam], X$1)</f>
        <v>4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4</v>
      </c>
      <c r="AA129" s="145">
        <f>SUMIFS(Table2[NewPointsAway],Table2[GameDate], "&lt;=" &amp; $A129, Table2[AwayTeam], AA$1)+SUMIFS(Table2[NewPointsHome],Table2[GameDate], "&lt;=" &amp; $A129, Table2[HomeTeam], AA$1)</f>
        <v>2</v>
      </c>
      <c r="AB129" s="145">
        <f>SUMIFS(Table2[NewPointsAway],Table2[GameDate], "&lt;=" &amp; $A129, Table2[AwayTeam], AB$1)+SUMIFS(Table2[NewPointsHome],Table2[GameDate], "&lt;=" &amp; $A129, Table2[HomeTeam], AB$1)</f>
        <v>2</v>
      </c>
      <c r="AC129" s="145">
        <f>SUMIFS(Table2[NewPointsAway],Table2[GameDate], "&lt;=" &amp; $A129, Table2[AwayTeam], AC$1)+SUMIFS(Table2[NewPointsHome],Table2[GameDate], "&lt;=" &amp; $A129, Table2[HomeTeam], AC$1)</f>
        <v>2</v>
      </c>
      <c r="AD129" s="145">
        <f>SUMIFS(Table2[NewPointsAway],Table2[GameDate], "&lt;=" &amp; $A129, Table2[AwayTeam], AD$1)+SUMIFS(Table2[NewPointsHome],Table2[GameDate], "&lt;=" &amp; $A129, Table2[HomeTeam], AD$1)</f>
        <v>2</v>
      </c>
      <c r="AE129" s="145">
        <f>SUMIFS(Table2[NewPointsAway],Table2[GameDate], "&lt;=" &amp; $A129, Table2[AwayTeam], AE$1)+SUMIFS(Table2[NewPointsHome],Table2[GameDate], "&lt;=" &amp; $A129, Table2[HomeTeam], AE$1)</f>
        <v>4</v>
      </c>
      <c r="AF129" s="145">
        <f>SUMIFS(Table2[NewPointsAway],Table2[GameDate], "&lt;=" &amp; $A129, Table2[AwayTeam], AF$1)+SUMIFS(Table2[NewPointsHome],Table2[GameDate], "&lt;=" &amp; $A129, Table2[HomeTeam], AF$1)</f>
        <v>4</v>
      </c>
      <c r="AG129" s="145">
        <f>SUMIFS(Table2[NewPointsAway],Table2[GameDate], "&lt;=" &amp; $A129, Table2[AwayTeam], AG$1)+SUMIFS(Table2[NewPointsHome],Table2[GameDate], "&lt;=" &amp; $A129, Table2[HomeTeam], AG$1)</f>
        <v>4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2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0</v>
      </c>
      <c r="E130" s="145">
        <f>SUMIFS(Table2[NewPointsAway],Table2[GameDate], "&lt;=" &amp; $A130, Table2[AwayTeam], E$1)+SUMIFS(Table2[NewPointsHome],Table2[GameDate], "&lt;=" &amp; $A130, Table2[HomeTeam], E$1)</f>
        <v>4</v>
      </c>
      <c r="F130" s="145">
        <f>SUMIFS(Table2[NewPointsAway],Table2[GameDate], "&lt;=" &amp; $A130, Table2[AwayTeam], F$1)+SUMIFS(Table2[NewPointsHome],Table2[GameDate], "&lt;=" &amp; $A130, Table2[HomeTeam], F$1)</f>
        <v>2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3</v>
      </c>
      <c r="I130" s="145">
        <f>SUMIFS(Table2[NewPointsAway],Table2[GameDate], "&lt;=" &amp; $A130, Table2[AwayTeam], I$1)+SUMIFS(Table2[NewPointsHome],Table2[GameDate], "&lt;=" &amp; $A130, Table2[HomeTeam], I$1)</f>
        <v>7</v>
      </c>
      <c r="J130" s="145">
        <f>SUMIFS(Table2[NewPointsAway],Table2[GameDate], "&lt;=" &amp; $A130, Table2[AwayTeam], J$1)+SUMIFS(Table2[NewPointsHome],Table2[GameDate], "&lt;=" &amp; $A130, Table2[HomeTeam], J$1)</f>
        <v>4</v>
      </c>
      <c r="K130" s="145">
        <f>SUMIFS(Table2[NewPointsAway],Table2[GameDate], "&lt;=" &amp; $A130, Table2[AwayTeam], K$1)+SUMIFS(Table2[NewPointsHome],Table2[GameDate], "&lt;=" &amp; $A130, Table2[HomeTeam], K$1)</f>
        <v>4</v>
      </c>
      <c r="L130" s="145">
        <f>SUMIFS(Table2[NewPointsAway],Table2[GameDate], "&lt;=" &amp; $A130, Table2[AwayTeam], L$1)+SUMIFS(Table2[NewPointsHome],Table2[GameDate], "&lt;=" &amp; $A130, Table2[HomeTeam], L$1)</f>
        <v>3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3</v>
      </c>
      <c r="O130" s="145">
        <f>SUMIFS(Table2[NewPointsAway],Table2[GameDate], "&lt;=" &amp; $A130, Table2[AwayTeam], O$1)+SUMIFS(Table2[NewPointsHome],Table2[GameDate], "&lt;=" &amp; $A130, Table2[HomeTeam], O$1)</f>
        <v>4</v>
      </c>
      <c r="P130" s="145">
        <f>SUMIFS(Table2[NewPointsAway],Table2[GameDate], "&lt;=" &amp; $A130, Table2[AwayTeam], P$1)+SUMIFS(Table2[NewPointsHome],Table2[GameDate], "&lt;=" &amp; $A130, Table2[HomeTeam], P$1)</f>
        <v>4</v>
      </c>
      <c r="Q130" s="145">
        <f>SUMIFS(Table2[NewPointsAway],Table2[GameDate], "&lt;=" &amp; $A130, Table2[AwayTeam], Q$1)+SUMIFS(Table2[NewPointsHome],Table2[GameDate], "&lt;=" &amp; $A130, Table2[HomeTeam], Q$1)</f>
        <v>4</v>
      </c>
      <c r="R130" s="145">
        <f>SUMIFS(Table2[NewPointsAway],Table2[GameDate], "&lt;=" &amp; $A130, Table2[AwayTeam], R$1)+SUMIFS(Table2[NewPointsHome],Table2[GameDate], "&lt;=" &amp; $A130, Table2[HomeTeam], R$1)</f>
        <v>5</v>
      </c>
      <c r="S130" s="145">
        <f>SUMIFS(Table2[NewPointsAway],Table2[GameDate], "&lt;=" &amp; $A130, Table2[AwayTeam], S$1)+SUMIFS(Table2[NewPointsHome],Table2[GameDate], "&lt;=" &amp; $A130, Table2[HomeTeam], S$1)</f>
        <v>0</v>
      </c>
      <c r="T130" s="145">
        <f>SUMIFS(Table2[NewPointsAway],Table2[GameDate], "&lt;=" &amp; $A130, Table2[AwayTeam], T$1)+SUMIFS(Table2[NewPointsHome],Table2[GameDate], "&lt;=" &amp; $A130, Table2[HomeTeam], T$1)</f>
        <v>4</v>
      </c>
      <c r="U130" s="145">
        <f>SUMIFS(Table2[NewPointsAway],Table2[GameDate], "&lt;=" &amp; $A130, Table2[AwayTeam], U$1)+SUMIFS(Table2[NewPointsHome],Table2[GameDate], "&lt;=" &amp; $A130, Table2[HomeTeam], U$1)</f>
        <v>2</v>
      </c>
      <c r="V130" s="145">
        <f>SUMIFS(Table2[NewPointsAway],Table2[GameDate], "&lt;=" &amp; $A130, Table2[AwayTeam], V$1)+SUMIFS(Table2[NewPointsHome],Table2[GameDate], "&lt;=" &amp; $A130, Table2[HomeTeam], V$1)</f>
        <v>3</v>
      </c>
      <c r="W130" s="145">
        <f>SUMIFS(Table2[NewPointsAway],Table2[GameDate], "&lt;=" &amp; $A130, Table2[AwayTeam], W$1)+SUMIFS(Table2[NewPointsHome],Table2[GameDate], "&lt;=" &amp; $A130, Table2[HomeTeam], W$1)</f>
        <v>4</v>
      </c>
      <c r="X130" s="145">
        <f>SUMIFS(Table2[NewPointsAway],Table2[GameDate], "&lt;=" &amp; $A130, Table2[AwayTeam], X$1)+SUMIFS(Table2[NewPointsHome],Table2[GameDate], "&lt;=" &amp; $A130, Table2[HomeTeam], X$1)</f>
        <v>4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4</v>
      </c>
      <c r="AA130" s="145">
        <f>SUMIFS(Table2[NewPointsAway],Table2[GameDate], "&lt;=" &amp; $A130, Table2[AwayTeam], AA$1)+SUMIFS(Table2[NewPointsHome],Table2[GameDate], "&lt;=" &amp; $A130, Table2[HomeTeam], AA$1)</f>
        <v>2</v>
      </c>
      <c r="AB130" s="145">
        <f>SUMIFS(Table2[NewPointsAway],Table2[GameDate], "&lt;=" &amp; $A130, Table2[AwayTeam], AB$1)+SUMIFS(Table2[NewPointsHome],Table2[GameDate], "&lt;=" &amp; $A130, Table2[HomeTeam], AB$1)</f>
        <v>2</v>
      </c>
      <c r="AC130" s="145">
        <f>SUMIFS(Table2[NewPointsAway],Table2[GameDate], "&lt;=" &amp; $A130, Table2[AwayTeam], AC$1)+SUMIFS(Table2[NewPointsHome],Table2[GameDate], "&lt;=" &amp; $A130, Table2[HomeTeam], AC$1)</f>
        <v>2</v>
      </c>
      <c r="AD130" s="145">
        <f>SUMIFS(Table2[NewPointsAway],Table2[GameDate], "&lt;=" &amp; $A130, Table2[AwayTeam], AD$1)+SUMIFS(Table2[NewPointsHome],Table2[GameDate], "&lt;=" &amp; $A130, Table2[HomeTeam], AD$1)</f>
        <v>2</v>
      </c>
      <c r="AE130" s="145">
        <f>SUMIFS(Table2[NewPointsAway],Table2[GameDate], "&lt;=" &amp; $A130, Table2[AwayTeam], AE$1)+SUMIFS(Table2[NewPointsHome],Table2[GameDate], "&lt;=" &amp; $A130, Table2[HomeTeam], AE$1)</f>
        <v>4</v>
      </c>
      <c r="AF130" s="145">
        <f>SUMIFS(Table2[NewPointsAway],Table2[GameDate], "&lt;=" &amp; $A130, Table2[AwayTeam], AF$1)+SUMIFS(Table2[NewPointsHome],Table2[GameDate], "&lt;=" &amp; $A130, Table2[HomeTeam], AF$1)</f>
        <v>4</v>
      </c>
      <c r="AG130" s="145">
        <f>SUMIFS(Table2[NewPointsAway],Table2[GameDate], "&lt;=" &amp; $A130, Table2[AwayTeam], AG$1)+SUMIFS(Table2[NewPointsHome],Table2[GameDate], "&lt;=" &amp; $A130, Table2[HomeTeam], AG$1)</f>
        <v>4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2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0</v>
      </c>
      <c r="E131" s="145">
        <f>SUMIFS(Table2[NewPointsAway],Table2[GameDate], "&lt;=" &amp; $A131, Table2[AwayTeam], E$1)+SUMIFS(Table2[NewPointsHome],Table2[GameDate], "&lt;=" &amp; $A131, Table2[HomeTeam], E$1)</f>
        <v>4</v>
      </c>
      <c r="F131" s="145">
        <f>SUMIFS(Table2[NewPointsAway],Table2[GameDate], "&lt;=" &amp; $A131, Table2[AwayTeam], F$1)+SUMIFS(Table2[NewPointsHome],Table2[GameDate], "&lt;=" &amp; $A131, Table2[HomeTeam], F$1)</f>
        <v>2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3</v>
      </c>
      <c r="I131" s="145">
        <f>SUMIFS(Table2[NewPointsAway],Table2[GameDate], "&lt;=" &amp; $A131, Table2[AwayTeam], I$1)+SUMIFS(Table2[NewPointsHome],Table2[GameDate], "&lt;=" &amp; $A131, Table2[HomeTeam], I$1)</f>
        <v>7</v>
      </c>
      <c r="J131" s="145">
        <f>SUMIFS(Table2[NewPointsAway],Table2[GameDate], "&lt;=" &amp; $A131, Table2[AwayTeam], J$1)+SUMIFS(Table2[NewPointsHome],Table2[GameDate], "&lt;=" &amp; $A131, Table2[HomeTeam], J$1)</f>
        <v>4</v>
      </c>
      <c r="K131" s="145">
        <f>SUMIFS(Table2[NewPointsAway],Table2[GameDate], "&lt;=" &amp; $A131, Table2[AwayTeam], K$1)+SUMIFS(Table2[NewPointsHome],Table2[GameDate], "&lt;=" &amp; $A131, Table2[HomeTeam], K$1)</f>
        <v>4</v>
      </c>
      <c r="L131" s="145">
        <f>SUMIFS(Table2[NewPointsAway],Table2[GameDate], "&lt;=" &amp; $A131, Table2[AwayTeam], L$1)+SUMIFS(Table2[NewPointsHome],Table2[GameDate], "&lt;=" &amp; $A131, Table2[HomeTeam], L$1)</f>
        <v>3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3</v>
      </c>
      <c r="O131" s="145">
        <f>SUMIFS(Table2[NewPointsAway],Table2[GameDate], "&lt;=" &amp; $A131, Table2[AwayTeam], O$1)+SUMIFS(Table2[NewPointsHome],Table2[GameDate], "&lt;=" &amp; $A131, Table2[HomeTeam], O$1)</f>
        <v>4</v>
      </c>
      <c r="P131" s="145">
        <f>SUMIFS(Table2[NewPointsAway],Table2[GameDate], "&lt;=" &amp; $A131, Table2[AwayTeam], P$1)+SUMIFS(Table2[NewPointsHome],Table2[GameDate], "&lt;=" &amp; $A131, Table2[HomeTeam], P$1)</f>
        <v>4</v>
      </c>
      <c r="Q131" s="145">
        <f>SUMIFS(Table2[NewPointsAway],Table2[GameDate], "&lt;=" &amp; $A131, Table2[AwayTeam], Q$1)+SUMIFS(Table2[NewPointsHome],Table2[GameDate], "&lt;=" &amp; $A131, Table2[HomeTeam], Q$1)</f>
        <v>4</v>
      </c>
      <c r="R131" s="145">
        <f>SUMIFS(Table2[NewPointsAway],Table2[GameDate], "&lt;=" &amp; $A131, Table2[AwayTeam], R$1)+SUMIFS(Table2[NewPointsHome],Table2[GameDate], "&lt;=" &amp; $A131, Table2[HomeTeam], R$1)</f>
        <v>5</v>
      </c>
      <c r="S131" s="145">
        <f>SUMIFS(Table2[NewPointsAway],Table2[GameDate], "&lt;=" &amp; $A131, Table2[AwayTeam], S$1)+SUMIFS(Table2[NewPointsHome],Table2[GameDate], "&lt;=" &amp; $A131, Table2[HomeTeam], S$1)</f>
        <v>0</v>
      </c>
      <c r="T131" s="145">
        <f>SUMIFS(Table2[NewPointsAway],Table2[GameDate], "&lt;=" &amp; $A131, Table2[AwayTeam], T$1)+SUMIFS(Table2[NewPointsHome],Table2[GameDate], "&lt;=" &amp; $A131, Table2[HomeTeam], T$1)</f>
        <v>4</v>
      </c>
      <c r="U131" s="145">
        <f>SUMIFS(Table2[NewPointsAway],Table2[GameDate], "&lt;=" &amp; $A131, Table2[AwayTeam], U$1)+SUMIFS(Table2[NewPointsHome],Table2[GameDate], "&lt;=" &amp; $A131, Table2[HomeTeam], U$1)</f>
        <v>2</v>
      </c>
      <c r="V131" s="145">
        <f>SUMIFS(Table2[NewPointsAway],Table2[GameDate], "&lt;=" &amp; $A131, Table2[AwayTeam], V$1)+SUMIFS(Table2[NewPointsHome],Table2[GameDate], "&lt;=" &amp; $A131, Table2[HomeTeam], V$1)</f>
        <v>3</v>
      </c>
      <c r="W131" s="145">
        <f>SUMIFS(Table2[NewPointsAway],Table2[GameDate], "&lt;=" &amp; $A131, Table2[AwayTeam], W$1)+SUMIFS(Table2[NewPointsHome],Table2[GameDate], "&lt;=" &amp; $A131, Table2[HomeTeam], W$1)</f>
        <v>4</v>
      </c>
      <c r="X131" s="145">
        <f>SUMIFS(Table2[NewPointsAway],Table2[GameDate], "&lt;=" &amp; $A131, Table2[AwayTeam], X$1)+SUMIFS(Table2[NewPointsHome],Table2[GameDate], "&lt;=" &amp; $A131, Table2[HomeTeam], X$1)</f>
        <v>4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4</v>
      </c>
      <c r="AA131" s="145">
        <f>SUMIFS(Table2[NewPointsAway],Table2[GameDate], "&lt;=" &amp; $A131, Table2[AwayTeam], AA$1)+SUMIFS(Table2[NewPointsHome],Table2[GameDate], "&lt;=" &amp; $A131, Table2[HomeTeam], AA$1)</f>
        <v>2</v>
      </c>
      <c r="AB131" s="145">
        <f>SUMIFS(Table2[NewPointsAway],Table2[GameDate], "&lt;=" &amp; $A131, Table2[AwayTeam], AB$1)+SUMIFS(Table2[NewPointsHome],Table2[GameDate], "&lt;=" &amp; $A131, Table2[HomeTeam], AB$1)</f>
        <v>2</v>
      </c>
      <c r="AC131" s="145">
        <f>SUMIFS(Table2[NewPointsAway],Table2[GameDate], "&lt;=" &amp; $A131, Table2[AwayTeam], AC$1)+SUMIFS(Table2[NewPointsHome],Table2[GameDate], "&lt;=" &amp; $A131, Table2[HomeTeam], AC$1)</f>
        <v>2</v>
      </c>
      <c r="AD131" s="145">
        <f>SUMIFS(Table2[NewPointsAway],Table2[GameDate], "&lt;=" &amp; $A131, Table2[AwayTeam], AD$1)+SUMIFS(Table2[NewPointsHome],Table2[GameDate], "&lt;=" &amp; $A131, Table2[HomeTeam], AD$1)</f>
        <v>2</v>
      </c>
      <c r="AE131" s="145">
        <f>SUMIFS(Table2[NewPointsAway],Table2[GameDate], "&lt;=" &amp; $A131, Table2[AwayTeam], AE$1)+SUMIFS(Table2[NewPointsHome],Table2[GameDate], "&lt;=" &amp; $A131, Table2[HomeTeam], AE$1)</f>
        <v>4</v>
      </c>
      <c r="AF131" s="145">
        <f>SUMIFS(Table2[NewPointsAway],Table2[GameDate], "&lt;=" &amp; $A131, Table2[AwayTeam], AF$1)+SUMIFS(Table2[NewPointsHome],Table2[GameDate], "&lt;=" &amp; $A131, Table2[HomeTeam], AF$1)</f>
        <v>4</v>
      </c>
      <c r="AG131" s="145">
        <f>SUMIFS(Table2[NewPointsAway],Table2[GameDate], "&lt;=" &amp; $A131, Table2[AwayTeam], AG$1)+SUMIFS(Table2[NewPointsHome],Table2[GameDate], "&lt;=" &amp; $A131, Table2[HomeTeam], AG$1)</f>
        <v>4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2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0</v>
      </c>
      <c r="E132" s="145">
        <f>SUMIFS(Table2[NewPointsAway],Table2[GameDate], "&lt;=" &amp; $A132, Table2[AwayTeam], E$1)+SUMIFS(Table2[NewPointsHome],Table2[GameDate], "&lt;=" &amp; $A132, Table2[HomeTeam], E$1)</f>
        <v>4</v>
      </c>
      <c r="F132" s="145">
        <f>SUMIFS(Table2[NewPointsAway],Table2[GameDate], "&lt;=" &amp; $A132, Table2[AwayTeam], F$1)+SUMIFS(Table2[NewPointsHome],Table2[GameDate], "&lt;=" &amp; $A132, Table2[HomeTeam], F$1)</f>
        <v>2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3</v>
      </c>
      <c r="I132" s="145">
        <f>SUMIFS(Table2[NewPointsAway],Table2[GameDate], "&lt;=" &amp; $A132, Table2[AwayTeam], I$1)+SUMIFS(Table2[NewPointsHome],Table2[GameDate], "&lt;=" &amp; $A132, Table2[HomeTeam], I$1)</f>
        <v>7</v>
      </c>
      <c r="J132" s="145">
        <f>SUMIFS(Table2[NewPointsAway],Table2[GameDate], "&lt;=" &amp; $A132, Table2[AwayTeam], J$1)+SUMIFS(Table2[NewPointsHome],Table2[GameDate], "&lt;=" &amp; $A132, Table2[HomeTeam], J$1)</f>
        <v>4</v>
      </c>
      <c r="K132" s="145">
        <f>SUMIFS(Table2[NewPointsAway],Table2[GameDate], "&lt;=" &amp; $A132, Table2[AwayTeam], K$1)+SUMIFS(Table2[NewPointsHome],Table2[GameDate], "&lt;=" &amp; $A132, Table2[HomeTeam], K$1)</f>
        <v>4</v>
      </c>
      <c r="L132" s="145">
        <f>SUMIFS(Table2[NewPointsAway],Table2[GameDate], "&lt;=" &amp; $A132, Table2[AwayTeam], L$1)+SUMIFS(Table2[NewPointsHome],Table2[GameDate], "&lt;=" &amp; $A132, Table2[HomeTeam], L$1)</f>
        <v>3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3</v>
      </c>
      <c r="O132" s="145">
        <f>SUMIFS(Table2[NewPointsAway],Table2[GameDate], "&lt;=" &amp; $A132, Table2[AwayTeam], O$1)+SUMIFS(Table2[NewPointsHome],Table2[GameDate], "&lt;=" &amp; $A132, Table2[HomeTeam], O$1)</f>
        <v>4</v>
      </c>
      <c r="P132" s="145">
        <f>SUMIFS(Table2[NewPointsAway],Table2[GameDate], "&lt;=" &amp; $A132, Table2[AwayTeam], P$1)+SUMIFS(Table2[NewPointsHome],Table2[GameDate], "&lt;=" &amp; $A132, Table2[HomeTeam], P$1)</f>
        <v>4</v>
      </c>
      <c r="Q132" s="145">
        <f>SUMIFS(Table2[NewPointsAway],Table2[GameDate], "&lt;=" &amp; $A132, Table2[AwayTeam], Q$1)+SUMIFS(Table2[NewPointsHome],Table2[GameDate], "&lt;=" &amp; $A132, Table2[HomeTeam], Q$1)</f>
        <v>4</v>
      </c>
      <c r="R132" s="145">
        <f>SUMIFS(Table2[NewPointsAway],Table2[GameDate], "&lt;=" &amp; $A132, Table2[AwayTeam], R$1)+SUMIFS(Table2[NewPointsHome],Table2[GameDate], "&lt;=" &amp; $A132, Table2[HomeTeam], R$1)</f>
        <v>5</v>
      </c>
      <c r="S132" s="145">
        <f>SUMIFS(Table2[NewPointsAway],Table2[GameDate], "&lt;=" &amp; $A132, Table2[AwayTeam], S$1)+SUMIFS(Table2[NewPointsHome],Table2[GameDate], "&lt;=" &amp; $A132, Table2[HomeTeam], S$1)</f>
        <v>0</v>
      </c>
      <c r="T132" s="145">
        <f>SUMIFS(Table2[NewPointsAway],Table2[GameDate], "&lt;=" &amp; $A132, Table2[AwayTeam], T$1)+SUMIFS(Table2[NewPointsHome],Table2[GameDate], "&lt;=" &amp; $A132, Table2[HomeTeam], T$1)</f>
        <v>4</v>
      </c>
      <c r="U132" s="145">
        <f>SUMIFS(Table2[NewPointsAway],Table2[GameDate], "&lt;=" &amp; $A132, Table2[AwayTeam], U$1)+SUMIFS(Table2[NewPointsHome],Table2[GameDate], "&lt;=" &amp; $A132, Table2[HomeTeam], U$1)</f>
        <v>2</v>
      </c>
      <c r="V132" s="145">
        <f>SUMIFS(Table2[NewPointsAway],Table2[GameDate], "&lt;=" &amp; $A132, Table2[AwayTeam], V$1)+SUMIFS(Table2[NewPointsHome],Table2[GameDate], "&lt;=" &amp; $A132, Table2[HomeTeam], V$1)</f>
        <v>3</v>
      </c>
      <c r="W132" s="145">
        <f>SUMIFS(Table2[NewPointsAway],Table2[GameDate], "&lt;=" &amp; $A132, Table2[AwayTeam], W$1)+SUMIFS(Table2[NewPointsHome],Table2[GameDate], "&lt;=" &amp; $A132, Table2[HomeTeam], W$1)</f>
        <v>4</v>
      </c>
      <c r="X132" s="145">
        <f>SUMIFS(Table2[NewPointsAway],Table2[GameDate], "&lt;=" &amp; $A132, Table2[AwayTeam], X$1)+SUMIFS(Table2[NewPointsHome],Table2[GameDate], "&lt;=" &amp; $A132, Table2[HomeTeam], X$1)</f>
        <v>4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4</v>
      </c>
      <c r="AA132" s="145">
        <f>SUMIFS(Table2[NewPointsAway],Table2[GameDate], "&lt;=" &amp; $A132, Table2[AwayTeam], AA$1)+SUMIFS(Table2[NewPointsHome],Table2[GameDate], "&lt;=" &amp; $A132, Table2[HomeTeam], AA$1)</f>
        <v>2</v>
      </c>
      <c r="AB132" s="145">
        <f>SUMIFS(Table2[NewPointsAway],Table2[GameDate], "&lt;=" &amp; $A132, Table2[AwayTeam], AB$1)+SUMIFS(Table2[NewPointsHome],Table2[GameDate], "&lt;=" &amp; $A132, Table2[HomeTeam], AB$1)</f>
        <v>2</v>
      </c>
      <c r="AC132" s="145">
        <f>SUMIFS(Table2[NewPointsAway],Table2[GameDate], "&lt;=" &amp; $A132, Table2[AwayTeam], AC$1)+SUMIFS(Table2[NewPointsHome],Table2[GameDate], "&lt;=" &amp; $A132, Table2[HomeTeam], AC$1)</f>
        <v>2</v>
      </c>
      <c r="AD132" s="145">
        <f>SUMIFS(Table2[NewPointsAway],Table2[GameDate], "&lt;=" &amp; $A132, Table2[AwayTeam], AD$1)+SUMIFS(Table2[NewPointsHome],Table2[GameDate], "&lt;=" &amp; $A132, Table2[HomeTeam], AD$1)</f>
        <v>2</v>
      </c>
      <c r="AE132" s="145">
        <f>SUMIFS(Table2[NewPointsAway],Table2[GameDate], "&lt;=" &amp; $A132, Table2[AwayTeam], AE$1)+SUMIFS(Table2[NewPointsHome],Table2[GameDate], "&lt;=" &amp; $A132, Table2[HomeTeam], AE$1)</f>
        <v>4</v>
      </c>
      <c r="AF132" s="145">
        <f>SUMIFS(Table2[NewPointsAway],Table2[GameDate], "&lt;=" &amp; $A132, Table2[AwayTeam], AF$1)+SUMIFS(Table2[NewPointsHome],Table2[GameDate], "&lt;=" &amp; $A132, Table2[HomeTeam], AF$1)</f>
        <v>4</v>
      </c>
      <c r="AG132" s="145">
        <f>SUMIFS(Table2[NewPointsAway],Table2[GameDate], "&lt;=" &amp; $A132, Table2[AwayTeam], AG$1)+SUMIFS(Table2[NewPointsHome],Table2[GameDate], "&lt;=" &amp; $A132, Table2[HomeTeam], AG$1)</f>
        <v>4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2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0</v>
      </c>
      <c r="E133" s="145">
        <f>SUMIFS(Table2[NewPointsAway],Table2[GameDate], "&lt;=" &amp; $A133, Table2[AwayTeam], E$1)+SUMIFS(Table2[NewPointsHome],Table2[GameDate], "&lt;=" &amp; $A133, Table2[HomeTeam], E$1)</f>
        <v>4</v>
      </c>
      <c r="F133" s="145">
        <f>SUMIFS(Table2[NewPointsAway],Table2[GameDate], "&lt;=" &amp; $A133, Table2[AwayTeam], F$1)+SUMIFS(Table2[NewPointsHome],Table2[GameDate], "&lt;=" &amp; $A133, Table2[HomeTeam], F$1)</f>
        <v>2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3</v>
      </c>
      <c r="I133" s="145">
        <f>SUMIFS(Table2[NewPointsAway],Table2[GameDate], "&lt;=" &amp; $A133, Table2[AwayTeam], I$1)+SUMIFS(Table2[NewPointsHome],Table2[GameDate], "&lt;=" &amp; $A133, Table2[HomeTeam], I$1)</f>
        <v>7</v>
      </c>
      <c r="J133" s="145">
        <f>SUMIFS(Table2[NewPointsAway],Table2[GameDate], "&lt;=" &amp; $A133, Table2[AwayTeam], J$1)+SUMIFS(Table2[NewPointsHome],Table2[GameDate], "&lt;=" &amp; $A133, Table2[HomeTeam], J$1)</f>
        <v>4</v>
      </c>
      <c r="K133" s="145">
        <f>SUMIFS(Table2[NewPointsAway],Table2[GameDate], "&lt;=" &amp; $A133, Table2[AwayTeam], K$1)+SUMIFS(Table2[NewPointsHome],Table2[GameDate], "&lt;=" &amp; $A133, Table2[HomeTeam], K$1)</f>
        <v>4</v>
      </c>
      <c r="L133" s="145">
        <f>SUMIFS(Table2[NewPointsAway],Table2[GameDate], "&lt;=" &amp; $A133, Table2[AwayTeam], L$1)+SUMIFS(Table2[NewPointsHome],Table2[GameDate], "&lt;=" &amp; $A133, Table2[HomeTeam], L$1)</f>
        <v>3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3</v>
      </c>
      <c r="O133" s="145">
        <f>SUMIFS(Table2[NewPointsAway],Table2[GameDate], "&lt;=" &amp; $A133, Table2[AwayTeam], O$1)+SUMIFS(Table2[NewPointsHome],Table2[GameDate], "&lt;=" &amp; $A133, Table2[HomeTeam], O$1)</f>
        <v>4</v>
      </c>
      <c r="P133" s="145">
        <f>SUMIFS(Table2[NewPointsAway],Table2[GameDate], "&lt;=" &amp; $A133, Table2[AwayTeam], P$1)+SUMIFS(Table2[NewPointsHome],Table2[GameDate], "&lt;=" &amp; $A133, Table2[HomeTeam], P$1)</f>
        <v>4</v>
      </c>
      <c r="Q133" s="145">
        <f>SUMIFS(Table2[NewPointsAway],Table2[GameDate], "&lt;=" &amp; $A133, Table2[AwayTeam], Q$1)+SUMIFS(Table2[NewPointsHome],Table2[GameDate], "&lt;=" &amp; $A133, Table2[HomeTeam], Q$1)</f>
        <v>4</v>
      </c>
      <c r="R133" s="145">
        <f>SUMIFS(Table2[NewPointsAway],Table2[GameDate], "&lt;=" &amp; $A133, Table2[AwayTeam], R$1)+SUMIFS(Table2[NewPointsHome],Table2[GameDate], "&lt;=" &amp; $A133, Table2[HomeTeam], R$1)</f>
        <v>5</v>
      </c>
      <c r="S133" s="145">
        <f>SUMIFS(Table2[NewPointsAway],Table2[GameDate], "&lt;=" &amp; $A133, Table2[AwayTeam], S$1)+SUMIFS(Table2[NewPointsHome],Table2[GameDate], "&lt;=" &amp; $A133, Table2[HomeTeam], S$1)</f>
        <v>0</v>
      </c>
      <c r="T133" s="145">
        <f>SUMIFS(Table2[NewPointsAway],Table2[GameDate], "&lt;=" &amp; $A133, Table2[AwayTeam], T$1)+SUMIFS(Table2[NewPointsHome],Table2[GameDate], "&lt;=" &amp; $A133, Table2[HomeTeam], T$1)</f>
        <v>4</v>
      </c>
      <c r="U133" s="145">
        <f>SUMIFS(Table2[NewPointsAway],Table2[GameDate], "&lt;=" &amp; $A133, Table2[AwayTeam], U$1)+SUMIFS(Table2[NewPointsHome],Table2[GameDate], "&lt;=" &amp; $A133, Table2[HomeTeam], U$1)</f>
        <v>2</v>
      </c>
      <c r="V133" s="145">
        <f>SUMIFS(Table2[NewPointsAway],Table2[GameDate], "&lt;=" &amp; $A133, Table2[AwayTeam], V$1)+SUMIFS(Table2[NewPointsHome],Table2[GameDate], "&lt;=" &amp; $A133, Table2[HomeTeam], V$1)</f>
        <v>3</v>
      </c>
      <c r="W133" s="145">
        <f>SUMIFS(Table2[NewPointsAway],Table2[GameDate], "&lt;=" &amp; $A133, Table2[AwayTeam], W$1)+SUMIFS(Table2[NewPointsHome],Table2[GameDate], "&lt;=" &amp; $A133, Table2[HomeTeam], W$1)</f>
        <v>4</v>
      </c>
      <c r="X133" s="145">
        <f>SUMIFS(Table2[NewPointsAway],Table2[GameDate], "&lt;=" &amp; $A133, Table2[AwayTeam], X$1)+SUMIFS(Table2[NewPointsHome],Table2[GameDate], "&lt;=" &amp; $A133, Table2[HomeTeam], X$1)</f>
        <v>4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4</v>
      </c>
      <c r="AA133" s="145">
        <f>SUMIFS(Table2[NewPointsAway],Table2[GameDate], "&lt;=" &amp; $A133, Table2[AwayTeam], AA$1)+SUMIFS(Table2[NewPointsHome],Table2[GameDate], "&lt;=" &amp; $A133, Table2[HomeTeam], AA$1)</f>
        <v>2</v>
      </c>
      <c r="AB133" s="145">
        <f>SUMIFS(Table2[NewPointsAway],Table2[GameDate], "&lt;=" &amp; $A133, Table2[AwayTeam], AB$1)+SUMIFS(Table2[NewPointsHome],Table2[GameDate], "&lt;=" &amp; $A133, Table2[HomeTeam], AB$1)</f>
        <v>2</v>
      </c>
      <c r="AC133" s="145">
        <f>SUMIFS(Table2[NewPointsAway],Table2[GameDate], "&lt;=" &amp; $A133, Table2[AwayTeam], AC$1)+SUMIFS(Table2[NewPointsHome],Table2[GameDate], "&lt;=" &amp; $A133, Table2[HomeTeam], AC$1)</f>
        <v>2</v>
      </c>
      <c r="AD133" s="145">
        <f>SUMIFS(Table2[NewPointsAway],Table2[GameDate], "&lt;=" &amp; $A133, Table2[AwayTeam], AD$1)+SUMIFS(Table2[NewPointsHome],Table2[GameDate], "&lt;=" &amp; $A133, Table2[HomeTeam], AD$1)</f>
        <v>2</v>
      </c>
      <c r="AE133" s="145">
        <f>SUMIFS(Table2[NewPointsAway],Table2[GameDate], "&lt;=" &amp; $A133, Table2[AwayTeam], AE$1)+SUMIFS(Table2[NewPointsHome],Table2[GameDate], "&lt;=" &amp; $A133, Table2[HomeTeam], AE$1)</f>
        <v>4</v>
      </c>
      <c r="AF133" s="145">
        <f>SUMIFS(Table2[NewPointsAway],Table2[GameDate], "&lt;=" &amp; $A133, Table2[AwayTeam], AF$1)+SUMIFS(Table2[NewPointsHome],Table2[GameDate], "&lt;=" &amp; $A133, Table2[HomeTeam], AF$1)</f>
        <v>4</v>
      </c>
      <c r="AG133" s="145">
        <f>SUMIFS(Table2[NewPointsAway],Table2[GameDate], "&lt;=" &amp; $A133, Table2[AwayTeam], AG$1)+SUMIFS(Table2[NewPointsHome],Table2[GameDate], "&lt;=" &amp; $A133, Table2[HomeTeam], AG$1)</f>
        <v>4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2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0</v>
      </c>
      <c r="E134" s="145">
        <f>SUMIFS(Table2[NewPointsAway],Table2[GameDate], "&lt;=" &amp; $A134, Table2[AwayTeam], E$1)+SUMIFS(Table2[NewPointsHome],Table2[GameDate], "&lt;=" &amp; $A134, Table2[HomeTeam], E$1)</f>
        <v>4</v>
      </c>
      <c r="F134" s="145">
        <f>SUMIFS(Table2[NewPointsAway],Table2[GameDate], "&lt;=" &amp; $A134, Table2[AwayTeam], F$1)+SUMIFS(Table2[NewPointsHome],Table2[GameDate], "&lt;=" &amp; $A134, Table2[HomeTeam], F$1)</f>
        <v>2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3</v>
      </c>
      <c r="I134" s="145">
        <f>SUMIFS(Table2[NewPointsAway],Table2[GameDate], "&lt;=" &amp; $A134, Table2[AwayTeam], I$1)+SUMIFS(Table2[NewPointsHome],Table2[GameDate], "&lt;=" &amp; $A134, Table2[HomeTeam], I$1)</f>
        <v>7</v>
      </c>
      <c r="J134" s="145">
        <f>SUMIFS(Table2[NewPointsAway],Table2[GameDate], "&lt;=" &amp; $A134, Table2[AwayTeam], J$1)+SUMIFS(Table2[NewPointsHome],Table2[GameDate], "&lt;=" &amp; $A134, Table2[HomeTeam], J$1)</f>
        <v>4</v>
      </c>
      <c r="K134" s="145">
        <f>SUMIFS(Table2[NewPointsAway],Table2[GameDate], "&lt;=" &amp; $A134, Table2[AwayTeam], K$1)+SUMIFS(Table2[NewPointsHome],Table2[GameDate], "&lt;=" &amp; $A134, Table2[HomeTeam], K$1)</f>
        <v>4</v>
      </c>
      <c r="L134" s="145">
        <f>SUMIFS(Table2[NewPointsAway],Table2[GameDate], "&lt;=" &amp; $A134, Table2[AwayTeam], L$1)+SUMIFS(Table2[NewPointsHome],Table2[GameDate], "&lt;=" &amp; $A134, Table2[HomeTeam], L$1)</f>
        <v>3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3</v>
      </c>
      <c r="O134" s="145">
        <f>SUMIFS(Table2[NewPointsAway],Table2[GameDate], "&lt;=" &amp; $A134, Table2[AwayTeam], O$1)+SUMIFS(Table2[NewPointsHome],Table2[GameDate], "&lt;=" &amp; $A134, Table2[HomeTeam], O$1)</f>
        <v>4</v>
      </c>
      <c r="P134" s="145">
        <f>SUMIFS(Table2[NewPointsAway],Table2[GameDate], "&lt;=" &amp; $A134, Table2[AwayTeam], P$1)+SUMIFS(Table2[NewPointsHome],Table2[GameDate], "&lt;=" &amp; $A134, Table2[HomeTeam], P$1)</f>
        <v>4</v>
      </c>
      <c r="Q134" s="145">
        <f>SUMIFS(Table2[NewPointsAway],Table2[GameDate], "&lt;=" &amp; $A134, Table2[AwayTeam], Q$1)+SUMIFS(Table2[NewPointsHome],Table2[GameDate], "&lt;=" &amp; $A134, Table2[HomeTeam], Q$1)</f>
        <v>4</v>
      </c>
      <c r="R134" s="145">
        <f>SUMIFS(Table2[NewPointsAway],Table2[GameDate], "&lt;=" &amp; $A134, Table2[AwayTeam], R$1)+SUMIFS(Table2[NewPointsHome],Table2[GameDate], "&lt;=" &amp; $A134, Table2[HomeTeam], R$1)</f>
        <v>5</v>
      </c>
      <c r="S134" s="145">
        <f>SUMIFS(Table2[NewPointsAway],Table2[GameDate], "&lt;=" &amp; $A134, Table2[AwayTeam], S$1)+SUMIFS(Table2[NewPointsHome],Table2[GameDate], "&lt;=" &amp; $A134, Table2[HomeTeam], S$1)</f>
        <v>0</v>
      </c>
      <c r="T134" s="145">
        <f>SUMIFS(Table2[NewPointsAway],Table2[GameDate], "&lt;=" &amp; $A134, Table2[AwayTeam], T$1)+SUMIFS(Table2[NewPointsHome],Table2[GameDate], "&lt;=" &amp; $A134, Table2[HomeTeam], T$1)</f>
        <v>4</v>
      </c>
      <c r="U134" s="145">
        <f>SUMIFS(Table2[NewPointsAway],Table2[GameDate], "&lt;=" &amp; $A134, Table2[AwayTeam], U$1)+SUMIFS(Table2[NewPointsHome],Table2[GameDate], "&lt;=" &amp; $A134, Table2[HomeTeam], U$1)</f>
        <v>2</v>
      </c>
      <c r="V134" s="145">
        <f>SUMIFS(Table2[NewPointsAway],Table2[GameDate], "&lt;=" &amp; $A134, Table2[AwayTeam], V$1)+SUMIFS(Table2[NewPointsHome],Table2[GameDate], "&lt;=" &amp; $A134, Table2[HomeTeam], V$1)</f>
        <v>3</v>
      </c>
      <c r="W134" s="145">
        <f>SUMIFS(Table2[NewPointsAway],Table2[GameDate], "&lt;=" &amp; $A134, Table2[AwayTeam], W$1)+SUMIFS(Table2[NewPointsHome],Table2[GameDate], "&lt;=" &amp; $A134, Table2[HomeTeam], W$1)</f>
        <v>4</v>
      </c>
      <c r="X134" s="145">
        <f>SUMIFS(Table2[NewPointsAway],Table2[GameDate], "&lt;=" &amp; $A134, Table2[AwayTeam], X$1)+SUMIFS(Table2[NewPointsHome],Table2[GameDate], "&lt;=" &amp; $A134, Table2[HomeTeam], X$1)</f>
        <v>4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4</v>
      </c>
      <c r="AA134" s="145">
        <f>SUMIFS(Table2[NewPointsAway],Table2[GameDate], "&lt;=" &amp; $A134, Table2[AwayTeam], AA$1)+SUMIFS(Table2[NewPointsHome],Table2[GameDate], "&lt;=" &amp; $A134, Table2[HomeTeam], AA$1)</f>
        <v>2</v>
      </c>
      <c r="AB134" s="145">
        <f>SUMIFS(Table2[NewPointsAway],Table2[GameDate], "&lt;=" &amp; $A134, Table2[AwayTeam], AB$1)+SUMIFS(Table2[NewPointsHome],Table2[GameDate], "&lt;=" &amp; $A134, Table2[HomeTeam], AB$1)</f>
        <v>2</v>
      </c>
      <c r="AC134" s="145">
        <f>SUMIFS(Table2[NewPointsAway],Table2[GameDate], "&lt;=" &amp; $A134, Table2[AwayTeam], AC$1)+SUMIFS(Table2[NewPointsHome],Table2[GameDate], "&lt;=" &amp; $A134, Table2[HomeTeam], AC$1)</f>
        <v>2</v>
      </c>
      <c r="AD134" s="145">
        <f>SUMIFS(Table2[NewPointsAway],Table2[GameDate], "&lt;=" &amp; $A134, Table2[AwayTeam], AD$1)+SUMIFS(Table2[NewPointsHome],Table2[GameDate], "&lt;=" &amp; $A134, Table2[HomeTeam], AD$1)</f>
        <v>2</v>
      </c>
      <c r="AE134" s="145">
        <f>SUMIFS(Table2[NewPointsAway],Table2[GameDate], "&lt;=" &amp; $A134, Table2[AwayTeam], AE$1)+SUMIFS(Table2[NewPointsHome],Table2[GameDate], "&lt;=" &amp; $A134, Table2[HomeTeam], AE$1)</f>
        <v>4</v>
      </c>
      <c r="AF134" s="145">
        <f>SUMIFS(Table2[NewPointsAway],Table2[GameDate], "&lt;=" &amp; $A134, Table2[AwayTeam], AF$1)+SUMIFS(Table2[NewPointsHome],Table2[GameDate], "&lt;=" &amp; $A134, Table2[HomeTeam], AF$1)</f>
        <v>4</v>
      </c>
      <c r="AG134" s="145">
        <f>SUMIFS(Table2[NewPointsAway],Table2[GameDate], "&lt;=" &amp; $A134, Table2[AwayTeam], AG$1)+SUMIFS(Table2[NewPointsHome],Table2[GameDate], "&lt;=" &amp; $A134, Table2[HomeTeam], AG$1)</f>
        <v>4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2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0</v>
      </c>
      <c r="E135" s="145">
        <f>SUMIFS(Table2[NewPointsAway],Table2[GameDate], "&lt;=" &amp; $A135, Table2[AwayTeam], E$1)+SUMIFS(Table2[NewPointsHome],Table2[GameDate], "&lt;=" &amp; $A135, Table2[HomeTeam], E$1)</f>
        <v>4</v>
      </c>
      <c r="F135" s="145">
        <f>SUMIFS(Table2[NewPointsAway],Table2[GameDate], "&lt;=" &amp; $A135, Table2[AwayTeam], F$1)+SUMIFS(Table2[NewPointsHome],Table2[GameDate], "&lt;=" &amp; $A135, Table2[HomeTeam], F$1)</f>
        <v>2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3</v>
      </c>
      <c r="I135" s="145">
        <f>SUMIFS(Table2[NewPointsAway],Table2[GameDate], "&lt;=" &amp; $A135, Table2[AwayTeam], I$1)+SUMIFS(Table2[NewPointsHome],Table2[GameDate], "&lt;=" &amp; $A135, Table2[HomeTeam], I$1)</f>
        <v>7</v>
      </c>
      <c r="J135" s="145">
        <f>SUMIFS(Table2[NewPointsAway],Table2[GameDate], "&lt;=" &amp; $A135, Table2[AwayTeam], J$1)+SUMIFS(Table2[NewPointsHome],Table2[GameDate], "&lt;=" &amp; $A135, Table2[HomeTeam], J$1)</f>
        <v>4</v>
      </c>
      <c r="K135" s="145">
        <f>SUMIFS(Table2[NewPointsAway],Table2[GameDate], "&lt;=" &amp; $A135, Table2[AwayTeam], K$1)+SUMIFS(Table2[NewPointsHome],Table2[GameDate], "&lt;=" &amp; $A135, Table2[HomeTeam], K$1)</f>
        <v>4</v>
      </c>
      <c r="L135" s="145">
        <f>SUMIFS(Table2[NewPointsAway],Table2[GameDate], "&lt;=" &amp; $A135, Table2[AwayTeam], L$1)+SUMIFS(Table2[NewPointsHome],Table2[GameDate], "&lt;=" &amp; $A135, Table2[HomeTeam], L$1)</f>
        <v>3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3</v>
      </c>
      <c r="O135" s="145">
        <f>SUMIFS(Table2[NewPointsAway],Table2[GameDate], "&lt;=" &amp; $A135, Table2[AwayTeam], O$1)+SUMIFS(Table2[NewPointsHome],Table2[GameDate], "&lt;=" &amp; $A135, Table2[HomeTeam], O$1)</f>
        <v>4</v>
      </c>
      <c r="P135" s="145">
        <f>SUMIFS(Table2[NewPointsAway],Table2[GameDate], "&lt;=" &amp; $A135, Table2[AwayTeam], P$1)+SUMIFS(Table2[NewPointsHome],Table2[GameDate], "&lt;=" &amp; $A135, Table2[HomeTeam], P$1)</f>
        <v>4</v>
      </c>
      <c r="Q135" s="145">
        <f>SUMIFS(Table2[NewPointsAway],Table2[GameDate], "&lt;=" &amp; $A135, Table2[AwayTeam], Q$1)+SUMIFS(Table2[NewPointsHome],Table2[GameDate], "&lt;=" &amp; $A135, Table2[HomeTeam], Q$1)</f>
        <v>4</v>
      </c>
      <c r="R135" s="145">
        <f>SUMIFS(Table2[NewPointsAway],Table2[GameDate], "&lt;=" &amp; $A135, Table2[AwayTeam], R$1)+SUMIFS(Table2[NewPointsHome],Table2[GameDate], "&lt;=" &amp; $A135, Table2[HomeTeam], R$1)</f>
        <v>5</v>
      </c>
      <c r="S135" s="145">
        <f>SUMIFS(Table2[NewPointsAway],Table2[GameDate], "&lt;=" &amp; $A135, Table2[AwayTeam], S$1)+SUMIFS(Table2[NewPointsHome],Table2[GameDate], "&lt;=" &amp; $A135, Table2[HomeTeam], S$1)</f>
        <v>0</v>
      </c>
      <c r="T135" s="145">
        <f>SUMIFS(Table2[NewPointsAway],Table2[GameDate], "&lt;=" &amp; $A135, Table2[AwayTeam], T$1)+SUMIFS(Table2[NewPointsHome],Table2[GameDate], "&lt;=" &amp; $A135, Table2[HomeTeam], T$1)</f>
        <v>4</v>
      </c>
      <c r="U135" s="145">
        <f>SUMIFS(Table2[NewPointsAway],Table2[GameDate], "&lt;=" &amp; $A135, Table2[AwayTeam], U$1)+SUMIFS(Table2[NewPointsHome],Table2[GameDate], "&lt;=" &amp; $A135, Table2[HomeTeam], U$1)</f>
        <v>2</v>
      </c>
      <c r="V135" s="145">
        <f>SUMIFS(Table2[NewPointsAway],Table2[GameDate], "&lt;=" &amp; $A135, Table2[AwayTeam], V$1)+SUMIFS(Table2[NewPointsHome],Table2[GameDate], "&lt;=" &amp; $A135, Table2[HomeTeam], V$1)</f>
        <v>3</v>
      </c>
      <c r="W135" s="145">
        <f>SUMIFS(Table2[NewPointsAway],Table2[GameDate], "&lt;=" &amp; $A135, Table2[AwayTeam], W$1)+SUMIFS(Table2[NewPointsHome],Table2[GameDate], "&lt;=" &amp; $A135, Table2[HomeTeam], W$1)</f>
        <v>4</v>
      </c>
      <c r="X135" s="145">
        <f>SUMIFS(Table2[NewPointsAway],Table2[GameDate], "&lt;=" &amp; $A135, Table2[AwayTeam], X$1)+SUMIFS(Table2[NewPointsHome],Table2[GameDate], "&lt;=" &amp; $A135, Table2[HomeTeam], X$1)</f>
        <v>4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4</v>
      </c>
      <c r="AA135" s="145">
        <f>SUMIFS(Table2[NewPointsAway],Table2[GameDate], "&lt;=" &amp; $A135, Table2[AwayTeam], AA$1)+SUMIFS(Table2[NewPointsHome],Table2[GameDate], "&lt;=" &amp; $A135, Table2[HomeTeam], AA$1)</f>
        <v>2</v>
      </c>
      <c r="AB135" s="145">
        <f>SUMIFS(Table2[NewPointsAway],Table2[GameDate], "&lt;=" &amp; $A135, Table2[AwayTeam], AB$1)+SUMIFS(Table2[NewPointsHome],Table2[GameDate], "&lt;=" &amp; $A135, Table2[HomeTeam], AB$1)</f>
        <v>2</v>
      </c>
      <c r="AC135" s="145">
        <f>SUMIFS(Table2[NewPointsAway],Table2[GameDate], "&lt;=" &amp; $A135, Table2[AwayTeam], AC$1)+SUMIFS(Table2[NewPointsHome],Table2[GameDate], "&lt;=" &amp; $A135, Table2[HomeTeam], AC$1)</f>
        <v>2</v>
      </c>
      <c r="AD135" s="145">
        <f>SUMIFS(Table2[NewPointsAway],Table2[GameDate], "&lt;=" &amp; $A135, Table2[AwayTeam], AD$1)+SUMIFS(Table2[NewPointsHome],Table2[GameDate], "&lt;=" &amp; $A135, Table2[HomeTeam], AD$1)</f>
        <v>2</v>
      </c>
      <c r="AE135" s="145">
        <f>SUMIFS(Table2[NewPointsAway],Table2[GameDate], "&lt;=" &amp; $A135, Table2[AwayTeam], AE$1)+SUMIFS(Table2[NewPointsHome],Table2[GameDate], "&lt;=" &amp; $A135, Table2[HomeTeam], AE$1)</f>
        <v>4</v>
      </c>
      <c r="AF135" s="145">
        <f>SUMIFS(Table2[NewPointsAway],Table2[GameDate], "&lt;=" &amp; $A135, Table2[AwayTeam], AF$1)+SUMIFS(Table2[NewPointsHome],Table2[GameDate], "&lt;=" &amp; $A135, Table2[HomeTeam], AF$1)</f>
        <v>4</v>
      </c>
      <c r="AG135" s="145">
        <f>SUMIFS(Table2[NewPointsAway],Table2[GameDate], "&lt;=" &amp; $A135, Table2[AwayTeam], AG$1)+SUMIFS(Table2[NewPointsHome],Table2[GameDate], "&lt;=" &amp; $A135, Table2[HomeTeam], AG$1)</f>
        <v>4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2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0</v>
      </c>
      <c r="E136" s="145">
        <f>SUMIFS(Table2[NewPointsAway],Table2[GameDate], "&lt;=" &amp; $A136, Table2[AwayTeam], E$1)+SUMIFS(Table2[NewPointsHome],Table2[GameDate], "&lt;=" &amp; $A136, Table2[HomeTeam], E$1)</f>
        <v>4</v>
      </c>
      <c r="F136" s="145">
        <f>SUMIFS(Table2[NewPointsAway],Table2[GameDate], "&lt;=" &amp; $A136, Table2[AwayTeam], F$1)+SUMIFS(Table2[NewPointsHome],Table2[GameDate], "&lt;=" &amp; $A136, Table2[HomeTeam], F$1)</f>
        <v>2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3</v>
      </c>
      <c r="I136" s="145">
        <f>SUMIFS(Table2[NewPointsAway],Table2[GameDate], "&lt;=" &amp; $A136, Table2[AwayTeam], I$1)+SUMIFS(Table2[NewPointsHome],Table2[GameDate], "&lt;=" &amp; $A136, Table2[HomeTeam], I$1)</f>
        <v>7</v>
      </c>
      <c r="J136" s="145">
        <f>SUMIFS(Table2[NewPointsAway],Table2[GameDate], "&lt;=" &amp; $A136, Table2[AwayTeam], J$1)+SUMIFS(Table2[NewPointsHome],Table2[GameDate], "&lt;=" &amp; $A136, Table2[HomeTeam], J$1)</f>
        <v>4</v>
      </c>
      <c r="K136" s="145">
        <f>SUMIFS(Table2[NewPointsAway],Table2[GameDate], "&lt;=" &amp; $A136, Table2[AwayTeam], K$1)+SUMIFS(Table2[NewPointsHome],Table2[GameDate], "&lt;=" &amp; $A136, Table2[HomeTeam], K$1)</f>
        <v>4</v>
      </c>
      <c r="L136" s="145">
        <f>SUMIFS(Table2[NewPointsAway],Table2[GameDate], "&lt;=" &amp; $A136, Table2[AwayTeam], L$1)+SUMIFS(Table2[NewPointsHome],Table2[GameDate], "&lt;=" &amp; $A136, Table2[HomeTeam], L$1)</f>
        <v>3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3</v>
      </c>
      <c r="O136" s="145">
        <f>SUMIFS(Table2[NewPointsAway],Table2[GameDate], "&lt;=" &amp; $A136, Table2[AwayTeam], O$1)+SUMIFS(Table2[NewPointsHome],Table2[GameDate], "&lt;=" &amp; $A136, Table2[HomeTeam], O$1)</f>
        <v>4</v>
      </c>
      <c r="P136" s="145">
        <f>SUMIFS(Table2[NewPointsAway],Table2[GameDate], "&lt;=" &amp; $A136, Table2[AwayTeam], P$1)+SUMIFS(Table2[NewPointsHome],Table2[GameDate], "&lt;=" &amp; $A136, Table2[HomeTeam], P$1)</f>
        <v>4</v>
      </c>
      <c r="Q136" s="145">
        <f>SUMIFS(Table2[NewPointsAway],Table2[GameDate], "&lt;=" &amp; $A136, Table2[AwayTeam], Q$1)+SUMIFS(Table2[NewPointsHome],Table2[GameDate], "&lt;=" &amp; $A136, Table2[HomeTeam], Q$1)</f>
        <v>4</v>
      </c>
      <c r="R136" s="145">
        <f>SUMIFS(Table2[NewPointsAway],Table2[GameDate], "&lt;=" &amp; $A136, Table2[AwayTeam], R$1)+SUMIFS(Table2[NewPointsHome],Table2[GameDate], "&lt;=" &amp; $A136, Table2[HomeTeam], R$1)</f>
        <v>5</v>
      </c>
      <c r="S136" s="145">
        <f>SUMIFS(Table2[NewPointsAway],Table2[GameDate], "&lt;=" &amp; $A136, Table2[AwayTeam], S$1)+SUMIFS(Table2[NewPointsHome],Table2[GameDate], "&lt;=" &amp; $A136, Table2[HomeTeam], S$1)</f>
        <v>0</v>
      </c>
      <c r="T136" s="145">
        <f>SUMIFS(Table2[NewPointsAway],Table2[GameDate], "&lt;=" &amp; $A136, Table2[AwayTeam], T$1)+SUMIFS(Table2[NewPointsHome],Table2[GameDate], "&lt;=" &amp; $A136, Table2[HomeTeam], T$1)</f>
        <v>4</v>
      </c>
      <c r="U136" s="145">
        <f>SUMIFS(Table2[NewPointsAway],Table2[GameDate], "&lt;=" &amp; $A136, Table2[AwayTeam], U$1)+SUMIFS(Table2[NewPointsHome],Table2[GameDate], "&lt;=" &amp; $A136, Table2[HomeTeam], U$1)</f>
        <v>2</v>
      </c>
      <c r="V136" s="145">
        <f>SUMIFS(Table2[NewPointsAway],Table2[GameDate], "&lt;=" &amp; $A136, Table2[AwayTeam], V$1)+SUMIFS(Table2[NewPointsHome],Table2[GameDate], "&lt;=" &amp; $A136, Table2[HomeTeam], V$1)</f>
        <v>3</v>
      </c>
      <c r="W136" s="145">
        <f>SUMIFS(Table2[NewPointsAway],Table2[GameDate], "&lt;=" &amp; $A136, Table2[AwayTeam], W$1)+SUMIFS(Table2[NewPointsHome],Table2[GameDate], "&lt;=" &amp; $A136, Table2[HomeTeam], W$1)</f>
        <v>4</v>
      </c>
      <c r="X136" s="145">
        <f>SUMIFS(Table2[NewPointsAway],Table2[GameDate], "&lt;=" &amp; $A136, Table2[AwayTeam], X$1)+SUMIFS(Table2[NewPointsHome],Table2[GameDate], "&lt;=" &amp; $A136, Table2[HomeTeam], X$1)</f>
        <v>4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4</v>
      </c>
      <c r="AA136" s="145">
        <f>SUMIFS(Table2[NewPointsAway],Table2[GameDate], "&lt;=" &amp; $A136, Table2[AwayTeam], AA$1)+SUMIFS(Table2[NewPointsHome],Table2[GameDate], "&lt;=" &amp; $A136, Table2[HomeTeam], AA$1)</f>
        <v>2</v>
      </c>
      <c r="AB136" s="145">
        <f>SUMIFS(Table2[NewPointsAway],Table2[GameDate], "&lt;=" &amp; $A136, Table2[AwayTeam], AB$1)+SUMIFS(Table2[NewPointsHome],Table2[GameDate], "&lt;=" &amp; $A136, Table2[HomeTeam], AB$1)</f>
        <v>2</v>
      </c>
      <c r="AC136" s="145">
        <f>SUMIFS(Table2[NewPointsAway],Table2[GameDate], "&lt;=" &amp; $A136, Table2[AwayTeam], AC$1)+SUMIFS(Table2[NewPointsHome],Table2[GameDate], "&lt;=" &amp; $A136, Table2[HomeTeam], AC$1)</f>
        <v>2</v>
      </c>
      <c r="AD136" s="145">
        <f>SUMIFS(Table2[NewPointsAway],Table2[GameDate], "&lt;=" &amp; $A136, Table2[AwayTeam], AD$1)+SUMIFS(Table2[NewPointsHome],Table2[GameDate], "&lt;=" &amp; $A136, Table2[HomeTeam], AD$1)</f>
        <v>2</v>
      </c>
      <c r="AE136" s="145">
        <f>SUMIFS(Table2[NewPointsAway],Table2[GameDate], "&lt;=" &amp; $A136, Table2[AwayTeam], AE$1)+SUMIFS(Table2[NewPointsHome],Table2[GameDate], "&lt;=" &amp; $A136, Table2[HomeTeam], AE$1)</f>
        <v>4</v>
      </c>
      <c r="AF136" s="145">
        <f>SUMIFS(Table2[NewPointsAway],Table2[GameDate], "&lt;=" &amp; $A136, Table2[AwayTeam], AF$1)+SUMIFS(Table2[NewPointsHome],Table2[GameDate], "&lt;=" &amp; $A136, Table2[HomeTeam], AF$1)</f>
        <v>4</v>
      </c>
      <c r="AG136" s="145">
        <f>SUMIFS(Table2[NewPointsAway],Table2[GameDate], "&lt;=" &amp; $A136, Table2[AwayTeam], AG$1)+SUMIFS(Table2[NewPointsHome],Table2[GameDate], "&lt;=" &amp; $A136, Table2[HomeTeam], AG$1)</f>
        <v>4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2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0</v>
      </c>
      <c r="E137" s="145">
        <f>SUMIFS(Table2[NewPointsAway],Table2[GameDate], "&lt;=" &amp; $A137, Table2[AwayTeam], E$1)+SUMIFS(Table2[NewPointsHome],Table2[GameDate], "&lt;=" &amp; $A137, Table2[HomeTeam], E$1)</f>
        <v>4</v>
      </c>
      <c r="F137" s="145">
        <f>SUMIFS(Table2[NewPointsAway],Table2[GameDate], "&lt;=" &amp; $A137, Table2[AwayTeam], F$1)+SUMIFS(Table2[NewPointsHome],Table2[GameDate], "&lt;=" &amp; $A137, Table2[HomeTeam], F$1)</f>
        <v>2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3</v>
      </c>
      <c r="I137" s="145">
        <f>SUMIFS(Table2[NewPointsAway],Table2[GameDate], "&lt;=" &amp; $A137, Table2[AwayTeam], I$1)+SUMIFS(Table2[NewPointsHome],Table2[GameDate], "&lt;=" &amp; $A137, Table2[HomeTeam], I$1)</f>
        <v>7</v>
      </c>
      <c r="J137" s="145">
        <f>SUMIFS(Table2[NewPointsAway],Table2[GameDate], "&lt;=" &amp; $A137, Table2[AwayTeam], J$1)+SUMIFS(Table2[NewPointsHome],Table2[GameDate], "&lt;=" &amp; $A137, Table2[HomeTeam], J$1)</f>
        <v>4</v>
      </c>
      <c r="K137" s="145">
        <f>SUMIFS(Table2[NewPointsAway],Table2[GameDate], "&lt;=" &amp; $A137, Table2[AwayTeam], K$1)+SUMIFS(Table2[NewPointsHome],Table2[GameDate], "&lt;=" &amp; $A137, Table2[HomeTeam], K$1)</f>
        <v>4</v>
      </c>
      <c r="L137" s="145">
        <f>SUMIFS(Table2[NewPointsAway],Table2[GameDate], "&lt;=" &amp; $A137, Table2[AwayTeam], L$1)+SUMIFS(Table2[NewPointsHome],Table2[GameDate], "&lt;=" &amp; $A137, Table2[HomeTeam], L$1)</f>
        <v>3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3</v>
      </c>
      <c r="O137" s="145">
        <f>SUMIFS(Table2[NewPointsAway],Table2[GameDate], "&lt;=" &amp; $A137, Table2[AwayTeam], O$1)+SUMIFS(Table2[NewPointsHome],Table2[GameDate], "&lt;=" &amp; $A137, Table2[HomeTeam], O$1)</f>
        <v>4</v>
      </c>
      <c r="P137" s="145">
        <f>SUMIFS(Table2[NewPointsAway],Table2[GameDate], "&lt;=" &amp; $A137, Table2[AwayTeam], P$1)+SUMIFS(Table2[NewPointsHome],Table2[GameDate], "&lt;=" &amp; $A137, Table2[HomeTeam], P$1)</f>
        <v>4</v>
      </c>
      <c r="Q137" s="145">
        <f>SUMIFS(Table2[NewPointsAway],Table2[GameDate], "&lt;=" &amp; $A137, Table2[AwayTeam], Q$1)+SUMIFS(Table2[NewPointsHome],Table2[GameDate], "&lt;=" &amp; $A137, Table2[HomeTeam], Q$1)</f>
        <v>4</v>
      </c>
      <c r="R137" s="145">
        <f>SUMIFS(Table2[NewPointsAway],Table2[GameDate], "&lt;=" &amp; $A137, Table2[AwayTeam], R$1)+SUMIFS(Table2[NewPointsHome],Table2[GameDate], "&lt;=" &amp; $A137, Table2[HomeTeam], R$1)</f>
        <v>5</v>
      </c>
      <c r="S137" s="145">
        <f>SUMIFS(Table2[NewPointsAway],Table2[GameDate], "&lt;=" &amp; $A137, Table2[AwayTeam], S$1)+SUMIFS(Table2[NewPointsHome],Table2[GameDate], "&lt;=" &amp; $A137, Table2[HomeTeam], S$1)</f>
        <v>0</v>
      </c>
      <c r="T137" s="145">
        <f>SUMIFS(Table2[NewPointsAway],Table2[GameDate], "&lt;=" &amp; $A137, Table2[AwayTeam], T$1)+SUMIFS(Table2[NewPointsHome],Table2[GameDate], "&lt;=" &amp; $A137, Table2[HomeTeam], T$1)</f>
        <v>4</v>
      </c>
      <c r="U137" s="145">
        <f>SUMIFS(Table2[NewPointsAway],Table2[GameDate], "&lt;=" &amp; $A137, Table2[AwayTeam], U$1)+SUMIFS(Table2[NewPointsHome],Table2[GameDate], "&lt;=" &amp; $A137, Table2[HomeTeam], U$1)</f>
        <v>2</v>
      </c>
      <c r="V137" s="145">
        <f>SUMIFS(Table2[NewPointsAway],Table2[GameDate], "&lt;=" &amp; $A137, Table2[AwayTeam], V$1)+SUMIFS(Table2[NewPointsHome],Table2[GameDate], "&lt;=" &amp; $A137, Table2[HomeTeam], V$1)</f>
        <v>3</v>
      </c>
      <c r="W137" s="145">
        <f>SUMIFS(Table2[NewPointsAway],Table2[GameDate], "&lt;=" &amp; $A137, Table2[AwayTeam], W$1)+SUMIFS(Table2[NewPointsHome],Table2[GameDate], "&lt;=" &amp; $A137, Table2[HomeTeam], W$1)</f>
        <v>4</v>
      </c>
      <c r="X137" s="145">
        <f>SUMIFS(Table2[NewPointsAway],Table2[GameDate], "&lt;=" &amp; $A137, Table2[AwayTeam], X$1)+SUMIFS(Table2[NewPointsHome],Table2[GameDate], "&lt;=" &amp; $A137, Table2[HomeTeam], X$1)</f>
        <v>4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4</v>
      </c>
      <c r="AA137" s="145">
        <f>SUMIFS(Table2[NewPointsAway],Table2[GameDate], "&lt;=" &amp; $A137, Table2[AwayTeam], AA$1)+SUMIFS(Table2[NewPointsHome],Table2[GameDate], "&lt;=" &amp; $A137, Table2[HomeTeam], AA$1)</f>
        <v>2</v>
      </c>
      <c r="AB137" s="145">
        <f>SUMIFS(Table2[NewPointsAway],Table2[GameDate], "&lt;=" &amp; $A137, Table2[AwayTeam], AB$1)+SUMIFS(Table2[NewPointsHome],Table2[GameDate], "&lt;=" &amp; $A137, Table2[HomeTeam], AB$1)</f>
        <v>2</v>
      </c>
      <c r="AC137" s="145">
        <f>SUMIFS(Table2[NewPointsAway],Table2[GameDate], "&lt;=" &amp; $A137, Table2[AwayTeam], AC$1)+SUMIFS(Table2[NewPointsHome],Table2[GameDate], "&lt;=" &amp; $A137, Table2[HomeTeam], AC$1)</f>
        <v>2</v>
      </c>
      <c r="AD137" s="145">
        <f>SUMIFS(Table2[NewPointsAway],Table2[GameDate], "&lt;=" &amp; $A137, Table2[AwayTeam], AD$1)+SUMIFS(Table2[NewPointsHome],Table2[GameDate], "&lt;=" &amp; $A137, Table2[HomeTeam], AD$1)</f>
        <v>2</v>
      </c>
      <c r="AE137" s="145">
        <f>SUMIFS(Table2[NewPointsAway],Table2[GameDate], "&lt;=" &amp; $A137, Table2[AwayTeam], AE$1)+SUMIFS(Table2[NewPointsHome],Table2[GameDate], "&lt;=" &amp; $A137, Table2[HomeTeam], AE$1)</f>
        <v>4</v>
      </c>
      <c r="AF137" s="145">
        <f>SUMIFS(Table2[NewPointsAway],Table2[GameDate], "&lt;=" &amp; $A137, Table2[AwayTeam], AF$1)+SUMIFS(Table2[NewPointsHome],Table2[GameDate], "&lt;=" &amp; $A137, Table2[HomeTeam], AF$1)</f>
        <v>4</v>
      </c>
      <c r="AG137" s="145">
        <f>SUMIFS(Table2[NewPointsAway],Table2[GameDate], "&lt;=" &amp; $A137, Table2[AwayTeam], AG$1)+SUMIFS(Table2[NewPointsHome],Table2[GameDate], "&lt;=" &amp; $A137, Table2[HomeTeam], AG$1)</f>
        <v>4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2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0</v>
      </c>
      <c r="E138" s="145">
        <f>SUMIFS(Table2[NewPointsAway],Table2[GameDate], "&lt;=" &amp; $A138, Table2[AwayTeam], E$1)+SUMIFS(Table2[NewPointsHome],Table2[GameDate], "&lt;=" &amp; $A138, Table2[HomeTeam], E$1)</f>
        <v>4</v>
      </c>
      <c r="F138" s="145">
        <f>SUMIFS(Table2[NewPointsAway],Table2[GameDate], "&lt;=" &amp; $A138, Table2[AwayTeam], F$1)+SUMIFS(Table2[NewPointsHome],Table2[GameDate], "&lt;=" &amp; $A138, Table2[HomeTeam], F$1)</f>
        <v>2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3</v>
      </c>
      <c r="I138" s="145">
        <f>SUMIFS(Table2[NewPointsAway],Table2[GameDate], "&lt;=" &amp; $A138, Table2[AwayTeam], I$1)+SUMIFS(Table2[NewPointsHome],Table2[GameDate], "&lt;=" &amp; $A138, Table2[HomeTeam], I$1)</f>
        <v>7</v>
      </c>
      <c r="J138" s="145">
        <f>SUMIFS(Table2[NewPointsAway],Table2[GameDate], "&lt;=" &amp; $A138, Table2[AwayTeam], J$1)+SUMIFS(Table2[NewPointsHome],Table2[GameDate], "&lt;=" &amp; $A138, Table2[HomeTeam], J$1)</f>
        <v>4</v>
      </c>
      <c r="K138" s="145">
        <f>SUMIFS(Table2[NewPointsAway],Table2[GameDate], "&lt;=" &amp; $A138, Table2[AwayTeam], K$1)+SUMIFS(Table2[NewPointsHome],Table2[GameDate], "&lt;=" &amp; $A138, Table2[HomeTeam], K$1)</f>
        <v>4</v>
      </c>
      <c r="L138" s="145">
        <f>SUMIFS(Table2[NewPointsAway],Table2[GameDate], "&lt;=" &amp; $A138, Table2[AwayTeam], L$1)+SUMIFS(Table2[NewPointsHome],Table2[GameDate], "&lt;=" &amp; $A138, Table2[HomeTeam], L$1)</f>
        <v>3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3</v>
      </c>
      <c r="O138" s="145">
        <f>SUMIFS(Table2[NewPointsAway],Table2[GameDate], "&lt;=" &amp; $A138, Table2[AwayTeam], O$1)+SUMIFS(Table2[NewPointsHome],Table2[GameDate], "&lt;=" &amp; $A138, Table2[HomeTeam], O$1)</f>
        <v>4</v>
      </c>
      <c r="P138" s="145">
        <f>SUMIFS(Table2[NewPointsAway],Table2[GameDate], "&lt;=" &amp; $A138, Table2[AwayTeam], P$1)+SUMIFS(Table2[NewPointsHome],Table2[GameDate], "&lt;=" &amp; $A138, Table2[HomeTeam], P$1)</f>
        <v>4</v>
      </c>
      <c r="Q138" s="145">
        <f>SUMIFS(Table2[NewPointsAway],Table2[GameDate], "&lt;=" &amp; $A138, Table2[AwayTeam], Q$1)+SUMIFS(Table2[NewPointsHome],Table2[GameDate], "&lt;=" &amp; $A138, Table2[HomeTeam], Q$1)</f>
        <v>4</v>
      </c>
      <c r="R138" s="145">
        <f>SUMIFS(Table2[NewPointsAway],Table2[GameDate], "&lt;=" &amp; $A138, Table2[AwayTeam], R$1)+SUMIFS(Table2[NewPointsHome],Table2[GameDate], "&lt;=" &amp; $A138, Table2[HomeTeam], R$1)</f>
        <v>5</v>
      </c>
      <c r="S138" s="145">
        <f>SUMIFS(Table2[NewPointsAway],Table2[GameDate], "&lt;=" &amp; $A138, Table2[AwayTeam], S$1)+SUMIFS(Table2[NewPointsHome],Table2[GameDate], "&lt;=" &amp; $A138, Table2[HomeTeam], S$1)</f>
        <v>0</v>
      </c>
      <c r="T138" s="145">
        <f>SUMIFS(Table2[NewPointsAway],Table2[GameDate], "&lt;=" &amp; $A138, Table2[AwayTeam], T$1)+SUMIFS(Table2[NewPointsHome],Table2[GameDate], "&lt;=" &amp; $A138, Table2[HomeTeam], T$1)</f>
        <v>4</v>
      </c>
      <c r="U138" s="145">
        <f>SUMIFS(Table2[NewPointsAway],Table2[GameDate], "&lt;=" &amp; $A138, Table2[AwayTeam], U$1)+SUMIFS(Table2[NewPointsHome],Table2[GameDate], "&lt;=" &amp; $A138, Table2[HomeTeam], U$1)</f>
        <v>2</v>
      </c>
      <c r="V138" s="145">
        <f>SUMIFS(Table2[NewPointsAway],Table2[GameDate], "&lt;=" &amp; $A138, Table2[AwayTeam], V$1)+SUMIFS(Table2[NewPointsHome],Table2[GameDate], "&lt;=" &amp; $A138, Table2[HomeTeam], V$1)</f>
        <v>3</v>
      </c>
      <c r="W138" s="145">
        <f>SUMIFS(Table2[NewPointsAway],Table2[GameDate], "&lt;=" &amp; $A138, Table2[AwayTeam], W$1)+SUMIFS(Table2[NewPointsHome],Table2[GameDate], "&lt;=" &amp; $A138, Table2[HomeTeam], W$1)</f>
        <v>4</v>
      </c>
      <c r="X138" s="145">
        <f>SUMIFS(Table2[NewPointsAway],Table2[GameDate], "&lt;=" &amp; $A138, Table2[AwayTeam], X$1)+SUMIFS(Table2[NewPointsHome],Table2[GameDate], "&lt;=" &amp; $A138, Table2[HomeTeam], X$1)</f>
        <v>4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4</v>
      </c>
      <c r="AA138" s="145">
        <f>SUMIFS(Table2[NewPointsAway],Table2[GameDate], "&lt;=" &amp; $A138, Table2[AwayTeam], AA$1)+SUMIFS(Table2[NewPointsHome],Table2[GameDate], "&lt;=" &amp; $A138, Table2[HomeTeam], AA$1)</f>
        <v>2</v>
      </c>
      <c r="AB138" s="145">
        <f>SUMIFS(Table2[NewPointsAway],Table2[GameDate], "&lt;=" &amp; $A138, Table2[AwayTeam], AB$1)+SUMIFS(Table2[NewPointsHome],Table2[GameDate], "&lt;=" &amp; $A138, Table2[HomeTeam], AB$1)</f>
        <v>2</v>
      </c>
      <c r="AC138" s="145">
        <f>SUMIFS(Table2[NewPointsAway],Table2[GameDate], "&lt;=" &amp; $A138, Table2[AwayTeam], AC$1)+SUMIFS(Table2[NewPointsHome],Table2[GameDate], "&lt;=" &amp; $A138, Table2[HomeTeam], AC$1)</f>
        <v>2</v>
      </c>
      <c r="AD138" s="145">
        <f>SUMIFS(Table2[NewPointsAway],Table2[GameDate], "&lt;=" &amp; $A138, Table2[AwayTeam], AD$1)+SUMIFS(Table2[NewPointsHome],Table2[GameDate], "&lt;=" &amp; $A138, Table2[HomeTeam], AD$1)</f>
        <v>2</v>
      </c>
      <c r="AE138" s="145">
        <f>SUMIFS(Table2[NewPointsAway],Table2[GameDate], "&lt;=" &amp; $A138, Table2[AwayTeam], AE$1)+SUMIFS(Table2[NewPointsHome],Table2[GameDate], "&lt;=" &amp; $A138, Table2[HomeTeam], AE$1)</f>
        <v>4</v>
      </c>
      <c r="AF138" s="145">
        <f>SUMIFS(Table2[NewPointsAway],Table2[GameDate], "&lt;=" &amp; $A138, Table2[AwayTeam], AF$1)+SUMIFS(Table2[NewPointsHome],Table2[GameDate], "&lt;=" &amp; $A138, Table2[HomeTeam], AF$1)</f>
        <v>4</v>
      </c>
      <c r="AG138" s="145">
        <f>SUMIFS(Table2[NewPointsAway],Table2[GameDate], "&lt;=" &amp; $A138, Table2[AwayTeam], AG$1)+SUMIFS(Table2[NewPointsHome],Table2[GameDate], "&lt;=" &amp; $A138, Table2[HomeTeam], AG$1)</f>
        <v>4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2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0</v>
      </c>
      <c r="E139" s="145">
        <f>SUMIFS(Table2[NewPointsAway],Table2[GameDate], "&lt;=" &amp; $A139, Table2[AwayTeam], E$1)+SUMIFS(Table2[NewPointsHome],Table2[GameDate], "&lt;=" &amp; $A139, Table2[HomeTeam], E$1)</f>
        <v>4</v>
      </c>
      <c r="F139" s="145">
        <f>SUMIFS(Table2[NewPointsAway],Table2[GameDate], "&lt;=" &amp; $A139, Table2[AwayTeam], F$1)+SUMIFS(Table2[NewPointsHome],Table2[GameDate], "&lt;=" &amp; $A139, Table2[HomeTeam], F$1)</f>
        <v>2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3</v>
      </c>
      <c r="I139" s="145">
        <f>SUMIFS(Table2[NewPointsAway],Table2[GameDate], "&lt;=" &amp; $A139, Table2[AwayTeam], I$1)+SUMIFS(Table2[NewPointsHome],Table2[GameDate], "&lt;=" &amp; $A139, Table2[HomeTeam], I$1)</f>
        <v>7</v>
      </c>
      <c r="J139" s="145">
        <f>SUMIFS(Table2[NewPointsAway],Table2[GameDate], "&lt;=" &amp; $A139, Table2[AwayTeam], J$1)+SUMIFS(Table2[NewPointsHome],Table2[GameDate], "&lt;=" &amp; $A139, Table2[HomeTeam], J$1)</f>
        <v>4</v>
      </c>
      <c r="K139" s="145">
        <f>SUMIFS(Table2[NewPointsAway],Table2[GameDate], "&lt;=" &amp; $A139, Table2[AwayTeam], K$1)+SUMIFS(Table2[NewPointsHome],Table2[GameDate], "&lt;=" &amp; $A139, Table2[HomeTeam], K$1)</f>
        <v>4</v>
      </c>
      <c r="L139" s="145">
        <f>SUMIFS(Table2[NewPointsAway],Table2[GameDate], "&lt;=" &amp; $A139, Table2[AwayTeam], L$1)+SUMIFS(Table2[NewPointsHome],Table2[GameDate], "&lt;=" &amp; $A139, Table2[HomeTeam], L$1)</f>
        <v>3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3</v>
      </c>
      <c r="O139" s="145">
        <f>SUMIFS(Table2[NewPointsAway],Table2[GameDate], "&lt;=" &amp; $A139, Table2[AwayTeam], O$1)+SUMIFS(Table2[NewPointsHome],Table2[GameDate], "&lt;=" &amp; $A139, Table2[HomeTeam], O$1)</f>
        <v>4</v>
      </c>
      <c r="P139" s="145">
        <f>SUMIFS(Table2[NewPointsAway],Table2[GameDate], "&lt;=" &amp; $A139, Table2[AwayTeam], P$1)+SUMIFS(Table2[NewPointsHome],Table2[GameDate], "&lt;=" &amp; $A139, Table2[HomeTeam], P$1)</f>
        <v>4</v>
      </c>
      <c r="Q139" s="145">
        <f>SUMIFS(Table2[NewPointsAway],Table2[GameDate], "&lt;=" &amp; $A139, Table2[AwayTeam], Q$1)+SUMIFS(Table2[NewPointsHome],Table2[GameDate], "&lt;=" &amp; $A139, Table2[HomeTeam], Q$1)</f>
        <v>4</v>
      </c>
      <c r="R139" s="145">
        <f>SUMIFS(Table2[NewPointsAway],Table2[GameDate], "&lt;=" &amp; $A139, Table2[AwayTeam], R$1)+SUMIFS(Table2[NewPointsHome],Table2[GameDate], "&lt;=" &amp; $A139, Table2[HomeTeam], R$1)</f>
        <v>5</v>
      </c>
      <c r="S139" s="145">
        <f>SUMIFS(Table2[NewPointsAway],Table2[GameDate], "&lt;=" &amp; $A139, Table2[AwayTeam], S$1)+SUMIFS(Table2[NewPointsHome],Table2[GameDate], "&lt;=" &amp; $A139, Table2[HomeTeam], S$1)</f>
        <v>0</v>
      </c>
      <c r="T139" s="145">
        <f>SUMIFS(Table2[NewPointsAway],Table2[GameDate], "&lt;=" &amp; $A139, Table2[AwayTeam], T$1)+SUMIFS(Table2[NewPointsHome],Table2[GameDate], "&lt;=" &amp; $A139, Table2[HomeTeam], T$1)</f>
        <v>4</v>
      </c>
      <c r="U139" s="145">
        <f>SUMIFS(Table2[NewPointsAway],Table2[GameDate], "&lt;=" &amp; $A139, Table2[AwayTeam], U$1)+SUMIFS(Table2[NewPointsHome],Table2[GameDate], "&lt;=" &amp; $A139, Table2[HomeTeam], U$1)</f>
        <v>2</v>
      </c>
      <c r="V139" s="145">
        <f>SUMIFS(Table2[NewPointsAway],Table2[GameDate], "&lt;=" &amp; $A139, Table2[AwayTeam], V$1)+SUMIFS(Table2[NewPointsHome],Table2[GameDate], "&lt;=" &amp; $A139, Table2[HomeTeam], V$1)</f>
        <v>3</v>
      </c>
      <c r="W139" s="145">
        <f>SUMIFS(Table2[NewPointsAway],Table2[GameDate], "&lt;=" &amp; $A139, Table2[AwayTeam], W$1)+SUMIFS(Table2[NewPointsHome],Table2[GameDate], "&lt;=" &amp; $A139, Table2[HomeTeam], W$1)</f>
        <v>4</v>
      </c>
      <c r="X139" s="145">
        <f>SUMIFS(Table2[NewPointsAway],Table2[GameDate], "&lt;=" &amp; $A139, Table2[AwayTeam], X$1)+SUMIFS(Table2[NewPointsHome],Table2[GameDate], "&lt;=" &amp; $A139, Table2[HomeTeam], X$1)</f>
        <v>4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4</v>
      </c>
      <c r="AA139" s="145">
        <f>SUMIFS(Table2[NewPointsAway],Table2[GameDate], "&lt;=" &amp; $A139, Table2[AwayTeam], AA$1)+SUMIFS(Table2[NewPointsHome],Table2[GameDate], "&lt;=" &amp; $A139, Table2[HomeTeam], AA$1)</f>
        <v>2</v>
      </c>
      <c r="AB139" s="145">
        <f>SUMIFS(Table2[NewPointsAway],Table2[GameDate], "&lt;=" &amp; $A139, Table2[AwayTeam], AB$1)+SUMIFS(Table2[NewPointsHome],Table2[GameDate], "&lt;=" &amp; $A139, Table2[HomeTeam], AB$1)</f>
        <v>2</v>
      </c>
      <c r="AC139" s="145">
        <f>SUMIFS(Table2[NewPointsAway],Table2[GameDate], "&lt;=" &amp; $A139, Table2[AwayTeam], AC$1)+SUMIFS(Table2[NewPointsHome],Table2[GameDate], "&lt;=" &amp; $A139, Table2[HomeTeam], AC$1)</f>
        <v>2</v>
      </c>
      <c r="AD139" s="145">
        <f>SUMIFS(Table2[NewPointsAway],Table2[GameDate], "&lt;=" &amp; $A139, Table2[AwayTeam], AD$1)+SUMIFS(Table2[NewPointsHome],Table2[GameDate], "&lt;=" &amp; $A139, Table2[HomeTeam], AD$1)</f>
        <v>2</v>
      </c>
      <c r="AE139" s="145">
        <f>SUMIFS(Table2[NewPointsAway],Table2[GameDate], "&lt;=" &amp; $A139, Table2[AwayTeam], AE$1)+SUMIFS(Table2[NewPointsHome],Table2[GameDate], "&lt;=" &amp; $A139, Table2[HomeTeam], AE$1)</f>
        <v>4</v>
      </c>
      <c r="AF139" s="145">
        <f>SUMIFS(Table2[NewPointsAway],Table2[GameDate], "&lt;=" &amp; $A139, Table2[AwayTeam], AF$1)+SUMIFS(Table2[NewPointsHome],Table2[GameDate], "&lt;=" &amp; $A139, Table2[HomeTeam], AF$1)</f>
        <v>4</v>
      </c>
      <c r="AG139" s="145">
        <f>SUMIFS(Table2[NewPointsAway],Table2[GameDate], "&lt;=" &amp; $A139, Table2[AwayTeam], AG$1)+SUMIFS(Table2[NewPointsHome],Table2[GameDate], "&lt;=" &amp; $A139, Table2[HomeTeam], AG$1)</f>
        <v>4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2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0</v>
      </c>
      <c r="E140" s="145">
        <f>SUMIFS(Table2[NewPointsAway],Table2[GameDate], "&lt;=" &amp; $A140, Table2[AwayTeam], E$1)+SUMIFS(Table2[NewPointsHome],Table2[GameDate], "&lt;=" &amp; $A140, Table2[HomeTeam], E$1)</f>
        <v>4</v>
      </c>
      <c r="F140" s="145">
        <f>SUMIFS(Table2[NewPointsAway],Table2[GameDate], "&lt;=" &amp; $A140, Table2[AwayTeam], F$1)+SUMIFS(Table2[NewPointsHome],Table2[GameDate], "&lt;=" &amp; $A140, Table2[HomeTeam], F$1)</f>
        <v>2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3</v>
      </c>
      <c r="I140" s="145">
        <f>SUMIFS(Table2[NewPointsAway],Table2[GameDate], "&lt;=" &amp; $A140, Table2[AwayTeam], I$1)+SUMIFS(Table2[NewPointsHome],Table2[GameDate], "&lt;=" &amp; $A140, Table2[HomeTeam], I$1)</f>
        <v>7</v>
      </c>
      <c r="J140" s="145">
        <f>SUMIFS(Table2[NewPointsAway],Table2[GameDate], "&lt;=" &amp; $A140, Table2[AwayTeam], J$1)+SUMIFS(Table2[NewPointsHome],Table2[GameDate], "&lt;=" &amp; $A140, Table2[HomeTeam], J$1)</f>
        <v>4</v>
      </c>
      <c r="K140" s="145">
        <f>SUMIFS(Table2[NewPointsAway],Table2[GameDate], "&lt;=" &amp; $A140, Table2[AwayTeam], K$1)+SUMIFS(Table2[NewPointsHome],Table2[GameDate], "&lt;=" &amp; $A140, Table2[HomeTeam], K$1)</f>
        <v>4</v>
      </c>
      <c r="L140" s="145">
        <f>SUMIFS(Table2[NewPointsAway],Table2[GameDate], "&lt;=" &amp; $A140, Table2[AwayTeam], L$1)+SUMIFS(Table2[NewPointsHome],Table2[GameDate], "&lt;=" &amp; $A140, Table2[HomeTeam], L$1)</f>
        <v>3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3</v>
      </c>
      <c r="O140" s="145">
        <f>SUMIFS(Table2[NewPointsAway],Table2[GameDate], "&lt;=" &amp; $A140, Table2[AwayTeam], O$1)+SUMIFS(Table2[NewPointsHome],Table2[GameDate], "&lt;=" &amp; $A140, Table2[HomeTeam], O$1)</f>
        <v>4</v>
      </c>
      <c r="P140" s="145">
        <f>SUMIFS(Table2[NewPointsAway],Table2[GameDate], "&lt;=" &amp; $A140, Table2[AwayTeam], P$1)+SUMIFS(Table2[NewPointsHome],Table2[GameDate], "&lt;=" &amp; $A140, Table2[HomeTeam], P$1)</f>
        <v>4</v>
      </c>
      <c r="Q140" s="145">
        <f>SUMIFS(Table2[NewPointsAway],Table2[GameDate], "&lt;=" &amp; $A140, Table2[AwayTeam], Q$1)+SUMIFS(Table2[NewPointsHome],Table2[GameDate], "&lt;=" &amp; $A140, Table2[HomeTeam], Q$1)</f>
        <v>4</v>
      </c>
      <c r="R140" s="145">
        <f>SUMIFS(Table2[NewPointsAway],Table2[GameDate], "&lt;=" &amp; $A140, Table2[AwayTeam], R$1)+SUMIFS(Table2[NewPointsHome],Table2[GameDate], "&lt;=" &amp; $A140, Table2[HomeTeam], R$1)</f>
        <v>5</v>
      </c>
      <c r="S140" s="145">
        <f>SUMIFS(Table2[NewPointsAway],Table2[GameDate], "&lt;=" &amp; $A140, Table2[AwayTeam], S$1)+SUMIFS(Table2[NewPointsHome],Table2[GameDate], "&lt;=" &amp; $A140, Table2[HomeTeam], S$1)</f>
        <v>0</v>
      </c>
      <c r="T140" s="145">
        <f>SUMIFS(Table2[NewPointsAway],Table2[GameDate], "&lt;=" &amp; $A140, Table2[AwayTeam], T$1)+SUMIFS(Table2[NewPointsHome],Table2[GameDate], "&lt;=" &amp; $A140, Table2[HomeTeam], T$1)</f>
        <v>4</v>
      </c>
      <c r="U140" s="145">
        <f>SUMIFS(Table2[NewPointsAway],Table2[GameDate], "&lt;=" &amp; $A140, Table2[AwayTeam], U$1)+SUMIFS(Table2[NewPointsHome],Table2[GameDate], "&lt;=" &amp; $A140, Table2[HomeTeam], U$1)</f>
        <v>2</v>
      </c>
      <c r="V140" s="145">
        <f>SUMIFS(Table2[NewPointsAway],Table2[GameDate], "&lt;=" &amp; $A140, Table2[AwayTeam], V$1)+SUMIFS(Table2[NewPointsHome],Table2[GameDate], "&lt;=" &amp; $A140, Table2[HomeTeam], V$1)</f>
        <v>3</v>
      </c>
      <c r="W140" s="145">
        <f>SUMIFS(Table2[NewPointsAway],Table2[GameDate], "&lt;=" &amp; $A140, Table2[AwayTeam], W$1)+SUMIFS(Table2[NewPointsHome],Table2[GameDate], "&lt;=" &amp; $A140, Table2[HomeTeam], W$1)</f>
        <v>4</v>
      </c>
      <c r="X140" s="145">
        <f>SUMIFS(Table2[NewPointsAway],Table2[GameDate], "&lt;=" &amp; $A140, Table2[AwayTeam], X$1)+SUMIFS(Table2[NewPointsHome],Table2[GameDate], "&lt;=" &amp; $A140, Table2[HomeTeam], X$1)</f>
        <v>4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4</v>
      </c>
      <c r="AA140" s="145">
        <f>SUMIFS(Table2[NewPointsAway],Table2[GameDate], "&lt;=" &amp; $A140, Table2[AwayTeam], AA$1)+SUMIFS(Table2[NewPointsHome],Table2[GameDate], "&lt;=" &amp; $A140, Table2[HomeTeam], AA$1)</f>
        <v>2</v>
      </c>
      <c r="AB140" s="145">
        <f>SUMIFS(Table2[NewPointsAway],Table2[GameDate], "&lt;=" &amp; $A140, Table2[AwayTeam], AB$1)+SUMIFS(Table2[NewPointsHome],Table2[GameDate], "&lt;=" &amp; $A140, Table2[HomeTeam], AB$1)</f>
        <v>2</v>
      </c>
      <c r="AC140" s="145">
        <f>SUMIFS(Table2[NewPointsAway],Table2[GameDate], "&lt;=" &amp; $A140, Table2[AwayTeam], AC$1)+SUMIFS(Table2[NewPointsHome],Table2[GameDate], "&lt;=" &amp; $A140, Table2[HomeTeam], AC$1)</f>
        <v>2</v>
      </c>
      <c r="AD140" s="145">
        <f>SUMIFS(Table2[NewPointsAway],Table2[GameDate], "&lt;=" &amp; $A140, Table2[AwayTeam], AD$1)+SUMIFS(Table2[NewPointsHome],Table2[GameDate], "&lt;=" &amp; $A140, Table2[HomeTeam], AD$1)</f>
        <v>2</v>
      </c>
      <c r="AE140" s="145">
        <f>SUMIFS(Table2[NewPointsAway],Table2[GameDate], "&lt;=" &amp; $A140, Table2[AwayTeam], AE$1)+SUMIFS(Table2[NewPointsHome],Table2[GameDate], "&lt;=" &amp; $A140, Table2[HomeTeam], AE$1)</f>
        <v>4</v>
      </c>
      <c r="AF140" s="145">
        <f>SUMIFS(Table2[NewPointsAway],Table2[GameDate], "&lt;=" &amp; $A140, Table2[AwayTeam], AF$1)+SUMIFS(Table2[NewPointsHome],Table2[GameDate], "&lt;=" &amp; $A140, Table2[HomeTeam], AF$1)</f>
        <v>4</v>
      </c>
      <c r="AG140" s="145">
        <f>SUMIFS(Table2[NewPointsAway],Table2[GameDate], "&lt;=" &amp; $A140, Table2[AwayTeam], AG$1)+SUMIFS(Table2[NewPointsHome],Table2[GameDate], "&lt;=" &amp; $A140, Table2[HomeTeam], AG$1)</f>
        <v>4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2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0</v>
      </c>
      <c r="E141" s="145">
        <f>SUMIFS(Table2[NewPointsAway],Table2[GameDate], "&lt;=" &amp; $A141, Table2[AwayTeam], E$1)+SUMIFS(Table2[NewPointsHome],Table2[GameDate], "&lt;=" &amp; $A141, Table2[HomeTeam], E$1)</f>
        <v>4</v>
      </c>
      <c r="F141" s="145">
        <f>SUMIFS(Table2[NewPointsAway],Table2[GameDate], "&lt;=" &amp; $A141, Table2[AwayTeam], F$1)+SUMIFS(Table2[NewPointsHome],Table2[GameDate], "&lt;=" &amp; $A141, Table2[HomeTeam], F$1)</f>
        <v>2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3</v>
      </c>
      <c r="I141" s="145">
        <f>SUMIFS(Table2[NewPointsAway],Table2[GameDate], "&lt;=" &amp; $A141, Table2[AwayTeam], I$1)+SUMIFS(Table2[NewPointsHome],Table2[GameDate], "&lt;=" &amp; $A141, Table2[HomeTeam], I$1)</f>
        <v>7</v>
      </c>
      <c r="J141" s="145">
        <f>SUMIFS(Table2[NewPointsAway],Table2[GameDate], "&lt;=" &amp; $A141, Table2[AwayTeam], J$1)+SUMIFS(Table2[NewPointsHome],Table2[GameDate], "&lt;=" &amp; $A141, Table2[HomeTeam], J$1)</f>
        <v>4</v>
      </c>
      <c r="K141" s="145">
        <f>SUMIFS(Table2[NewPointsAway],Table2[GameDate], "&lt;=" &amp; $A141, Table2[AwayTeam], K$1)+SUMIFS(Table2[NewPointsHome],Table2[GameDate], "&lt;=" &amp; $A141, Table2[HomeTeam], K$1)</f>
        <v>4</v>
      </c>
      <c r="L141" s="145">
        <f>SUMIFS(Table2[NewPointsAway],Table2[GameDate], "&lt;=" &amp; $A141, Table2[AwayTeam], L$1)+SUMIFS(Table2[NewPointsHome],Table2[GameDate], "&lt;=" &amp; $A141, Table2[HomeTeam], L$1)</f>
        <v>3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3</v>
      </c>
      <c r="O141" s="145">
        <f>SUMIFS(Table2[NewPointsAway],Table2[GameDate], "&lt;=" &amp; $A141, Table2[AwayTeam], O$1)+SUMIFS(Table2[NewPointsHome],Table2[GameDate], "&lt;=" &amp; $A141, Table2[HomeTeam], O$1)</f>
        <v>4</v>
      </c>
      <c r="P141" s="145">
        <f>SUMIFS(Table2[NewPointsAway],Table2[GameDate], "&lt;=" &amp; $A141, Table2[AwayTeam], P$1)+SUMIFS(Table2[NewPointsHome],Table2[GameDate], "&lt;=" &amp; $A141, Table2[HomeTeam], P$1)</f>
        <v>4</v>
      </c>
      <c r="Q141" s="145">
        <f>SUMIFS(Table2[NewPointsAway],Table2[GameDate], "&lt;=" &amp; $A141, Table2[AwayTeam], Q$1)+SUMIFS(Table2[NewPointsHome],Table2[GameDate], "&lt;=" &amp; $A141, Table2[HomeTeam], Q$1)</f>
        <v>4</v>
      </c>
      <c r="R141" s="145">
        <f>SUMIFS(Table2[NewPointsAway],Table2[GameDate], "&lt;=" &amp; $A141, Table2[AwayTeam], R$1)+SUMIFS(Table2[NewPointsHome],Table2[GameDate], "&lt;=" &amp; $A141, Table2[HomeTeam], R$1)</f>
        <v>5</v>
      </c>
      <c r="S141" s="145">
        <f>SUMIFS(Table2[NewPointsAway],Table2[GameDate], "&lt;=" &amp; $A141, Table2[AwayTeam], S$1)+SUMIFS(Table2[NewPointsHome],Table2[GameDate], "&lt;=" &amp; $A141, Table2[HomeTeam], S$1)</f>
        <v>0</v>
      </c>
      <c r="T141" s="145">
        <f>SUMIFS(Table2[NewPointsAway],Table2[GameDate], "&lt;=" &amp; $A141, Table2[AwayTeam], T$1)+SUMIFS(Table2[NewPointsHome],Table2[GameDate], "&lt;=" &amp; $A141, Table2[HomeTeam], T$1)</f>
        <v>4</v>
      </c>
      <c r="U141" s="145">
        <f>SUMIFS(Table2[NewPointsAway],Table2[GameDate], "&lt;=" &amp; $A141, Table2[AwayTeam], U$1)+SUMIFS(Table2[NewPointsHome],Table2[GameDate], "&lt;=" &amp; $A141, Table2[HomeTeam], U$1)</f>
        <v>2</v>
      </c>
      <c r="V141" s="145">
        <f>SUMIFS(Table2[NewPointsAway],Table2[GameDate], "&lt;=" &amp; $A141, Table2[AwayTeam], V$1)+SUMIFS(Table2[NewPointsHome],Table2[GameDate], "&lt;=" &amp; $A141, Table2[HomeTeam], V$1)</f>
        <v>3</v>
      </c>
      <c r="W141" s="145">
        <f>SUMIFS(Table2[NewPointsAway],Table2[GameDate], "&lt;=" &amp; $A141, Table2[AwayTeam], W$1)+SUMIFS(Table2[NewPointsHome],Table2[GameDate], "&lt;=" &amp; $A141, Table2[HomeTeam], W$1)</f>
        <v>4</v>
      </c>
      <c r="X141" s="145">
        <f>SUMIFS(Table2[NewPointsAway],Table2[GameDate], "&lt;=" &amp; $A141, Table2[AwayTeam], X$1)+SUMIFS(Table2[NewPointsHome],Table2[GameDate], "&lt;=" &amp; $A141, Table2[HomeTeam], X$1)</f>
        <v>4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4</v>
      </c>
      <c r="AA141" s="145">
        <f>SUMIFS(Table2[NewPointsAway],Table2[GameDate], "&lt;=" &amp; $A141, Table2[AwayTeam], AA$1)+SUMIFS(Table2[NewPointsHome],Table2[GameDate], "&lt;=" &amp; $A141, Table2[HomeTeam], AA$1)</f>
        <v>2</v>
      </c>
      <c r="AB141" s="145">
        <f>SUMIFS(Table2[NewPointsAway],Table2[GameDate], "&lt;=" &amp; $A141, Table2[AwayTeam], AB$1)+SUMIFS(Table2[NewPointsHome],Table2[GameDate], "&lt;=" &amp; $A141, Table2[HomeTeam], AB$1)</f>
        <v>2</v>
      </c>
      <c r="AC141" s="145">
        <f>SUMIFS(Table2[NewPointsAway],Table2[GameDate], "&lt;=" &amp; $A141, Table2[AwayTeam], AC$1)+SUMIFS(Table2[NewPointsHome],Table2[GameDate], "&lt;=" &amp; $A141, Table2[HomeTeam], AC$1)</f>
        <v>2</v>
      </c>
      <c r="AD141" s="145">
        <f>SUMIFS(Table2[NewPointsAway],Table2[GameDate], "&lt;=" &amp; $A141, Table2[AwayTeam], AD$1)+SUMIFS(Table2[NewPointsHome],Table2[GameDate], "&lt;=" &amp; $A141, Table2[HomeTeam], AD$1)</f>
        <v>2</v>
      </c>
      <c r="AE141" s="145">
        <f>SUMIFS(Table2[NewPointsAway],Table2[GameDate], "&lt;=" &amp; $A141, Table2[AwayTeam], AE$1)+SUMIFS(Table2[NewPointsHome],Table2[GameDate], "&lt;=" &amp; $A141, Table2[HomeTeam], AE$1)</f>
        <v>4</v>
      </c>
      <c r="AF141" s="145">
        <f>SUMIFS(Table2[NewPointsAway],Table2[GameDate], "&lt;=" &amp; $A141, Table2[AwayTeam], AF$1)+SUMIFS(Table2[NewPointsHome],Table2[GameDate], "&lt;=" &amp; $A141, Table2[HomeTeam], AF$1)</f>
        <v>4</v>
      </c>
      <c r="AG141" s="145">
        <f>SUMIFS(Table2[NewPointsAway],Table2[GameDate], "&lt;=" &amp; $A141, Table2[AwayTeam], AG$1)+SUMIFS(Table2[NewPointsHome],Table2[GameDate], "&lt;=" &amp; $A141, Table2[HomeTeam], AG$1)</f>
        <v>4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2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0</v>
      </c>
      <c r="E142" s="145">
        <f>SUMIFS(Table2[NewPointsAway],Table2[GameDate], "&lt;=" &amp; $A142, Table2[AwayTeam], E$1)+SUMIFS(Table2[NewPointsHome],Table2[GameDate], "&lt;=" &amp; $A142, Table2[HomeTeam], E$1)</f>
        <v>4</v>
      </c>
      <c r="F142" s="145">
        <f>SUMIFS(Table2[NewPointsAway],Table2[GameDate], "&lt;=" &amp; $A142, Table2[AwayTeam], F$1)+SUMIFS(Table2[NewPointsHome],Table2[GameDate], "&lt;=" &amp; $A142, Table2[HomeTeam], F$1)</f>
        <v>2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3</v>
      </c>
      <c r="I142" s="145">
        <f>SUMIFS(Table2[NewPointsAway],Table2[GameDate], "&lt;=" &amp; $A142, Table2[AwayTeam], I$1)+SUMIFS(Table2[NewPointsHome],Table2[GameDate], "&lt;=" &amp; $A142, Table2[HomeTeam], I$1)</f>
        <v>7</v>
      </c>
      <c r="J142" s="145">
        <f>SUMIFS(Table2[NewPointsAway],Table2[GameDate], "&lt;=" &amp; $A142, Table2[AwayTeam], J$1)+SUMIFS(Table2[NewPointsHome],Table2[GameDate], "&lt;=" &amp; $A142, Table2[HomeTeam], J$1)</f>
        <v>4</v>
      </c>
      <c r="K142" s="145">
        <f>SUMIFS(Table2[NewPointsAway],Table2[GameDate], "&lt;=" &amp; $A142, Table2[AwayTeam], K$1)+SUMIFS(Table2[NewPointsHome],Table2[GameDate], "&lt;=" &amp; $A142, Table2[HomeTeam], K$1)</f>
        <v>4</v>
      </c>
      <c r="L142" s="145">
        <f>SUMIFS(Table2[NewPointsAway],Table2[GameDate], "&lt;=" &amp; $A142, Table2[AwayTeam], L$1)+SUMIFS(Table2[NewPointsHome],Table2[GameDate], "&lt;=" &amp; $A142, Table2[HomeTeam], L$1)</f>
        <v>3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3</v>
      </c>
      <c r="O142" s="145">
        <f>SUMIFS(Table2[NewPointsAway],Table2[GameDate], "&lt;=" &amp; $A142, Table2[AwayTeam], O$1)+SUMIFS(Table2[NewPointsHome],Table2[GameDate], "&lt;=" &amp; $A142, Table2[HomeTeam], O$1)</f>
        <v>4</v>
      </c>
      <c r="P142" s="145">
        <f>SUMIFS(Table2[NewPointsAway],Table2[GameDate], "&lt;=" &amp; $A142, Table2[AwayTeam], P$1)+SUMIFS(Table2[NewPointsHome],Table2[GameDate], "&lt;=" &amp; $A142, Table2[HomeTeam], P$1)</f>
        <v>4</v>
      </c>
      <c r="Q142" s="145">
        <f>SUMIFS(Table2[NewPointsAway],Table2[GameDate], "&lt;=" &amp; $A142, Table2[AwayTeam], Q$1)+SUMIFS(Table2[NewPointsHome],Table2[GameDate], "&lt;=" &amp; $A142, Table2[HomeTeam], Q$1)</f>
        <v>4</v>
      </c>
      <c r="R142" s="145">
        <f>SUMIFS(Table2[NewPointsAway],Table2[GameDate], "&lt;=" &amp; $A142, Table2[AwayTeam], R$1)+SUMIFS(Table2[NewPointsHome],Table2[GameDate], "&lt;=" &amp; $A142, Table2[HomeTeam], R$1)</f>
        <v>5</v>
      </c>
      <c r="S142" s="145">
        <f>SUMIFS(Table2[NewPointsAway],Table2[GameDate], "&lt;=" &amp; $A142, Table2[AwayTeam], S$1)+SUMIFS(Table2[NewPointsHome],Table2[GameDate], "&lt;=" &amp; $A142, Table2[HomeTeam], S$1)</f>
        <v>0</v>
      </c>
      <c r="T142" s="145">
        <f>SUMIFS(Table2[NewPointsAway],Table2[GameDate], "&lt;=" &amp; $A142, Table2[AwayTeam], T$1)+SUMIFS(Table2[NewPointsHome],Table2[GameDate], "&lt;=" &amp; $A142, Table2[HomeTeam], T$1)</f>
        <v>4</v>
      </c>
      <c r="U142" s="145">
        <f>SUMIFS(Table2[NewPointsAway],Table2[GameDate], "&lt;=" &amp; $A142, Table2[AwayTeam], U$1)+SUMIFS(Table2[NewPointsHome],Table2[GameDate], "&lt;=" &amp; $A142, Table2[HomeTeam], U$1)</f>
        <v>2</v>
      </c>
      <c r="V142" s="145">
        <f>SUMIFS(Table2[NewPointsAway],Table2[GameDate], "&lt;=" &amp; $A142, Table2[AwayTeam], V$1)+SUMIFS(Table2[NewPointsHome],Table2[GameDate], "&lt;=" &amp; $A142, Table2[HomeTeam], V$1)</f>
        <v>3</v>
      </c>
      <c r="W142" s="145">
        <f>SUMIFS(Table2[NewPointsAway],Table2[GameDate], "&lt;=" &amp; $A142, Table2[AwayTeam], W$1)+SUMIFS(Table2[NewPointsHome],Table2[GameDate], "&lt;=" &amp; $A142, Table2[HomeTeam], W$1)</f>
        <v>4</v>
      </c>
      <c r="X142" s="145">
        <f>SUMIFS(Table2[NewPointsAway],Table2[GameDate], "&lt;=" &amp; $A142, Table2[AwayTeam], X$1)+SUMIFS(Table2[NewPointsHome],Table2[GameDate], "&lt;=" &amp; $A142, Table2[HomeTeam], X$1)</f>
        <v>4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4</v>
      </c>
      <c r="AA142" s="145">
        <f>SUMIFS(Table2[NewPointsAway],Table2[GameDate], "&lt;=" &amp; $A142, Table2[AwayTeam], AA$1)+SUMIFS(Table2[NewPointsHome],Table2[GameDate], "&lt;=" &amp; $A142, Table2[HomeTeam], AA$1)</f>
        <v>2</v>
      </c>
      <c r="AB142" s="145">
        <f>SUMIFS(Table2[NewPointsAway],Table2[GameDate], "&lt;=" &amp; $A142, Table2[AwayTeam], AB$1)+SUMIFS(Table2[NewPointsHome],Table2[GameDate], "&lt;=" &amp; $A142, Table2[HomeTeam], AB$1)</f>
        <v>2</v>
      </c>
      <c r="AC142" s="145">
        <f>SUMIFS(Table2[NewPointsAway],Table2[GameDate], "&lt;=" &amp; $A142, Table2[AwayTeam], AC$1)+SUMIFS(Table2[NewPointsHome],Table2[GameDate], "&lt;=" &amp; $A142, Table2[HomeTeam], AC$1)</f>
        <v>2</v>
      </c>
      <c r="AD142" s="145">
        <f>SUMIFS(Table2[NewPointsAway],Table2[GameDate], "&lt;=" &amp; $A142, Table2[AwayTeam], AD$1)+SUMIFS(Table2[NewPointsHome],Table2[GameDate], "&lt;=" &amp; $A142, Table2[HomeTeam], AD$1)</f>
        <v>2</v>
      </c>
      <c r="AE142" s="145">
        <f>SUMIFS(Table2[NewPointsAway],Table2[GameDate], "&lt;=" &amp; $A142, Table2[AwayTeam], AE$1)+SUMIFS(Table2[NewPointsHome],Table2[GameDate], "&lt;=" &amp; $A142, Table2[HomeTeam], AE$1)</f>
        <v>4</v>
      </c>
      <c r="AF142" s="145">
        <f>SUMIFS(Table2[NewPointsAway],Table2[GameDate], "&lt;=" &amp; $A142, Table2[AwayTeam], AF$1)+SUMIFS(Table2[NewPointsHome],Table2[GameDate], "&lt;=" &amp; $A142, Table2[HomeTeam], AF$1)</f>
        <v>4</v>
      </c>
      <c r="AG142" s="145">
        <f>SUMIFS(Table2[NewPointsAway],Table2[GameDate], "&lt;=" &amp; $A142, Table2[AwayTeam], AG$1)+SUMIFS(Table2[NewPointsHome],Table2[GameDate], "&lt;=" &amp; $A142, Table2[HomeTeam], AG$1)</f>
        <v>4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2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0</v>
      </c>
      <c r="E143" s="145">
        <f>SUMIFS(Table2[NewPointsAway],Table2[GameDate], "&lt;=" &amp; $A143, Table2[AwayTeam], E$1)+SUMIFS(Table2[NewPointsHome],Table2[GameDate], "&lt;=" &amp; $A143, Table2[HomeTeam], E$1)</f>
        <v>4</v>
      </c>
      <c r="F143" s="145">
        <f>SUMIFS(Table2[NewPointsAway],Table2[GameDate], "&lt;=" &amp; $A143, Table2[AwayTeam], F$1)+SUMIFS(Table2[NewPointsHome],Table2[GameDate], "&lt;=" &amp; $A143, Table2[HomeTeam], F$1)</f>
        <v>2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3</v>
      </c>
      <c r="I143" s="145">
        <f>SUMIFS(Table2[NewPointsAway],Table2[GameDate], "&lt;=" &amp; $A143, Table2[AwayTeam], I$1)+SUMIFS(Table2[NewPointsHome],Table2[GameDate], "&lt;=" &amp; $A143, Table2[HomeTeam], I$1)</f>
        <v>7</v>
      </c>
      <c r="J143" s="145">
        <f>SUMIFS(Table2[NewPointsAway],Table2[GameDate], "&lt;=" &amp; $A143, Table2[AwayTeam], J$1)+SUMIFS(Table2[NewPointsHome],Table2[GameDate], "&lt;=" &amp; $A143, Table2[HomeTeam], J$1)</f>
        <v>4</v>
      </c>
      <c r="K143" s="145">
        <f>SUMIFS(Table2[NewPointsAway],Table2[GameDate], "&lt;=" &amp; $A143, Table2[AwayTeam], K$1)+SUMIFS(Table2[NewPointsHome],Table2[GameDate], "&lt;=" &amp; $A143, Table2[HomeTeam], K$1)</f>
        <v>4</v>
      </c>
      <c r="L143" s="145">
        <f>SUMIFS(Table2[NewPointsAway],Table2[GameDate], "&lt;=" &amp; $A143, Table2[AwayTeam], L$1)+SUMIFS(Table2[NewPointsHome],Table2[GameDate], "&lt;=" &amp; $A143, Table2[HomeTeam], L$1)</f>
        <v>3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3</v>
      </c>
      <c r="O143" s="145">
        <f>SUMIFS(Table2[NewPointsAway],Table2[GameDate], "&lt;=" &amp; $A143, Table2[AwayTeam], O$1)+SUMIFS(Table2[NewPointsHome],Table2[GameDate], "&lt;=" &amp; $A143, Table2[HomeTeam], O$1)</f>
        <v>4</v>
      </c>
      <c r="P143" s="145">
        <f>SUMIFS(Table2[NewPointsAway],Table2[GameDate], "&lt;=" &amp; $A143, Table2[AwayTeam], P$1)+SUMIFS(Table2[NewPointsHome],Table2[GameDate], "&lt;=" &amp; $A143, Table2[HomeTeam], P$1)</f>
        <v>4</v>
      </c>
      <c r="Q143" s="145">
        <f>SUMIFS(Table2[NewPointsAway],Table2[GameDate], "&lt;=" &amp; $A143, Table2[AwayTeam], Q$1)+SUMIFS(Table2[NewPointsHome],Table2[GameDate], "&lt;=" &amp; $A143, Table2[HomeTeam], Q$1)</f>
        <v>4</v>
      </c>
      <c r="R143" s="145">
        <f>SUMIFS(Table2[NewPointsAway],Table2[GameDate], "&lt;=" &amp; $A143, Table2[AwayTeam], R$1)+SUMIFS(Table2[NewPointsHome],Table2[GameDate], "&lt;=" &amp; $A143, Table2[HomeTeam], R$1)</f>
        <v>5</v>
      </c>
      <c r="S143" s="145">
        <f>SUMIFS(Table2[NewPointsAway],Table2[GameDate], "&lt;=" &amp; $A143, Table2[AwayTeam], S$1)+SUMIFS(Table2[NewPointsHome],Table2[GameDate], "&lt;=" &amp; $A143, Table2[HomeTeam], S$1)</f>
        <v>0</v>
      </c>
      <c r="T143" s="145">
        <f>SUMIFS(Table2[NewPointsAway],Table2[GameDate], "&lt;=" &amp; $A143, Table2[AwayTeam], T$1)+SUMIFS(Table2[NewPointsHome],Table2[GameDate], "&lt;=" &amp; $A143, Table2[HomeTeam], T$1)</f>
        <v>4</v>
      </c>
      <c r="U143" s="145">
        <f>SUMIFS(Table2[NewPointsAway],Table2[GameDate], "&lt;=" &amp; $A143, Table2[AwayTeam], U$1)+SUMIFS(Table2[NewPointsHome],Table2[GameDate], "&lt;=" &amp; $A143, Table2[HomeTeam], U$1)</f>
        <v>2</v>
      </c>
      <c r="V143" s="145">
        <f>SUMIFS(Table2[NewPointsAway],Table2[GameDate], "&lt;=" &amp; $A143, Table2[AwayTeam], V$1)+SUMIFS(Table2[NewPointsHome],Table2[GameDate], "&lt;=" &amp; $A143, Table2[HomeTeam], V$1)</f>
        <v>3</v>
      </c>
      <c r="W143" s="145">
        <f>SUMIFS(Table2[NewPointsAway],Table2[GameDate], "&lt;=" &amp; $A143, Table2[AwayTeam], W$1)+SUMIFS(Table2[NewPointsHome],Table2[GameDate], "&lt;=" &amp; $A143, Table2[HomeTeam], W$1)</f>
        <v>4</v>
      </c>
      <c r="X143" s="145">
        <f>SUMIFS(Table2[NewPointsAway],Table2[GameDate], "&lt;=" &amp; $A143, Table2[AwayTeam], X$1)+SUMIFS(Table2[NewPointsHome],Table2[GameDate], "&lt;=" &amp; $A143, Table2[HomeTeam], X$1)</f>
        <v>4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4</v>
      </c>
      <c r="AA143" s="145">
        <f>SUMIFS(Table2[NewPointsAway],Table2[GameDate], "&lt;=" &amp; $A143, Table2[AwayTeam], AA$1)+SUMIFS(Table2[NewPointsHome],Table2[GameDate], "&lt;=" &amp; $A143, Table2[HomeTeam], AA$1)</f>
        <v>2</v>
      </c>
      <c r="AB143" s="145">
        <f>SUMIFS(Table2[NewPointsAway],Table2[GameDate], "&lt;=" &amp; $A143, Table2[AwayTeam], AB$1)+SUMIFS(Table2[NewPointsHome],Table2[GameDate], "&lt;=" &amp; $A143, Table2[HomeTeam], AB$1)</f>
        <v>2</v>
      </c>
      <c r="AC143" s="145">
        <f>SUMIFS(Table2[NewPointsAway],Table2[GameDate], "&lt;=" &amp; $A143, Table2[AwayTeam], AC$1)+SUMIFS(Table2[NewPointsHome],Table2[GameDate], "&lt;=" &amp; $A143, Table2[HomeTeam], AC$1)</f>
        <v>2</v>
      </c>
      <c r="AD143" s="145">
        <f>SUMIFS(Table2[NewPointsAway],Table2[GameDate], "&lt;=" &amp; $A143, Table2[AwayTeam], AD$1)+SUMIFS(Table2[NewPointsHome],Table2[GameDate], "&lt;=" &amp; $A143, Table2[HomeTeam], AD$1)</f>
        <v>2</v>
      </c>
      <c r="AE143" s="145">
        <f>SUMIFS(Table2[NewPointsAway],Table2[GameDate], "&lt;=" &amp; $A143, Table2[AwayTeam], AE$1)+SUMIFS(Table2[NewPointsHome],Table2[GameDate], "&lt;=" &amp; $A143, Table2[HomeTeam], AE$1)</f>
        <v>4</v>
      </c>
      <c r="AF143" s="145">
        <f>SUMIFS(Table2[NewPointsAway],Table2[GameDate], "&lt;=" &amp; $A143, Table2[AwayTeam], AF$1)+SUMIFS(Table2[NewPointsHome],Table2[GameDate], "&lt;=" &amp; $A143, Table2[HomeTeam], AF$1)</f>
        <v>4</v>
      </c>
      <c r="AG143" s="145">
        <f>SUMIFS(Table2[NewPointsAway],Table2[GameDate], "&lt;=" &amp; $A143, Table2[AwayTeam], AG$1)+SUMIFS(Table2[NewPointsHome],Table2[GameDate], "&lt;=" &amp; $A143, Table2[HomeTeam], AG$1)</f>
        <v>4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2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0</v>
      </c>
      <c r="E144" s="145">
        <f>SUMIFS(Table2[NewPointsAway],Table2[GameDate], "&lt;=" &amp; $A144, Table2[AwayTeam], E$1)+SUMIFS(Table2[NewPointsHome],Table2[GameDate], "&lt;=" &amp; $A144, Table2[HomeTeam], E$1)</f>
        <v>4</v>
      </c>
      <c r="F144" s="145">
        <f>SUMIFS(Table2[NewPointsAway],Table2[GameDate], "&lt;=" &amp; $A144, Table2[AwayTeam], F$1)+SUMIFS(Table2[NewPointsHome],Table2[GameDate], "&lt;=" &amp; $A144, Table2[HomeTeam], F$1)</f>
        <v>2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3</v>
      </c>
      <c r="I144" s="145">
        <f>SUMIFS(Table2[NewPointsAway],Table2[GameDate], "&lt;=" &amp; $A144, Table2[AwayTeam], I$1)+SUMIFS(Table2[NewPointsHome],Table2[GameDate], "&lt;=" &amp; $A144, Table2[HomeTeam], I$1)</f>
        <v>7</v>
      </c>
      <c r="J144" s="145">
        <f>SUMIFS(Table2[NewPointsAway],Table2[GameDate], "&lt;=" &amp; $A144, Table2[AwayTeam], J$1)+SUMIFS(Table2[NewPointsHome],Table2[GameDate], "&lt;=" &amp; $A144, Table2[HomeTeam], J$1)</f>
        <v>4</v>
      </c>
      <c r="K144" s="145">
        <f>SUMIFS(Table2[NewPointsAway],Table2[GameDate], "&lt;=" &amp; $A144, Table2[AwayTeam], K$1)+SUMIFS(Table2[NewPointsHome],Table2[GameDate], "&lt;=" &amp; $A144, Table2[HomeTeam], K$1)</f>
        <v>4</v>
      </c>
      <c r="L144" s="145">
        <f>SUMIFS(Table2[NewPointsAway],Table2[GameDate], "&lt;=" &amp; $A144, Table2[AwayTeam], L$1)+SUMIFS(Table2[NewPointsHome],Table2[GameDate], "&lt;=" &amp; $A144, Table2[HomeTeam], L$1)</f>
        <v>3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3</v>
      </c>
      <c r="O144" s="145">
        <f>SUMIFS(Table2[NewPointsAway],Table2[GameDate], "&lt;=" &amp; $A144, Table2[AwayTeam], O$1)+SUMIFS(Table2[NewPointsHome],Table2[GameDate], "&lt;=" &amp; $A144, Table2[HomeTeam], O$1)</f>
        <v>4</v>
      </c>
      <c r="P144" s="145">
        <f>SUMIFS(Table2[NewPointsAway],Table2[GameDate], "&lt;=" &amp; $A144, Table2[AwayTeam], P$1)+SUMIFS(Table2[NewPointsHome],Table2[GameDate], "&lt;=" &amp; $A144, Table2[HomeTeam], P$1)</f>
        <v>4</v>
      </c>
      <c r="Q144" s="145">
        <f>SUMIFS(Table2[NewPointsAway],Table2[GameDate], "&lt;=" &amp; $A144, Table2[AwayTeam], Q$1)+SUMIFS(Table2[NewPointsHome],Table2[GameDate], "&lt;=" &amp; $A144, Table2[HomeTeam], Q$1)</f>
        <v>4</v>
      </c>
      <c r="R144" s="145">
        <f>SUMIFS(Table2[NewPointsAway],Table2[GameDate], "&lt;=" &amp; $A144, Table2[AwayTeam], R$1)+SUMIFS(Table2[NewPointsHome],Table2[GameDate], "&lt;=" &amp; $A144, Table2[HomeTeam], R$1)</f>
        <v>5</v>
      </c>
      <c r="S144" s="145">
        <f>SUMIFS(Table2[NewPointsAway],Table2[GameDate], "&lt;=" &amp; $A144, Table2[AwayTeam], S$1)+SUMIFS(Table2[NewPointsHome],Table2[GameDate], "&lt;=" &amp; $A144, Table2[HomeTeam], S$1)</f>
        <v>0</v>
      </c>
      <c r="T144" s="145">
        <f>SUMIFS(Table2[NewPointsAway],Table2[GameDate], "&lt;=" &amp; $A144, Table2[AwayTeam], T$1)+SUMIFS(Table2[NewPointsHome],Table2[GameDate], "&lt;=" &amp; $A144, Table2[HomeTeam], T$1)</f>
        <v>4</v>
      </c>
      <c r="U144" s="145">
        <f>SUMIFS(Table2[NewPointsAway],Table2[GameDate], "&lt;=" &amp; $A144, Table2[AwayTeam], U$1)+SUMIFS(Table2[NewPointsHome],Table2[GameDate], "&lt;=" &amp; $A144, Table2[HomeTeam], U$1)</f>
        <v>2</v>
      </c>
      <c r="V144" s="145">
        <f>SUMIFS(Table2[NewPointsAway],Table2[GameDate], "&lt;=" &amp; $A144, Table2[AwayTeam], V$1)+SUMIFS(Table2[NewPointsHome],Table2[GameDate], "&lt;=" &amp; $A144, Table2[HomeTeam], V$1)</f>
        <v>3</v>
      </c>
      <c r="W144" s="145">
        <f>SUMIFS(Table2[NewPointsAway],Table2[GameDate], "&lt;=" &amp; $A144, Table2[AwayTeam], W$1)+SUMIFS(Table2[NewPointsHome],Table2[GameDate], "&lt;=" &amp; $A144, Table2[HomeTeam], W$1)</f>
        <v>4</v>
      </c>
      <c r="X144" s="145">
        <f>SUMIFS(Table2[NewPointsAway],Table2[GameDate], "&lt;=" &amp; $A144, Table2[AwayTeam], X$1)+SUMIFS(Table2[NewPointsHome],Table2[GameDate], "&lt;=" &amp; $A144, Table2[HomeTeam], X$1)</f>
        <v>4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4</v>
      </c>
      <c r="AA144" s="145">
        <f>SUMIFS(Table2[NewPointsAway],Table2[GameDate], "&lt;=" &amp; $A144, Table2[AwayTeam], AA$1)+SUMIFS(Table2[NewPointsHome],Table2[GameDate], "&lt;=" &amp; $A144, Table2[HomeTeam], AA$1)</f>
        <v>2</v>
      </c>
      <c r="AB144" s="145">
        <f>SUMIFS(Table2[NewPointsAway],Table2[GameDate], "&lt;=" &amp; $A144, Table2[AwayTeam], AB$1)+SUMIFS(Table2[NewPointsHome],Table2[GameDate], "&lt;=" &amp; $A144, Table2[HomeTeam], AB$1)</f>
        <v>2</v>
      </c>
      <c r="AC144" s="145">
        <f>SUMIFS(Table2[NewPointsAway],Table2[GameDate], "&lt;=" &amp; $A144, Table2[AwayTeam], AC$1)+SUMIFS(Table2[NewPointsHome],Table2[GameDate], "&lt;=" &amp; $A144, Table2[HomeTeam], AC$1)</f>
        <v>2</v>
      </c>
      <c r="AD144" s="145">
        <f>SUMIFS(Table2[NewPointsAway],Table2[GameDate], "&lt;=" &amp; $A144, Table2[AwayTeam], AD$1)+SUMIFS(Table2[NewPointsHome],Table2[GameDate], "&lt;=" &amp; $A144, Table2[HomeTeam], AD$1)</f>
        <v>2</v>
      </c>
      <c r="AE144" s="145">
        <f>SUMIFS(Table2[NewPointsAway],Table2[GameDate], "&lt;=" &amp; $A144, Table2[AwayTeam], AE$1)+SUMIFS(Table2[NewPointsHome],Table2[GameDate], "&lt;=" &amp; $A144, Table2[HomeTeam], AE$1)</f>
        <v>4</v>
      </c>
      <c r="AF144" s="145">
        <f>SUMIFS(Table2[NewPointsAway],Table2[GameDate], "&lt;=" &amp; $A144, Table2[AwayTeam], AF$1)+SUMIFS(Table2[NewPointsHome],Table2[GameDate], "&lt;=" &amp; $A144, Table2[HomeTeam], AF$1)</f>
        <v>4</v>
      </c>
      <c r="AG144" s="145">
        <f>SUMIFS(Table2[NewPointsAway],Table2[GameDate], "&lt;=" &amp; $A144, Table2[AwayTeam], AG$1)+SUMIFS(Table2[NewPointsHome],Table2[GameDate], "&lt;=" &amp; $A144, Table2[HomeTeam], AG$1)</f>
        <v>4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2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0</v>
      </c>
      <c r="E145" s="145">
        <f>SUMIFS(Table2[NewPointsAway],Table2[GameDate], "&lt;=" &amp; $A145, Table2[AwayTeam], E$1)+SUMIFS(Table2[NewPointsHome],Table2[GameDate], "&lt;=" &amp; $A145, Table2[HomeTeam], E$1)</f>
        <v>4</v>
      </c>
      <c r="F145" s="145">
        <f>SUMIFS(Table2[NewPointsAway],Table2[GameDate], "&lt;=" &amp; $A145, Table2[AwayTeam], F$1)+SUMIFS(Table2[NewPointsHome],Table2[GameDate], "&lt;=" &amp; $A145, Table2[HomeTeam], F$1)</f>
        <v>2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3</v>
      </c>
      <c r="I145" s="145">
        <f>SUMIFS(Table2[NewPointsAway],Table2[GameDate], "&lt;=" &amp; $A145, Table2[AwayTeam], I$1)+SUMIFS(Table2[NewPointsHome],Table2[GameDate], "&lt;=" &amp; $A145, Table2[HomeTeam], I$1)</f>
        <v>7</v>
      </c>
      <c r="J145" s="145">
        <f>SUMIFS(Table2[NewPointsAway],Table2[GameDate], "&lt;=" &amp; $A145, Table2[AwayTeam], J$1)+SUMIFS(Table2[NewPointsHome],Table2[GameDate], "&lt;=" &amp; $A145, Table2[HomeTeam], J$1)</f>
        <v>4</v>
      </c>
      <c r="K145" s="145">
        <f>SUMIFS(Table2[NewPointsAway],Table2[GameDate], "&lt;=" &amp; $A145, Table2[AwayTeam], K$1)+SUMIFS(Table2[NewPointsHome],Table2[GameDate], "&lt;=" &amp; $A145, Table2[HomeTeam], K$1)</f>
        <v>4</v>
      </c>
      <c r="L145" s="145">
        <f>SUMIFS(Table2[NewPointsAway],Table2[GameDate], "&lt;=" &amp; $A145, Table2[AwayTeam], L$1)+SUMIFS(Table2[NewPointsHome],Table2[GameDate], "&lt;=" &amp; $A145, Table2[HomeTeam], L$1)</f>
        <v>3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3</v>
      </c>
      <c r="O145" s="145">
        <f>SUMIFS(Table2[NewPointsAway],Table2[GameDate], "&lt;=" &amp; $A145, Table2[AwayTeam], O$1)+SUMIFS(Table2[NewPointsHome],Table2[GameDate], "&lt;=" &amp; $A145, Table2[HomeTeam], O$1)</f>
        <v>4</v>
      </c>
      <c r="P145" s="145">
        <f>SUMIFS(Table2[NewPointsAway],Table2[GameDate], "&lt;=" &amp; $A145, Table2[AwayTeam], P$1)+SUMIFS(Table2[NewPointsHome],Table2[GameDate], "&lt;=" &amp; $A145, Table2[HomeTeam], P$1)</f>
        <v>4</v>
      </c>
      <c r="Q145" s="145">
        <f>SUMIFS(Table2[NewPointsAway],Table2[GameDate], "&lt;=" &amp; $A145, Table2[AwayTeam], Q$1)+SUMIFS(Table2[NewPointsHome],Table2[GameDate], "&lt;=" &amp; $A145, Table2[HomeTeam], Q$1)</f>
        <v>4</v>
      </c>
      <c r="R145" s="145">
        <f>SUMIFS(Table2[NewPointsAway],Table2[GameDate], "&lt;=" &amp; $A145, Table2[AwayTeam], R$1)+SUMIFS(Table2[NewPointsHome],Table2[GameDate], "&lt;=" &amp; $A145, Table2[HomeTeam], R$1)</f>
        <v>5</v>
      </c>
      <c r="S145" s="145">
        <f>SUMIFS(Table2[NewPointsAway],Table2[GameDate], "&lt;=" &amp; $A145, Table2[AwayTeam], S$1)+SUMIFS(Table2[NewPointsHome],Table2[GameDate], "&lt;=" &amp; $A145, Table2[HomeTeam], S$1)</f>
        <v>0</v>
      </c>
      <c r="T145" s="145">
        <f>SUMIFS(Table2[NewPointsAway],Table2[GameDate], "&lt;=" &amp; $A145, Table2[AwayTeam], T$1)+SUMIFS(Table2[NewPointsHome],Table2[GameDate], "&lt;=" &amp; $A145, Table2[HomeTeam], T$1)</f>
        <v>4</v>
      </c>
      <c r="U145" s="145">
        <f>SUMIFS(Table2[NewPointsAway],Table2[GameDate], "&lt;=" &amp; $A145, Table2[AwayTeam], U$1)+SUMIFS(Table2[NewPointsHome],Table2[GameDate], "&lt;=" &amp; $A145, Table2[HomeTeam], U$1)</f>
        <v>2</v>
      </c>
      <c r="V145" s="145">
        <f>SUMIFS(Table2[NewPointsAway],Table2[GameDate], "&lt;=" &amp; $A145, Table2[AwayTeam], V$1)+SUMIFS(Table2[NewPointsHome],Table2[GameDate], "&lt;=" &amp; $A145, Table2[HomeTeam], V$1)</f>
        <v>3</v>
      </c>
      <c r="W145" s="145">
        <f>SUMIFS(Table2[NewPointsAway],Table2[GameDate], "&lt;=" &amp; $A145, Table2[AwayTeam], W$1)+SUMIFS(Table2[NewPointsHome],Table2[GameDate], "&lt;=" &amp; $A145, Table2[HomeTeam], W$1)</f>
        <v>4</v>
      </c>
      <c r="X145" s="145">
        <f>SUMIFS(Table2[NewPointsAway],Table2[GameDate], "&lt;=" &amp; $A145, Table2[AwayTeam], X$1)+SUMIFS(Table2[NewPointsHome],Table2[GameDate], "&lt;=" &amp; $A145, Table2[HomeTeam], X$1)</f>
        <v>4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4</v>
      </c>
      <c r="AA145" s="145">
        <f>SUMIFS(Table2[NewPointsAway],Table2[GameDate], "&lt;=" &amp; $A145, Table2[AwayTeam], AA$1)+SUMIFS(Table2[NewPointsHome],Table2[GameDate], "&lt;=" &amp; $A145, Table2[HomeTeam], AA$1)</f>
        <v>2</v>
      </c>
      <c r="AB145" s="145">
        <f>SUMIFS(Table2[NewPointsAway],Table2[GameDate], "&lt;=" &amp; $A145, Table2[AwayTeam], AB$1)+SUMIFS(Table2[NewPointsHome],Table2[GameDate], "&lt;=" &amp; $A145, Table2[HomeTeam], AB$1)</f>
        <v>2</v>
      </c>
      <c r="AC145" s="145">
        <f>SUMIFS(Table2[NewPointsAway],Table2[GameDate], "&lt;=" &amp; $A145, Table2[AwayTeam], AC$1)+SUMIFS(Table2[NewPointsHome],Table2[GameDate], "&lt;=" &amp; $A145, Table2[HomeTeam], AC$1)</f>
        <v>2</v>
      </c>
      <c r="AD145" s="145">
        <f>SUMIFS(Table2[NewPointsAway],Table2[GameDate], "&lt;=" &amp; $A145, Table2[AwayTeam], AD$1)+SUMIFS(Table2[NewPointsHome],Table2[GameDate], "&lt;=" &amp; $A145, Table2[HomeTeam], AD$1)</f>
        <v>2</v>
      </c>
      <c r="AE145" s="145">
        <f>SUMIFS(Table2[NewPointsAway],Table2[GameDate], "&lt;=" &amp; $A145, Table2[AwayTeam], AE$1)+SUMIFS(Table2[NewPointsHome],Table2[GameDate], "&lt;=" &amp; $A145, Table2[HomeTeam], AE$1)</f>
        <v>4</v>
      </c>
      <c r="AF145" s="145">
        <f>SUMIFS(Table2[NewPointsAway],Table2[GameDate], "&lt;=" &amp; $A145, Table2[AwayTeam], AF$1)+SUMIFS(Table2[NewPointsHome],Table2[GameDate], "&lt;=" &amp; $A145, Table2[HomeTeam], AF$1)</f>
        <v>4</v>
      </c>
      <c r="AG145" s="145">
        <f>SUMIFS(Table2[NewPointsAway],Table2[GameDate], "&lt;=" &amp; $A145, Table2[AwayTeam], AG$1)+SUMIFS(Table2[NewPointsHome],Table2[GameDate], "&lt;=" &amp; $A145, Table2[HomeTeam], AG$1)</f>
        <v>4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2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0</v>
      </c>
      <c r="E146" s="145">
        <f>SUMIFS(Table2[NewPointsAway],Table2[GameDate], "&lt;=" &amp; $A146, Table2[AwayTeam], E$1)+SUMIFS(Table2[NewPointsHome],Table2[GameDate], "&lt;=" &amp; $A146, Table2[HomeTeam], E$1)</f>
        <v>4</v>
      </c>
      <c r="F146" s="145">
        <f>SUMIFS(Table2[NewPointsAway],Table2[GameDate], "&lt;=" &amp; $A146, Table2[AwayTeam], F$1)+SUMIFS(Table2[NewPointsHome],Table2[GameDate], "&lt;=" &amp; $A146, Table2[HomeTeam], F$1)</f>
        <v>2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3</v>
      </c>
      <c r="I146" s="145">
        <f>SUMIFS(Table2[NewPointsAway],Table2[GameDate], "&lt;=" &amp; $A146, Table2[AwayTeam], I$1)+SUMIFS(Table2[NewPointsHome],Table2[GameDate], "&lt;=" &amp; $A146, Table2[HomeTeam], I$1)</f>
        <v>7</v>
      </c>
      <c r="J146" s="145">
        <f>SUMIFS(Table2[NewPointsAway],Table2[GameDate], "&lt;=" &amp; $A146, Table2[AwayTeam], J$1)+SUMIFS(Table2[NewPointsHome],Table2[GameDate], "&lt;=" &amp; $A146, Table2[HomeTeam], J$1)</f>
        <v>4</v>
      </c>
      <c r="K146" s="145">
        <f>SUMIFS(Table2[NewPointsAway],Table2[GameDate], "&lt;=" &amp; $A146, Table2[AwayTeam], K$1)+SUMIFS(Table2[NewPointsHome],Table2[GameDate], "&lt;=" &amp; $A146, Table2[HomeTeam], K$1)</f>
        <v>4</v>
      </c>
      <c r="L146" s="145">
        <f>SUMIFS(Table2[NewPointsAway],Table2[GameDate], "&lt;=" &amp; $A146, Table2[AwayTeam], L$1)+SUMIFS(Table2[NewPointsHome],Table2[GameDate], "&lt;=" &amp; $A146, Table2[HomeTeam], L$1)</f>
        <v>3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3</v>
      </c>
      <c r="O146" s="145">
        <f>SUMIFS(Table2[NewPointsAway],Table2[GameDate], "&lt;=" &amp; $A146, Table2[AwayTeam], O$1)+SUMIFS(Table2[NewPointsHome],Table2[GameDate], "&lt;=" &amp; $A146, Table2[HomeTeam], O$1)</f>
        <v>4</v>
      </c>
      <c r="P146" s="145">
        <f>SUMIFS(Table2[NewPointsAway],Table2[GameDate], "&lt;=" &amp; $A146, Table2[AwayTeam], P$1)+SUMIFS(Table2[NewPointsHome],Table2[GameDate], "&lt;=" &amp; $A146, Table2[HomeTeam], P$1)</f>
        <v>4</v>
      </c>
      <c r="Q146" s="145">
        <f>SUMIFS(Table2[NewPointsAway],Table2[GameDate], "&lt;=" &amp; $A146, Table2[AwayTeam], Q$1)+SUMIFS(Table2[NewPointsHome],Table2[GameDate], "&lt;=" &amp; $A146, Table2[HomeTeam], Q$1)</f>
        <v>4</v>
      </c>
      <c r="R146" s="145">
        <f>SUMIFS(Table2[NewPointsAway],Table2[GameDate], "&lt;=" &amp; $A146, Table2[AwayTeam], R$1)+SUMIFS(Table2[NewPointsHome],Table2[GameDate], "&lt;=" &amp; $A146, Table2[HomeTeam], R$1)</f>
        <v>5</v>
      </c>
      <c r="S146" s="145">
        <f>SUMIFS(Table2[NewPointsAway],Table2[GameDate], "&lt;=" &amp; $A146, Table2[AwayTeam], S$1)+SUMIFS(Table2[NewPointsHome],Table2[GameDate], "&lt;=" &amp; $A146, Table2[HomeTeam], S$1)</f>
        <v>0</v>
      </c>
      <c r="T146" s="145">
        <f>SUMIFS(Table2[NewPointsAway],Table2[GameDate], "&lt;=" &amp; $A146, Table2[AwayTeam], T$1)+SUMIFS(Table2[NewPointsHome],Table2[GameDate], "&lt;=" &amp; $A146, Table2[HomeTeam], T$1)</f>
        <v>4</v>
      </c>
      <c r="U146" s="145">
        <f>SUMIFS(Table2[NewPointsAway],Table2[GameDate], "&lt;=" &amp; $A146, Table2[AwayTeam], U$1)+SUMIFS(Table2[NewPointsHome],Table2[GameDate], "&lt;=" &amp; $A146, Table2[HomeTeam], U$1)</f>
        <v>2</v>
      </c>
      <c r="V146" s="145">
        <f>SUMIFS(Table2[NewPointsAway],Table2[GameDate], "&lt;=" &amp; $A146, Table2[AwayTeam], V$1)+SUMIFS(Table2[NewPointsHome],Table2[GameDate], "&lt;=" &amp; $A146, Table2[HomeTeam], V$1)</f>
        <v>3</v>
      </c>
      <c r="W146" s="145">
        <f>SUMIFS(Table2[NewPointsAway],Table2[GameDate], "&lt;=" &amp; $A146, Table2[AwayTeam], W$1)+SUMIFS(Table2[NewPointsHome],Table2[GameDate], "&lt;=" &amp; $A146, Table2[HomeTeam], W$1)</f>
        <v>4</v>
      </c>
      <c r="X146" s="145">
        <f>SUMIFS(Table2[NewPointsAway],Table2[GameDate], "&lt;=" &amp; $A146, Table2[AwayTeam], X$1)+SUMIFS(Table2[NewPointsHome],Table2[GameDate], "&lt;=" &amp; $A146, Table2[HomeTeam], X$1)</f>
        <v>4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4</v>
      </c>
      <c r="AA146" s="145">
        <f>SUMIFS(Table2[NewPointsAway],Table2[GameDate], "&lt;=" &amp; $A146, Table2[AwayTeam], AA$1)+SUMIFS(Table2[NewPointsHome],Table2[GameDate], "&lt;=" &amp; $A146, Table2[HomeTeam], AA$1)</f>
        <v>2</v>
      </c>
      <c r="AB146" s="145">
        <f>SUMIFS(Table2[NewPointsAway],Table2[GameDate], "&lt;=" &amp; $A146, Table2[AwayTeam], AB$1)+SUMIFS(Table2[NewPointsHome],Table2[GameDate], "&lt;=" &amp; $A146, Table2[HomeTeam], AB$1)</f>
        <v>2</v>
      </c>
      <c r="AC146" s="145">
        <f>SUMIFS(Table2[NewPointsAway],Table2[GameDate], "&lt;=" &amp; $A146, Table2[AwayTeam], AC$1)+SUMIFS(Table2[NewPointsHome],Table2[GameDate], "&lt;=" &amp; $A146, Table2[HomeTeam], AC$1)</f>
        <v>2</v>
      </c>
      <c r="AD146" s="145">
        <f>SUMIFS(Table2[NewPointsAway],Table2[GameDate], "&lt;=" &amp; $A146, Table2[AwayTeam], AD$1)+SUMIFS(Table2[NewPointsHome],Table2[GameDate], "&lt;=" &amp; $A146, Table2[HomeTeam], AD$1)</f>
        <v>2</v>
      </c>
      <c r="AE146" s="145">
        <f>SUMIFS(Table2[NewPointsAway],Table2[GameDate], "&lt;=" &amp; $A146, Table2[AwayTeam], AE$1)+SUMIFS(Table2[NewPointsHome],Table2[GameDate], "&lt;=" &amp; $A146, Table2[HomeTeam], AE$1)</f>
        <v>4</v>
      </c>
      <c r="AF146" s="145">
        <f>SUMIFS(Table2[NewPointsAway],Table2[GameDate], "&lt;=" &amp; $A146, Table2[AwayTeam], AF$1)+SUMIFS(Table2[NewPointsHome],Table2[GameDate], "&lt;=" &amp; $A146, Table2[HomeTeam], AF$1)</f>
        <v>4</v>
      </c>
      <c r="AG146" s="145">
        <f>SUMIFS(Table2[NewPointsAway],Table2[GameDate], "&lt;=" &amp; $A146, Table2[AwayTeam], AG$1)+SUMIFS(Table2[NewPointsHome],Table2[GameDate], "&lt;=" &amp; $A146, Table2[HomeTeam], AG$1)</f>
        <v>4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2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0</v>
      </c>
      <c r="E147" s="145">
        <f>SUMIFS(Table2[NewPointsAway],Table2[GameDate], "&lt;=" &amp; $A147, Table2[AwayTeam], E$1)+SUMIFS(Table2[NewPointsHome],Table2[GameDate], "&lt;=" &amp; $A147, Table2[HomeTeam], E$1)</f>
        <v>4</v>
      </c>
      <c r="F147" s="145">
        <f>SUMIFS(Table2[NewPointsAway],Table2[GameDate], "&lt;=" &amp; $A147, Table2[AwayTeam], F$1)+SUMIFS(Table2[NewPointsHome],Table2[GameDate], "&lt;=" &amp; $A147, Table2[HomeTeam], F$1)</f>
        <v>2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3</v>
      </c>
      <c r="I147" s="145">
        <f>SUMIFS(Table2[NewPointsAway],Table2[GameDate], "&lt;=" &amp; $A147, Table2[AwayTeam], I$1)+SUMIFS(Table2[NewPointsHome],Table2[GameDate], "&lt;=" &amp; $A147, Table2[HomeTeam], I$1)</f>
        <v>7</v>
      </c>
      <c r="J147" s="145">
        <f>SUMIFS(Table2[NewPointsAway],Table2[GameDate], "&lt;=" &amp; $A147, Table2[AwayTeam], J$1)+SUMIFS(Table2[NewPointsHome],Table2[GameDate], "&lt;=" &amp; $A147, Table2[HomeTeam], J$1)</f>
        <v>4</v>
      </c>
      <c r="K147" s="145">
        <f>SUMIFS(Table2[NewPointsAway],Table2[GameDate], "&lt;=" &amp; $A147, Table2[AwayTeam], K$1)+SUMIFS(Table2[NewPointsHome],Table2[GameDate], "&lt;=" &amp; $A147, Table2[HomeTeam], K$1)</f>
        <v>4</v>
      </c>
      <c r="L147" s="145">
        <f>SUMIFS(Table2[NewPointsAway],Table2[GameDate], "&lt;=" &amp; $A147, Table2[AwayTeam], L$1)+SUMIFS(Table2[NewPointsHome],Table2[GameDate], "&lt;=" &amp; $A147, Table2[HomeTeam], L$1)</f>
        <v>3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3</v>
      </c>
      <c r="O147" s="145">
        <f>SUMIFS(Table2[NewPointsAway],Table2[GameDate], "&lt;=" &amp; $A147, Table2[AwayTeam], O$1)+SUMIFS(Table2[NewPointsHome],Table2[GameDate], "&lt;=" &amp; $A147, Table2[HomeTeam], O$1)</f>
        <v>4</v>
      </c>
      <c r="P147" s="145">
        <f>SUMIFS(Table2[NewPointsAway],Table2[GameDate], "&lt;=" &amp; $A147, Table2[AwayTeam], P$1)+SUMIFS(Table2[NewPointsHome],Table2[GameDate], "&lt;=" &amp; $A147, Table2[HomeTeam], P$1)</f>
        <v>4</v>
      </c>
      <c r="Q147" s="145">
        <f>SUMIFS(Table2[NewPointsAway],Table2[GameDate], "&lt;=" &amp; $A147, Table2[AwayTeam], Q$1)+SUMIFS(Table2[NewPointsHome],Table2[GameDate], "&lt;=" &amp; $A147, Table2[HomeTeam], Q$1)</f>
        <v>4</v>
      </c>
      <c r="R147" s="145">
        <f>SUMIFS(Table2[NewPointsAway],Table2[GameDate], "&lt;=" &amp; $A147, Table2[AwayTeam], R$1)+SUMIFS(Table2[NewPointsHome],Table2[GameDate], "&lt;=" &amp; $A147, Table2[HomeTeam], R$1)</f>
        <v>5</v>
      </c>
      <c r="S147" s="145">
        <f>SUMIFS(Table2[NewPointsAway],Table2[GameDate], "&lt;=" &amp; $A147, Table2[AwayTeam], S$1)+SUMIFS(Table2[NewPointsHome],Table2[GameDate], "&lt;=" &amp; $A147, Table2[HomeTeam], S$1)</f>
        <v>0</v>
      </c>
      <c r="T147" s="145">
        <f>SUMIFS(Table2[NewPointsAway],Table2[GameDate], "&lt;=" &amp; $A147, Table2[AwayTeam], T$1)+SUMIFS(Table2[NewPointsHome],Table2[GameDate], "&lt;=" &amp; $A147, Table2[HomeTeam], T$1)</f>
        <v>4</v>
      </c>
      <c r="U147" s="145">
        <f>SUMIFS(Table2[NewPointsAway],Table2[GameDate], "&lt;=" &amp; $A147, Table2[AwayTeam], U$1)+SUMIFS(Table2[NewPointsHome],Table2[GameDate], "&lt;=" &amp; $A147, Table2[HomeTeam], U$1)</f>
        <v>2</v>
      </c>
      <c r="V147" s="145">
        <f>SUMIFS(Table2[NewPointsAway],Table2[GameDate], "&lt;=" &amp; $A147, Table2[AwayTeam], V$1)+SUMIFS(Table2[NewPointsHome],Table2[GameDate], "&lt;=" &amp; $A147, Table2[HomeTeam], V$1)</f>
        <v>3</v>
      </c>
      <c r="W147" s="145">
        <f>SUMIFS(Table2[NewPointsAway],Table2[GameDate], "&lt;=" &amp; $A147, Table2[AwayTeam], W$1)+SUMIFS(Table2[NewPointsHome],Table2[GameDate], "&lt;=" &amp; $A147, Table2[HomeTeam], W$1)</f>
        <v>4</v>
      </c>
      <c r="X147" s="145">
        <f>SUMIFS(Table2[NewPointsAway],Table2[GameDate], "&lt;=" &amp; $A147, Table2[AwayTeam], X$1)+SUMIFS(Table2[NewPointsHome],Table2[GameDate], "&lt;=" &amp; $A147, Table2[HomeTeam], X$1)</f>
        <v>4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4</v>
      </c>
      <c r="AA147" s="145">
        <f>SUMIFS(Table2[NewPointsAway],Table2[GameDate], "&lt;=" &amp; $A147, Table2[AwayTeam], AA$1)+SUMIFS(Table2[NewPointsHome],Table2[GameDate], "&lt;=" &amp; $A147, Table2[HomeTeam], AA$1)</f>
        <v>2</v>
      </c>
      <c r="AB147" s="145">
        <f>SUMIFS(Table2[NewPointsAway],Table2[GameDate], "&lt;=" &amp; $A147, Table2[AwayTeam], AB$1)+SUMIFS(Table2[NewPointsHome],Table2[GameDate], "&lt;=" &amp; $A147, Table2[HomeTeam], AB$1)</f>
        <v>2</v>
      </c>
      <c r="AC147" s="145">
        <f>SUMIFS(Table2[NewPointsAway],Table2[GameDate], "&lt;=" &amp; $A147, Table2[AwayTeam], AC$1)+SUMIFS(Table2[NewPointsHome],Table2[GameDate], "&lt;=" &amp; $A147, Table2[HomeTeam], AC$1)</f>
        <v>2</v>
      </c>
      <c r="AD147" s="145">
        <f>SUMIFS(Table2[NewPointsAway],Table2[GameDate], "&lt;=" &amp; $A147, Table2[AwayTeam], AD$1)+SUMIFS(Table2[NewPointsHome],Table2[GameDate], "&lt;=" &amp; $A147, Table2[HomeTeam], AD$1)</f>
        <v>2</v>
      </c>
      <c r="AE147" s="145">
        <f>SUMIFS(Table2[NewPointsAway],Table2[GameDate], "&lt;=" &amp; $A147, Table2[AwayTeam], AE$1)+SUMIFS(Table2[NewPointsHome],Table2[GameDate], "&lt;=" &amp; $A147, Table2[HomeTeam], AE$1)</f>
        <v>4</v>
      </c>
      <c r="AF147" s="145">
        <f>SUMIFS(Table2[NewPointsAway],Table2[GameDate], "&lt;=" &amp; $A147, Table2[AwayTeam], AF$1)+SUMIFS(Table2[NewPointsHome],Table2[GameDate], "&lt;=" &amp; $A147, Table2[HomeTeam], AF$1)</f>
        <v>4</v>
      </c>
      <c r="AG147" s="145">
        <f>SUMIFS(Table2[NewPointsAway],Table2[GameDate], "&lt;=" &amp; $A147, Table2[AwayTeam], AG$1)+SUMIFS(Table2[NewPointsHome],Table2[GameDate], "&lt;=" &amp; $A147, Table2[HomeTeam], AG$1)</f>
        <v>4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2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0</v>
      </c>
      <c r="E148" s="145">
        <f>SUMIFS(Table2[NewPointsAway],Table2[GameDate], "&lt;=" &amp; $A148, Table2[AwayTeam], E$1)+SUMIFS(Table2[NewPointsHome],Table2[GameDate], "&lt;=" &amp; $A148, Table2[HomeTeam], E$1)</f>
        <v>4</v>
      </c>
      <c r="F148" s="145">
        <f>SUMIFS(Table2[NewPointsAway],Table2[GameDate], "&lt;=" &amp; $A148, Table2[AwayTeam], F$1)+SUMIFS(Table2[NewPointsHome],Table2[GameDate], "&lt;=" &amp; $A148, Table2[HomeTeam], F$1)</f>
        <v>2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3</v>
      </c>
      <c r="I148" s="145">
        <f>SUMIFS(Table2[NewPointsAway],Table2[GameDate], "&lt;=" &amp; $A148, Table2[AwayTeam], I$1)+SUMIFS(Table2[NewPointsHome],Table2[GameDate], "&lt;=" &amp; $A148, Table2[HomeTeam], I$1)</f>
        <v>7</v>
      </c>
      <c r="J148" s="145">
        <f>SUMIFS(Table2[NewPointsAway],Table2[GameDate], "&lt;=" &amp; $A148, Table2[AwayTeam], J$1)+SUMIFS(Table2[NewPointsHome],Table2[GameDate], "&lt;=" &amp; $A148, Table2[HomeTeam], J$1)</f>
        <v>4</v>
      </c>
      <c r="K148" s="145">
        <f>SUMIFS(Table2[NewPointsAway],Table2[GameDate], "&lt;=" &amp; $A148, Table2[AwayTeam], K$1)+SUMIFS(Table2[NewPointsHome],Table2[GameDate], "&lt;=" &amp; $A148, Table2[HomeTeam], K$1)</f>
        <v>4</v>
      </c>
      <c r="L148" s="145">
        <f>SUMIFS(Table2[NewPointsAway],Table2[GameDate], "&lt;=" &amp; $A148, Table2[AwayTeam], L$1)+SUMIFS(Table2[NewPointsHome],Table2[GameDate], "&lt;=" &amp; $A148, Table2[HomeTeam], L$1)</f>
        <v>3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3</v>
      </c>
      <c r="O148" s="145">
        <f>SUMIFS(Table2[NewPointsAway],Table2[GameDate], "&lt;=" &amp; $A148, Table2[AwayTeam], O$1)+SUMIFS(Table2[NewPointsHome],Table2[GameDate], "&lt;=" &amp; $A148, Table2[HomeTeam], O$1)</f>
        <v>4</v>
      </c>
      <c r="P148" s="145">
        <f>SUMIFS(Table2[NewPointsAway],Table2[GameDate], "&lt;=" &amp; $A148, Table2[AwayTeam], P$1)+SUMIFS(Table2[NewPointsHome],Table2[GameDate], "&lt;=" &amp; $A148, Table2[HomeTeam], P$1)</f>
        <v>4</v>
      </c>
      <c r="Q148" s="145">
        <f>SUMIFS(Table2[NewPointsAway],Table2[GameDate], "&lt;=" &amp; $A148, Table2[AwayTeam], Q$1)+SUMIFS(Table2[NewPointsHome],Table2[GameDate], "&lt;=" &amp; $A148, Table2[HomeTeam], Q$1)</f>
        <v>4</v>
      </c>
      <c r="R148" s="145">
        <f>SUMIFS(Table2[NewPointsAway],Table2[GameDate], "&lt;=" &amp; $A148, Table2[AwayTeam], R$1)+SUMIFS(Table2[NewPointsHome],Table2[GameDate], "&lt;=" &amp; $A148, Table2[HomeTeam], R$1)</f>
        <v>5</v>
      </c>
      <c r="S148" s="145">
        <f>SUMIFS(Table2[NewPointsAway],Table2[GameDate], "&lt;=" &amp; $A148, Table2[AwayTeam], S$1)+SUMIFS(Table2[NewPointsHome],Table2[GameDate], "&lt;=" &amp; $A148, Table2[HomeTeam], S$1)</f>
        <v>0</v>
      </c>
      <c r="T148" s="145">
        <f>SUMIFS(Table2[NewPointsAway],Table2[GameDate], "&lt;=" &amp; $A148, Table2[AwayTeam], T$1)+SUMIFS(Table2[NewPointsHome],Table2[GameDate], "&lt;=" &amp; $A148, Table2[HomeTeam], T$1)</f>
        <v>4</v>
      </c>
      <c r="U148" s="145">
        <f>SUMIFS(Table2[NewPointsAway],Table2[GameDate], "&lt;=" &amp; $A148, Table2[AwayTeam], U$1)+SUMIFS(Table2[NewPointsHome],Table2[GameDate], "&lt;=" &amp; $A148, Table2[HomeTeam], U$1)</f>
        <v>2</v>
      </c>
      <c r="V148" s="145">
        <f>SUMIFS(Table2[NewPointsAway],Table2[GameDate], "&lt;=" &amp; $A148, Table2[AwayTeam], V$1)+SUMIFS(Table2[NewPointsHome],Table2[GameDate], "&lt;=" &amp; $A148, Table2[HomeTeam], V$1)</f>
        <v>3</v>
      </c>
      <c r="W148" s="145">
        <f>SUMIFS(Table2[NewPointsAway],Table2[GameDate], "&lt;=" &amp; $A148, Table2[AwayTeam], W$1)+SUMIFS(Table2[NewPointsHome],Table2[GameDate], "&lt;=" &amp; $A148, Table2[HomeTeam], W$1)</f>
        <v>4</v>
      </c>
      <c r="X148" s="145">
        <f>SUMIFS(Table2[NewPointsAway],Table2[GameDate], "&lt;=" &amp; $A148, Table2[AwayTeam], X$1)+SUMIFS(Table2[NewPointsHome],Table2[GameDate], "&lt;=" &amp; $A148, Table2[HomeTeam], X$1)</f>
        <v>4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4</v>
      </c>
      <c r="AA148" s="145">
        <f>SUMIFS(Table2[NewPointsAway],Table2[GameDate], "&lt;=" &amp; $A148, Table2[AwayTeam], AA$1)+SUMIFS(Table2[NewPointsHome],Table2[GameDate], "&lt;=" &amp; $A148, Table2[HomeTeam], AA$1)</f>
        <v>2</v>
      </c>
      <c r="AB148" s="145">
        <f>SUMIFS(Table2[NewPointsAway],Table2[GameDate], "&lt;=" &amp; $A148, Table2[AwayTeam], AB$1)+SUMIFS(Table2[NewPointsHome],Table2[GameDate], "&lt;=" &amp; $A148, Table2[HomeTeam], AB$1)</f>
        <v>2</v>
      </c>
      <c r="AC148" s="145">
        <f>SUMIFS(Table2[NewPointsAway],Table2[GameDate], "&lt;=" &amp; $A148, Table2[AwayTeam], AC$1)+SUMIFS(Table2[NewPointsHome],Table2[GameDate], "&lt;=" &amp; $A148, Table2[HomeTeam], AC$1)</f>
        <v>2</v>
      </c>
      <c r="AD148" s="145">
        <f>SUMIFS(Table2[NewPointsAway],Table2[GameDate], "&lt;=" &amp; $A148, Table2[AwayTeam], AD$1)+SUMIFS(Table2[NewPointsHome],Table2[GameDate], "&lt;=" &amp; $A148, Table2[HomeTeam], AD$1)</f>
        <v>2</v>
      </c>
      <c r="AE148" s="145">
        <f>SUMIFS(Table2[NewPointsAway],Table2[GameDate], "&lt;=" &amp; $A148, Table2[AwayTeam], AE$1)+SUMIFS(Table2[NewPointsHome],Table2[GameDate], "&lt;=" &amp; $A148, Table2[HomeTeam], AE$1)</f>
        <v>4</v>
      </c>
      <c r="AF148" s="145">
        <f>SUMIFS(Table2[NewPointsAway],Table2[GameDate], "&lt;=" &amp; $A148, Table2[AwayTeam], AF$1)+SUMIFS(Table2[NewPointsHome],Table2[GameDate], "&lt;=" &amp; $A148, Table2[HomeTeam], AF$1)</f>
        <v>4</v>
      </c>
      <c r="AG148" s="145">
        <f>SUMIFS(Table2[NewPointsAway],Table2[GameDate], "&lt;=" &amp; $A148, Table2[AwayTeam], AG$1)+SUMIFS(Table2[NewPointsHome],Table2[GameDate], "&lt;=" &amp; $A148, Table2[HomeTeam], AG$1)</f>
        <v>4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2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0</v>
      </c>
      <c r="E149" s="145">
        <f>SUMIFS(Table2[NewPointsAway],Table2[GameDate], "&lt;=" &amp; $A149, Table2[AwayTeam], E$1)+SUMIFS(Table2[NewPointsHome],Table2[GameDate], "&lt;=" &amp; $A149, Table2[HomeTeam], E$1)</f>
        <v>4</v>
      </c>
      <c r="F149" s="145">
        <f>SUMIFS(Table2[NewPointsAway],Table2[GameDate], "&lt;=" &amp; $A149, Table2[AwayTeam], F$1)+SUMIFS(Table2[NewPointsHome],Table2[GameDate], "&lt;=" &amp; $A149, Table2[HomeTeam], F$1)</f>
        <v>2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3</v>
      </c>
      <c r="I149" s="145">
        <f>SUMIFS(Table2[NewPointsAway],Table2[GameDate], "&lt;=" &amp; $A149, Table2[AwayTeam], I$1)+SUMIFS(Table2[NewPointsHome],Table2[GameDate], "&lt;=" &amp; $A149, Table2[HomeTeam], I$1)</f>
        <v>7</v>
      </c>
      <c r="J149" s="145">
        <f>SUMIFS(Table2[NewPointsAway],Table2[GameDate], "&lt;=" &amp; $A149, Table2[AwayTeam], J$1)+SUMIFS(Table2[NewPointsHome],Table2[GameDate], "&lt;=" &amp; $A149, Table2[HomeTeam], J$1)</f>
        <v>4</v>
      </c>
      <c r="K149" s="145">
        <f>SUMIFS(Table2[NewPointsAway],Table2[GameDate], "&lt;=" &amp; $A149, Table2[AwayTeam], K$1)+SUMIFS(Table2[NewPointsHome],Table2[GameDate], "&lt;=" &amp; $A149, Table2[HomeTeam], K$1)</f>
        <v>4</v>
      </c>
      <c r="L149" s="145">
        <f>SUMIFS(Table2[NewPointsAway],Table2[GameDate], "&lt;=" &amp; $A149, Table2[AwayTeam], L$1)+SUMIFS(Table2[NewPointsHome],Table2[GameDate], "&lt;=" &amp; $A149, Table2[HomeTeam], L$1)</f>
        <v>3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3</v>
      </c>
      <c r="O149" s="145">
        <f>SUMIFS(Table2[NewPointsAway],Table2[GameDate], "&lt;=" &amp; $A149, Table2[AwayTeam], O$1)+SUMIFS(Table2[NewPointsHome],Table2[GameDate], "&lt;=" &amp; $A149, Table2[HomeTeam], O$1)</f>
        <v>4</v>
      </c>
      <c r="P149" s="145">
        <f>SUMIFS(Table2[NewPointsAway],Table2[GameDate], "&lt;=" &amp; $A149, Table2[AwayTeam], P$1)+SUMIFS(Table2[NewPointsHome],Table2[GameDate], "&lt;=" &amp; $A149, Table2[HomeTeam], P$1)</f>
        <v>4</v>
      </c>
      <c r="Q149" s="145">
        <f>SUMIFS(Table2[NewPointsAway],Table2[GameDate], "&lt;=" &amp; $A149, Table2[AwayTeam], Q$1)+SUMIFS(Table2[NewPointsHome],Table2[GameDate], "&lt;=" &amp; $A149, Table2[HomeTeam], Q$1)</f>
        <v>4</v>
      </c>
      <c r="R149" s="145">
        <f>SUMIFS(Table2[NewPointsAway],Table2[GameDate], "&lt;=" &amp; $A149, Table2[AwayTeam], R$1)+SUMIFS(Table2[NewPointsHome],Table2[GameDate], "&lt;=" &amp; $A149, Table2[HomeTeam], R$1)</f>
        <v>5</v>
      </c>
      <c r="S149" s="145">
        <f>SUMIFS(Table2[NewPointsAway],Table2[GameDate], "&lt;=" &amp; $A149, Table2[AwayTeam], S$1)+SUMIFS(Table2[NewPointsHome],Table2[GameDate], "&lt;=" &amp; $A149, Table2[HomeTeam], S$1)</f>
        <v>0</v>
      </c>
      <c r="T149" s="145">
        <f>SUMIFS(Table2[NewPointsAway],Table2[GameDate], "&lt;=" &amp; $A149, Table2[AwayTeam], T$1)+SUMIFS(Table2[NewPointsHome],Table2[GameDate], "&lt;=" &amp; $A149, Table2[HomeTeam], T$1)</f>
        <v>4</v>
      </c>
      <c r="U149" s="145">
        <f>SUMIFS(Table2[NewPointsAway],Table2[GameDate], "&lt;=" &amp; $A149, Table2[AwayTeam], U$1)+SUMIFS(Table2[NewPointsHome],Table2[GameDate], "&lt;=" &amp; $A149, Table2[HomeTeam], U$1)</f>
        <v>2</v>
      </c>
      <c r="V149" s="145">
        <f>SUMIFS(Table2[NewPointsAway],Table2[GameDate], "&lt;=" &amp; $A149, Table2[AwayTeam], V$1)+SUMIFS(Table2[NewPointsHome],Table2[GameDate], "&lt;=" &amp; $A149, Table2[HomeTeam], V$1)</f>
        <v>3</v>
      </c>
      <c r="W149" s="145">
        <f>SUMIFS(Table2[NewPointsAway],Table2[GameDate], "&lt;=" &amp; $A149, Table2[AwayTeam], W$1)+SUMIFS(Table2[NewPointsHome],Table2[GameDate], "&lt;=" &amp; $A149, Table2[HomeTeam], W$1)</f>
        <v>4</v>
      </c>
      <c r="X149" s="145">
        <f>SUMIFS(Table2[NewPointsAway],Table2[GameDate], "&lt;=" &amp; $A149, Table2[AwayTeam], X$1)+SUMIFS(Table2[NewPointsHome],Table2[GameDate], "&lt;=" &amp; $A149, Table2[HomeTeam], X$1)</f>
        <v>4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4</v>
      </c>
      <c r="AA149" s="145">
        <f>SUMIFS(Table2[NewPointsAway],Table2[GameDate], "&lt;=" &amp; $A149, Table2[AwayTeam], AA$1)+SUMIFS(Table2[NewPointsHome],Table2[GameDate], "&lt;=" &amp; $A149, Table2[HomeTeam], AA$1)</f>
        <v>2</v>
      </c>
      <c r="AB149" s="145">
        <f>SUMIFS(Table2[NewPointsAway],Table2[GameDate], "&lt;=" &amp; $A149, Table2[AwayTeam], AB$1)+SUMIFS(Table2[NewPointsHome],Table2[GameDate], "&lt;=" &amp; $A149, Table2[HomeTeam], AB$1)</f>
        <v>2</v>
      </c>
      <c r="AC149" s="145">
        <f>SUMIFS(Table2[NewPointsAway],Table2[GameDate], "&lt;=" &amp; $A149, Table2[AwayTeam], AC$1)+SUMIFS(Table2[NewPointsHome],Table2[GameDate], "&lt;=" &amp; $A149, Table2[HomeTeam], AC$1)</f>
        <v>2</v>
      </c>
      <c r="AD149" s="145">
        <f>SUMIFS(Table2[NewPointsAway],Table2[GameDate], "&lt;=" &amp; $A149, Table2[AwayTeam], AD$1)+SUMIFS(Table2[NewPointsHome],Table2[GameDate], "&lt;=" &amp; $A149, Table2[HomeTeam], AD$1)</f>
        <v>2</v>
      </c>
      <c r="AE149" s="145">
        <f>SUMIFS(Table2[NewPointsAway],Table2[GameDate], "&lt;=" &amp; $A149, Table2[AwayTeam], AE$1)+SUMIFS(Table2[NewPointsHome],Table2[GameDate], "&lt;=" &amp; $A149, Table2[HomeTeam], AE$1)</f>
        <v>4</v>
      </c>
      <c r="AF149" s="145">
        <f>SUMIFS(Table2[NewPointsAway],Table2[GameDate], "&lt;=" &amp; $A149, Table2[AwayTeam], AF$1)+SUMIFS(Table2[NewPointsHome],Table2[GameDate], "&lt;=" &amp; $A149, Table2[HomeTeam], AF$1)</f>
        <v>4</v>
      </c>
      <c r="AG149" s="145">
        <f>SUMIFS(Table2[NewPointsAway],Table2[GameDate], "&lt;=" &amp; $A149, Table2[AwayTeam], AG$1)+SUMIFS(Table2[NewPointsHome],Table2[GameDate], "&lt;=" &amp; $A149, Table2[HomeTeam], AG$1)</f>
        <v>4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2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0</v>
      </c>
      <c r="E150" s="145">
        <f>SUMIFS(Table2[NewPointsAway],Table2[GameDate], "&lt;=" &amp; $A150, Table2[AwayTeam], E$1)+SUMIFS(Table2[NewPointsHome],Table2[GameDate], "&lt;=" &amp; $A150, Table2[HomeTeam], E$1)</f>
        <v>4</v>
      </c>
      <c r="F150" s="145">
        <f>SUMIFS(Table2[NewPointsAway],Table2[GameDate], "&lt;=" &amp; $A150, Table2[AwayTeam], F$1)+SUMIFS(Table2[NewPointsHome],Table2[GameDate], "&lt;=" &amp; $A150, Table2[HomeTeam], F$1)</f>
        <v>2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3</v>
      </c>
      <c r="I150" s="145">
        <f>SUMIFS(Table2[NewPointsAway],Table2[GameDate], "&lt;=" &amp; $A150, Table2[AwayTeam], I$1)+SUMIFS(Table2[NewPointsHome],Table2[GameDate], "&lt;=" &amp; $A150, Table2[HomeTeam], I$1)</f>
        <v>7</v>
      </c>
      <c r="J150" s="145">
        <f>SUMIFS(Table2[NewPointsAway],Table2[GameDate], "&lt;=" &amp; $A150, Table2[AwayTeam], J$1)+SUMIFS(Table2[NewPointsHome],Table2[GameDate], "&lt;=" &amp; $A150, Table2[HomeTeam], J$1)</f>
        <v>4</v>
      </c>
      <c r="K150" s="145">
        <f>SUMIFS(Table2[NewPointsAway],Table2[GameDate], "&lt;=" &amp; $A150, Table2[AwayTeam], K$1)+SUMIFS(Table2[NewPointsHome],Table2[GameDate], "&lt;=" &amp; $A150, Table2[HomeTeam], K$1)</f>
        <v>4</v>
      </c>
      <c r="L150" s="145">
        <f>SUMIFS(Table2[NewPointsAway],Table2[GameDate], "&lt;=" &amp; $A150, Table2[AwayTeam], L$1)+SUMIFS(Table2[NewPointsHome],Table2[GameDate], "&lt;=" &amp; $A150, Table2[HomeTeam], L$1)</f>
        <v>3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3</v>
      </c>
      <c r="O150" s="145">
        <f>SUMIFS(Table2[NewPointsAway],Table2[GameDate], "&lt;=" &amp; $A150, Table2[AwayTeam], O$1)+SUMIFS(Table2[NewPointsHome],Table2[GameDate], "&lt;=" &amp; $A150, Table2[HomeTeam], O$1)</f>
        <v>4</v>
      </c>
      <c r="P150" s="145">
        <f>SUMIFS(Table2[NewPointsAway],Table2[GameDate], "&lt;=" &amp; $A150, Table2[AwayTeam], P$1)+SUMIFS(Table2[NewPointsHome],Table2[GameDate], "&lt;=" &amp; $A150, Table2[HomeTeam], P$1)</f>
        <v>4</v>
      </c>
      <c r="Q150" s="145">
        <f>SUMIFS(Table2[NewPointsAway],Table2[GameDate], "&lt;=" &amp; $A150, Table2[AwayTeam], Q$1)+SUMIFS(Table2[NewPointsHome],Table2[GameDate], "&lt;=" &amp; $A150, Table2[HomeTeam], Q$1)</f>
        <v>4</v>
      </c>
      <c r="R150" s="145">
        <f>SUMIFS(Table2[NewPointsAway],Table2[GameDate], "&lt;=" &amp; $A150, Table2[AwayTeam], R$1)+SUMIFS(Table2[NewPointsHome],Table2[GameDate], "&lt;=" &amp; $A150, Table2[HomeTeam], R$1)</f>
        <v>5</v>
      </c>
      <c r="S150" s="145">
        <f>SUMIFS(Table2[NewPointsAway],Table2[GameDate], "&lt;=" &amp; $A150, Table2[AwayTeam], S$1)+SUMIFS(Table2[NewPointsHome],Table2[GameDate], "&lt;=" &amp; $A150, Table2[HomeTeam], S$1)</f>
        <v>0</v>
      </c>
      <c r="T150" s="145">
        <f>SUMIFS(Table2[NewPointsAway],Table2[GameDate], "&lt;=" &amp; $A150, Table2[AwayTeam], T$1)+SUMIFS(Table2[NewPointsHome],Table2[GameDate], "&lt;=" &amp; $A150, Table2[HomeTeam], T$1)</f>
        <v>4</v>
      </c>
      <c r="U150" s="145">
        <f>SUMIFS(Table2[NewPointsAway],Table2[GameDate], "&lt;=" &amp; $A150, Table2[AwayTeam], U$1)+SUMIFS(Table2[NewPointsHome],Table2[GameDate], "&lt;=" &amp; $A150, Table2[HomeTeam], U$1)</f>
        <v>2</v>
      </c>
      <c r="V150" s="145">
        <f>SUMIFS(Table2[NewPointsAway],Table2[GameDate], "&lt;=" &amp; $A150, Table2[AwayTeam], V$1)+SUMIFS(Table2[NewPointsHome],Table2[GameDate], "&lt;=" &amp; $A150, Table2[HomeTeam], V$1)</f>
        <v>3</v>
      </c>
      <c r="W150" s="145">
        <f>SUMIFS(Table2[NewPointsAway],Table2[GameDate], "&lt;=" &amp; $A150, Table2[AwayTeam], W$1)+SUMIFS(Table2[NewPointsHome],Table2[GameDate], "&lt;=" &amp; $A150, Table2[HomeTeam], W$1)</f>
        <v>4</v>
      </c>
      <c r="X150" s="145">
        <f>SUMIFS(Table2[NewPointsAway],Table2[GameDate], "&lt;=" &amp; $A150, Table2[AwayTeam], X$1)+SUMIFS(Table2[NewPointsHome],Table2[GameDate], "&lt;=" &amp; $A150, Table2[HomeTeam], X$1)</f>
        <v>4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4</v>
      </c>
      <c r="AA150" s="145">
        <f>SUMIFS(Table2[NewPointsAway],Table2[GameDate], "&lt;=" &amp; $A150, Table2[AwayTeam], AA$1)+SUMIFS(Table2[NewPointsHome],Table2[GameDate], "&lt;=" &amp; $A150, Table2[HomeTeam], AA$1)</f>
        <v>2</v>
      </c>
      <c r="AB150" s="145">
        <f>SUMIFS(Table2[NewPointsAway],Table2[GameDate], "&lt;=" &amp; $A150, Table2[AwayTeam], AB$1)+SUMIFS(Table2[NewPointsHome],Table2[GameDate], "&lt;=" &amp; $A150, Table2[HomeTeam], AB$1)</f>
        <v>2</v>
      </c>
      <c r="AC150" s="145">
        <f>SUMIFS(Table2[NewPointsAway],Table2[GameDate], "&lt;=" &amp; $A150, Table2[AwayTeam], AC$1)+SUMIFS(Table2[NewPointsHome],Table2[GameDate], "&lt;=" &amp; $A150, Table2[HomeTeam], AC$1)</f>
        <v>2</v>
      </c>
      <c r="AD150" s="145">
        <f>SUMIFS(Table2[NewPointsAway],Table2[GameDate], "&lt;=" &amp; $A150, Table2[AwayTeam], AD$1)+SUMIFS(Table2[NewPointsHome],Table2[GameDate], "&lt;=" &amp; $A150, Table2[HomeTeam], AD$1)</f>
        <v>2</v>
      </c>
      <c r="AE150" s="145">
        <f>SUMIFS(Table2[NewPointsAway],Table2[GameDate], "&lt;=" &amp; $A150, Table2[AwayTeam], AE$1)+SUMIFS(Table2[NewPointsHome],Table2[GameDate], "&lt;=" &amp; $A150, Table2[HomeTeam], AE$1)</f>
        <v>4</v>
      </c>
      <c r="AF150" s="145">
        <f>SUMIFS(Table2[NewPointsAway],Table2[GameDate], "&lt;=" &amp; $A150, Table2[AwayTeam], AF$1)+SUMIFS(Table2[NewPointsHome],Table2[GameDate], "&lt;=" &amp; $A150, Table2[HomeTeam], AF$1)</f>
        <v>4</v>
      </c>
      <c r="AG150" s="145">
        <f>SUMIFS(Table2[NewPointsAway],Table2[GameDate], "&lt;=" &amp; $A150, Table2[AwayTeam], AG$1)+SUMIFS(Table2[NewPointsHome],Table2[GameDate], "&lt;=" &amp; $A150, Table2[HomeTeam], AG$1)</f>
        <v>4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2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0</v>
      </c>
      <c r="E151" s="145">
        <f>SUMIFS(Table2[NewPointsAway],Table2[GameDate], "&lt;=" &amp; $A151, Table2[AwayTeam], E$1)+SUMIFS(Table2[NewPointsHome],Table2[GameDate], "&lt;=" &amp; $A151, Table2[HomeTeam], E$1)</f>
        <v>4</v>
      </c>
      <c r="F151" s="145">
        <f>SUMIFS(Table2[NewPointsAway],Table2[GameDate], "&lt;=" &amp; $A151, Table2[AwayTeam], F$1)+SUMIFS(Table2[NewPointsHome],Table2[GameDate], "&lt;=" &amp; $A151, Table2[HomeTeam], F$1)</f>
        <v>2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3</v>
      </c>
      <c r="I151" s="145">
        <f>SUMIFS(Table2[NewPointsAway],Table2[GameDate], "&lt;=" &amp; $A151, Table2[AwayTeam], I$1)+SUMIFS(Table2[NewPointsHome],Table2[GameDate], "&lt;=" &amp; $A151, Table2[HomeTeam], I$1)</f>
        <v>7</v>
      </c>
      <c r="J151" s="145">
        <f>SUMIFS(Table2[NewPointsAway],Table2[GameDate], "&lt;=" &amp; $A151, Table2[AwayTeam], J$1)+SUMIFS(Table2[NewPointsHome],Table2[GameDate], "&lt;=" &amp; $A151, Table2[HomeTeam], J$1)</f>
        <v>4</v>
      </c>
      <c r="K151" s="145">
        <f>SUMIFS(Table2[NewPointsAway],Table2[GameDate], "&lt;=" &amp; $A151, Table2[AwayTeam], K$1)+SUMIFS(Table2[NewPointsHome],Table2[GameDate], "&lt;=" &amp; $A151, Table2[HomeTeam], K$1)</f>
        <v>4</v>
      </c>
      <c r="L151" s="145">
        <f>SUMIFS(Table2[NewPointsAway],Table2[GameDate], "&lt;=" &amp; $A151, Table2[AwayTeam], L$1)+SUMIFS(Table2[NewPointsHome],Table2[GameDate], "&lt;=" &amp; $A151, Table2[HomeTeam], L$1)</f>
        <v>3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3</v>
      </c>
      <c r="O151" s="145">
        <f>SUMIFS(Table2[NewPointsAway],Table2[GameDate], "&lt;=" &amp; $A151, Table2[AwayTeam], O$1)+SUMIFS(Table2[NewPointsHome],Table2[GameDate], "&lt;=" &amp; $A151, Table2[HomeTeam], O$1)</f>
        <v>4</v>
      </c>
      <c r="P151" s="145">
        <f>SUMIFS(Table2[NewPointsAway],Table2[GameDate], "&lt;=" &amp; $A151, Table2[AwayTeam], P$1)+SUMIFS(Table2[NewPointsHome],Table2[GameDate], "&lt;=" &amp; $A151, Table2[HomeTeam], P$1)</f>
        <v>4</v>
      </c>
      <c r="Q151" s="145">
        <f>SUMIFS(Table2[NewPointsAway],Table2[GameDate], "&lt;=" &amp; $A151, Table2[AwayTeam], Q$1)+SUMIFS(Table2[NewPointsHome],Table2[GameDate], "&lt;=" &amp; $A151, Table2[HomeTeam], Q$1)</f>
        <v>4</v>
      </c>
      <c r="R151" s="145">
        <f>SUMIFS(Table2[NewPointsAway],Table2[GameDate], "&lt;=" &amp; $A151, Table2[AwayTeam], R$1)+SUMIFS(Table2[NewPointsHome],Table2[GameDate], "&lt;=" &amp; $A151, Table2[HomeTeam], R$1)</f>
        <v>5</v>
      </c>
      <c r="S151" s="145">
        <f>SUMIFS(Table2[NewPointsAway],Table2[GameDate], "&lt;=" &amp; $A151, Table2[AwayTeam], S$1)+SUMIFS(Table2[NewPointsHome],Table2[GameDate], "&lt;=" &amp; $A151, Table2[HomeTeam], S$1)</f>
        <v>0</v>
      </c>
      <c r="T151" s="145">
        <f>SUMIFS(Table2[NewPointsAway],Table2[GameDate], "&lt;=" &amp; $A151, Table2[AwayTeam], T$1)+SUMIFS(Table2[NewPointsHome],Table2[GameDate], "&lt;=" &amp; $A151, Table2[HomeTeam], T$1)</f>
        <v>4</v>
      </c>
      <c r="U151" s="145">
        <f>SUMIFS(Table2[NewPointsAway],Table2[GameDate], "&lt;=" &amp; $A151, Table2[AwayTeam], U$1)+SUMIFS(Table2[NewPointsHome],Table2[GameDate], "&lt;=" &amp; $A151, Table2[HomeTeam], U$1)</f>
        <v>2</v>
      </c>
      <c r="V151" s="145">
        <f>SUMIFS(Table2[NewPointsAway],Table2[GameDate], "&lt;=" &amp; $A151, Table2[AwayTeam], V$1)+SUMIFS(Table2[NewPointsHome],Table2[GameDate], "&lt;=" &amp; $A151, Table2[HomeTeam], V$1)</f>
        <v>3</v>
      </c>
      <c r="W151" s="145">
        <f>SUMIFS(Table2[NewPointsAway],Table2[GameDate], "&lt;=" &amp; $A151, Table2[AwayTeam], W$1)+SUMIFS(Table2[NewPointsHome],Table2[GameDate], "&lt;=" &amp; $A151, Table2[HomeTeam], W$1)</f>
        <v>4</v>
      </c>
      <c r="X151" s="145">
        <f>SUMIFS(Table2[NewPointsAway],Table2[GameDate], "&lt;=" &amp; $A151, Table2[AwayTeam], X$1)+SUMIFS(Table2[NewPointsHome],Table2[GameDate], "&lt;=" &amp; $A151, Table2[HomeTeam], X$1)</f>
        <v>4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4</v>
      </c>
      <c r="AA151" s="145">
        <f>SUMIFS(Table2[NewPointsAway],Table2[GameDate], "&lt;=" &amp; $A151, Table2[AwayTeam], AA$1)+SUMIFS(Table2[NewPointsHome],Table2[GameDate], "&lt;=" &amp; $A151, Table2[HomeTeam], AA$1)</f>
        <v>2</v>
      </c>
      <c r="AB151" s="145">
        <f>SUMIFS(Table2[NewPointsAway],Table2[GameDate], "&lt;=" &amp; $A151, Table2[AwayTeam], AB$1)+SUMIFS(Table2[NewPointsHome],Table2[GameDate], "&lt;=" &amp; $A151, Table2[HomeTeam], AB$1)</f>
        <v>2</v>
      </c>
      <c r="AC151" s="145">
        <f>SUMIFS(Table2[NewPointsAway],Table2[GameDate], "&lt;=" &amp; $A151, Table2[AwayTeam], AC$1)+SUMIFS(Table2[NewPointsHome],Table2[GameDate], "&lt;=" &amp; $A151, Table2[HomeTeam], AC$1)</f>
        <v>2</v>
      </c>
      <c r="AD151" s="145">
        <f>SUMIFS(Table2[NewPointsAway],Table2[GameDate], "&lt;=" &amp; $A151, Table2[AwayTeam], AD$1)+SUMIFS(Table2[NewPointsHome],Table2[GameDate], "&lt;=" &amp; $A151, Table2[HomeTeam], AD$1)</f>
        <v>2</v>
      </c>
      <c r="AE151" s="145">
        <f>SUMIFS(Table2[NewPointsAway],Table2[GameDate], "&lt;=" &amp; $A151, Table2[AwayTeam], AE$1)+SUMIFS(Table2[NewPointsHome],Table2[GameDate], "&lt;=" &amp; $A151, Table2[HomeTeam], AE$1)</f>
        <v>4</v>
      </c>
      <c r="AF151" s="145">
        <f>SUMIFS(Table2[NewPointsAway],Table2[GameDate], "&lt;=" &amp; $A151, Table2[AwayTeam], AF$1)+SUMIFS(Table2[NewPointsHome],Table2[GameDate], "&lt;=" &amp; $A151, Table2[HomeTeam], AF$1)</f>
        <v>4</v>
      </c>
      <c r="AG151" s="145">
        <f>SUMIFS(Table2[NewPointsAway],Table2[GameDate], "&lt;=" &amp; $A151, Table2[AwayTeam], AG$1)+SUMIFS(Table2[NewPointsHome],Table2[GameDate], "&lt;=" &amp; $A151, Table2[HomeTeam], AG$1)</f>
        <v>4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2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0</v>
      </c>
      <c r="E152" s="145">
        <f>SUMIFS(Table2[NewPointsAway],Table2[GameDate], "&lt;=" &amp; $A152, Table2[AwayTeam], E$1)+SUMIFS(Table2[NewPointsHome],Table2[GameDate], "&lt;=" &amp; $A152, Table2[HomeTeam], E$1)</f>
        <v>4</v>
      </c>
      <c r="F152" s="145">
        <f>SUMIFS(Table2[NewPointsAway],Table2[GameDate], "&lt;=" &amp; $A152, Table2[AwayTeam], F$1)+SUMIFS(Table2[NewPointsHome],Table2[GameDate], "&lt;=" &amp; $A152, Table2[HomeTeam], F$1)</f>
        <v>2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3</v>
      </c>
      <c r="I152" s="145">
        <f>SUMIFS(Table2[NewPointsAway],Table2[GameDate], "&lt;=" &amp; $A152, Table2[AwayTeam], I$1)+SUMIFS(Table2[NewPointsHome],Table2[GameDate], "&lt;=" &amp; $A152, Table2[HomeTeam], I$1)</f>
        <v>7</v>
      </c>
      <c r="J152" s="145">
        <f>SUMIFS(Table2[NewPointsAway],Table2[GameDate], "&lt;=" &amp; $A152, Table2[AwayTeam], J$1)+SUMIFS(Table2[NewPointsHome],Table2[GameDate], "&lt;=" &amp; $A152, Table2[HomeTeam], J$1)</f>
        <v>4</v>
      </c>
      <c r="K152" s="145">
        <f>SUMIFS(Table2[NewPointsAway],Table2[GameDate], "&lt;=" &amp; $A152, Table2[AwayTeam], K$1)+SUMIFS(Table2[NewPointsHome],Table2[GameDate], "&lt;=" &amp; $A152, Table2[HomeTeam], K$1)</f>
        <v>4</v>
      </c>
      <c r="L152" s="145">
        <f>SUMIFS(Table2[NewPointsAway],Table2[GameDate], "&lt;=" &amp; $A152, Table2[AwayTeam], L$1)+SUMIFS(Table2[NewPointsHome],Table2[GameDate], "&lt;=" &amp; $A152, Table2[HomeTeam], L$1)</f>
        <v>3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3</v>
      </c>
      <c r="O152" s="145">
        <f>SUMIFS(Table2[NewPointsAway],Table2[GameDate], "&lt;=" &amp; $A152, Table2[AwayTeam], O$1)+SUMIFS(Table2[NewPointsHome],Table2[GameDate], "&lt;=" &amp; $A152, Table2[HomeTeam], O$1)</f>
        <v>4</v>
      </c>
      <c r="P152" s="145">
        <f>SUMIFS(Table2[NewPointsAway],Table2[GameDate], "&lt;=" &amp; $A152, Table2[AwayTeam], P$1)+SUMIFS(Table2[NewPointsHome],Table2[GameDate], "&lt;=" &amp; $A152, Table2[HomeTeam], P$1)</f>
        <v>4</v>
      </c>
      <c r="Q152" s="145">
        <f>SUMIFS(Table2[NewPointsAway],Table2[GameDate], "&lt;=" &amp; $A152, Table2[AwayTeam], Q$1)+SUMIFS(Table2[NewPointsHome],Table2[GameDate], "&lt;=" &amp; $A152, Table2[HomeTeam], Q$1)</f>
        <v>4</v>
      </c>
      <c r="R152" s="145">
        <f>SUMIFS(Table2[NewPointsAway],Table2[GameDate], "&lt;=" &amp; $A152, Table2[AwayTeam], R$1)+SUMIFS(Table2[NewPointsHome],Table2[GameDate], "&lt;=" &amp; $A152, Table2[HomeTeam], R$1)</f>
        <v>5</v>
      </c>
      <c r="S152" s="145">
        <f>SUMIFS(Table2[NewPointsAway],Table2[GameDate], "&lt;=" &amp; $A152, Table2[AwayTeam], S$1)+SUMIFS(Table2[NewPointsHome],Table2[GameDate], "&lt;=" &amp; $A152, Table2[HomeTeam], S$1)</f>
        <v>0</v>
      </c>
      <c r="T152" s="145">
        <f>SUMIFS(Table2[NewPointsAway],Table2[GameDate], "&lt;=" &amp; $A152, Table2[AwayTeam], T$1)+SUMIFS(Table2[NewPointsHome],Table2[GameDate], "&lt;=" &amp; $A152, Table2[HomeTeam], T$1)</f>
        <v>4</v>
      </c>
      <c r="U152" s="145">
        <f>SUMIFS(Table2[NewPointsAway],Table2[GameDate], "&lt;=" &amp; $A152, Table2[AwayTeam], U$1)+SUMIFS(Table2[NewPointsHome],Table2[GameDate], "&lt;=" &amp; $A152, Table2[HomeTeam], U$1)</f>
        <v>2</v>
      </c>
      <c r="V152" s="145">
        <f>SUMIFS(Table2[NewPointsAway],Table2[GameDate], "&lt;=" &amp; $A152, Table2[AwayTeam], V$1)+SUMIFS(Table2[NewPointsHome],Table2[GameDate], "&lt;=" &amp; $A152, Table2[HomeTeam], V$1)</f>
        <v>3</v>
      </c>
      <c r="W152" s="145">
        <f>SUMIFS(Table2[NewPointsAway],Table2[GameDate], "&lt;=" &amp; $A152, Table2[AwayTeam], W$1)+SUMIFS(Table2[NewPointsHome],Table2[GameDate], "&lt;=" &amp; $A152, Table2[HomeTeam], W$1)</f>
        <v>4</v>
      </c>
      <c r="X152" s="145">
        <f>SUMIFS(Table2[NewPointsAway],Table2[GameDate], "&lt;=" &amp; $A152, Table2[AwayTeam], X$1)+SUMIFS(Table2[NewPointsHome],Table2[GameDate], "&lt;=" &amp; $A152, Table2[HomeTeam], X$1)</f>
        <v>4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4</v>
      </c>
      <c r="AA152" s="145">
        <f>SUMIFS(Table2[NewPointsAway],Table2[GameDate], "&lt;=" &amp; $A152, Table2[AwayTeam], AA$1)+SUMIFS(Table2[NewPointsHome],Table2[GameDate], "&lt;=" &amp; $A152, Table2[HomeTeam], AA$1)</f>
        <v>2</v>
      </c>
      <c r="AB152" s="145">
        <f>SUMIFS(Table2[NewPointsAway],Table2[GameDate], "&lt;=" &amp; $A152, Table2[AwayTeam], AB$1)+SUMIFS(Table2[NewPointsHome],Table2[GameDate], "&lt;=" &amp; $A152, Table2[HomeTeam], AB$1)</f>
        <v>2</v>
      </c>
      <c r="AC152" s="145">
        <f>SUMIFS(Table2[NewPointsAway],Table2[GameDate], "&lt;=" &amp; $A152, Table2[AwayTeam], AC$1)+SUMIFS(Table2[NewPointsHome],Table2[GameDate], "&lt;=" &amp; $A152, Table2[HomeTeam], AC$1)</f>
        <v>2</v>
      </c>
      <c r="AD152" s="145">
        <f>SUMIFS(Table2[NewPointsAway],Table2[GameDate], "&lt;=" &amp; $A152, Table2[AwayTeam], AD$1)+SUMIFS(Table2[NewPointsHome],Table2[GameDate], "&lt;=" &amp; $A152, Table2[HomeTeam], AD$1)</f>
        <v>2</v>
      </c>
      <c r="AE152" s="145">
        <f>SUMIFS(Table2[NewPointsAway],Table2[GameDate], "&lt;=" &amp; $A152, Table2[AwayTeam], AE$1)+SUMIFS(Table2[NewPointsHome],Table2[GameDate], "&lt;=" &amp; $A152, Table2[HomeTeam], AE$1)</f>
        <v>4</v>
      </c>
      <c r="AF152" s="145">
        <f>SUMIFS(Table2[NewPointsAway],Table2[GameDate], "&lt;=" &amp; $A152, Table2[AwayTeam], AF$1)+SUMIFS(Table2[NewPointsHome],Table2[GameDate], "&lt;=" &amp; $A152, Table2[HomeTeam], AF$1)</f>
        <v>4</v>
      </c>
      <c r="AG152" s="145">
        <f>SUMIFS(Table2[NewPointsAway],Table2[GameDate], "&lt;=" &amp; $A152, Table2[AwayTeam], AG$1)+SUMIFS(Table2[NewPointsHome],Table2[GameDate], "&lt;=" &amp; $A152, Table2[HomeTeam], AG$1)</f>
        <v>4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2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0</v>
      </c>
      <c r="E153" s="145">
        <f>SUMIFS(Table2[NewPointsAway],Table2[GameDate], "&lt;=" &amp; $A153, Table2[AwayTeam], E$1)+SUMIFS(Table2[NewPointsHome],Table2[GameDate], "&lt;=" &amp; $A153, Table2[HomeTeam], E$1)</f>
        <v>4</v>
      </c>
      <c r="F153" s="145">
        <f>SUMIFS(Table2[NewPointsAway],Table2[GameDate], "&lt;=" &amp; $A153, Table2[AwayTeam], F$1)+SUMIFS(Table2[NewPointsHome],Table2[GameDate], "&lt;=" &amp; $A153, Table2[HomeTeam], F$1)</f>
        <v>2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3</v>
      </c>
      <c r="I153" s="145">
        <f>SUMIFS(Table2[NewPointsAway],Table2[GameDate], "&lt;=" &amp; $A153, Table2[AwayTeam], I$1)+SUMIFS(Table2[NewPointsHome],Table2[GameDate], "&lt;=" &amp; $A153, Table2[HomeTeam], I$1)</f>
        <v>7</v>
      </c>
      <c r="J153" s="145">
        <f>SUMIFS(Table2[NewPointsAway],Table2[GameDate], "&lt;=" &amp; $A153, Table2[AwayTeam], J$1)+SUMIFS(Table2[NewPointsHome],Table2[GameDate], "&lt;=" &amp; $A153, Table2[HomeTeam], J$1)</f>
        <v>4</v>
      </c>
      <c r="K153" s="145">
        <f>SUMIFS(Table2[NewPointsAway],Table2[GameDate], "&lt;=" &amp; $A153, Table2[AwayTeam], K$1)+SUMIFS(Table2[NewPointsHome],Table2[GameDate], "&lt;=" &amp; $A153, Table2[HomeTeam], K$1)</f>
        <v>4</v>
      </c>
      <c r="L153" s="145">
        <f>SUMIFS(Table2[NewPointsAway],Table2[GameDate], "&lt;=" &amp; $A153, Table2[AwayTeam], L$1)+SUMIFS(Table2[NewPointsHome],Table2[GameDate], "&lt;=" &amp; $A153, Table2[HomeTeam], L$1)</f>
        <v>3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3</v>
      </c>
      <c r="O153" s="145">
        <f>SUMIFS(Table2[NewPointsAway],Table2[GameDate], "&lt;=" &amp; $A153, Table2[AwayTeam], O$1)+SUMIFS(Table2[NewPointsHome],Table2[GameDate], "&lt;=" &amp; $A153, Table2[HomeTeam], O$1)</f>
        <v>4</v>
      </c>
      <c r="P153" s="145">
        <f>SUMIFS(Table2[NewPointsAway],Table2[GameDate], "&lt;=" &amp; $A153, Table2[AwayTeam], P$1)+SUMIFS(Table2[NewPointsHome],Table2[GameDate], "&lt;=" &amp; $A153, Table2[HomeTeam], P$1)</f>
        <v>4</v>
      </c>
      <c r="Q153" s="145">
        <f>SUMIFS(Table2[NewPointsAway],Table2[GameDate], "&lt;=" &amp; $A153, Table2[AwayTeam], Q$1)+SUMIFS(Table2[NewPointsHome],Table2[GameDate], "&lt;=" &amp; $A153, Table2[HomeTeam], Q$1)</f>
        <v>4</v>
      </c>
      <c r="R153" s="145">
        <f>SUMIFS(Table2[NewPointsAway],Table2[GameDate], "&lt;=" &amp; $A153, Table2[AwayTeam], R$1)+SUMIFS(Table2[NewPointsHome],Table2[GameDate], "&lt;=" &amp; $A153, Table2[HomeTeam], R$1)</f>
        <v>5</v>
      </c>
      <c r="S153" s="145">
        <f>SUMIFS(Table2[NewPointsAway],Table2[GameDate], "&lt;=" &amp; $A153, Table2[AwayTeam], S$1)+SUMIFS(Table2[NewPointsHome],Table2[GameDate], "&lt;=" &amp; $A153, Table2[HomeTeam], S$1)</f>
        <v>0</v>
      </c>
      <c r="T153" s="145">
        <f>SUMIFS(Table2[NewPointsAway],Table2[GameDate], "&lt;=" &amp; $A153, Table2[AwayTeam], T$1)+SUMIFS(Table2[NewPointsHome],Table2[GameDate], "&lt;=" &amp; $A153, Table2[HomeTeam], T$1)</f>
        <v>4</v>
      </c>
      <c r="U153" s="145">
        <f>SUMIFS(Table2[NewPointsAway],Table2[GameDate], "&lt;=" &amp; $A153, Table2[AwayTeam], U$1)+SUMIFS(Table2[NewPointsHome],Table2[GameDate], "&lt;=" &amp; $A153, Table2[HomeTeam], U$1)</f>
        <v>2</v>
      </c>
      <c r="V153" s="145">
        <f>SUMIFS(Table2[NewPointsAway],Table2[GameDate], "&lt;=" &amp; $A153, Table2[AwayTeam], V$1)+SUMIFS(Table2[NewPointsHome],Table2[GameDate], "&lt;=" &amp; $A153, Table2[HomeTeam], V$1)</f>
        <v>3</v>
      </c>
      <c r="W153" s="145">
        <f>SUMIFS(Table2[NewPointsAway],Table2[GameDate], "&lt;=" &amp; $A153, Table2[AwayTeam], W$1)+SUMIFS(Table2[NewPointsHome],Table2[GameDate], "&lt;=" &amp; $A153, Table2[HomeTeam], W$1)</f>
        <v>4</v>
      </c>
      <c r="X153" s="145">
        <f>SUMIFS(Table2[NewPointsAway],Table2[GameDate], "&lt;=" &amp; $A153, Table2[AwayTeam], X$1)+SUMIFS(Table2[NewPointsHome],Table2[GameDate], "&lt;=" &amp; $A153, Table2[HomeTeam], X$1)</f>
        <v>4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4</v>
      </c>
      <c r="AA153" s="145">
        <f>SUMIFS(Table2[NewPointsAway],Table2[GameDate], "&lt;=" &amp; $A153, Table2[AwayTeam], AA$1)+SUMIFS(Table2[NewPointsHome],Table2[GameDate], "&lt;=" &amp; $A153, Table2[HomeTeam], AA$1)</f>
        <v>2</v>
      </c>
      <c r="AB153" s="145">
        <f>SUMIFS(Table2[NewPointsAway],Table2[GameDate], "&lt;=" &amp; $A153, Table2[AwayTeam], AB$1)+SUMIFS(Table2[NewPointsHome],Table2[GameDate], "&lt;=" &amp; $A153, Table2[HomeTeam], AB$1)</f>
        <v>2</v>
      </c>
      <c r="AC153" s="145">
        <f>SUMIFS(Table2[NewPointsAway],Table2[GameDate], "&lt;=" &amp; $A153, Table2[AwayTeam], AC$1)+SUMIFS(Table2[NewPointsHome],Table2[GameDate], "&lt;=" &amp; $A153, Table2[HomeTeam], AC$1)</f>
        <v>2</v>
      </c>
      <c r="AD153" s="145">
        <f>SUMIFS(Table2[NewPointsAway],Table2[GameDate], "&lt;=" &amp; $A153, Table2[AwayTeam], AD$1)+SUMIFS(Table2[NewPointsHome],Table2[GameDate], "&lt;=" &amp; $A153, Table2[HomeTeam], AD$1)</f>
        <v>2</v>
      </c>
      <c r="AE153" s="145">
        <f>SUMIFS(Table2[NewPointsAway],Table2[GameDate], "&lt;=" &amp; $A153, Table2[AwayTeam], AE$1)+SUMIFS(Table2[NewPointsHome],Table2[GameDate], "&lt;=" &amp; $A153, Table2[HomeTeam], AE$1)</f>
        <v>4</v>
      </c>
      <c r="AF153" s="145">
        <f>SUMIFS(Table2[NewPointsAway],Table2[GameDate], "&lt;=" &amp; $A153, Table2[AwayTeam], AF$1)+SUMIFS(Table2[NewPointsHome],Table2[GameDate], "&lt;=" &amp; $A153, Table2[HomeTeam], AF$1)</f>
        <v>4</v>
      </c>
      <c r="AG153" s="145">
        <f>SUMIFS(Table2[NewPointsAway],Table2[GameDate], "&lt;=" &amp; $A153, Table2[AwayTeam], AG$1)+SUMIFS(Table2[NewPointsHome],Table2[GameDate], "&lt;=" &amp; $A153, Table2[HomeTeam], AG$1)</f>
        <v>4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2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0</v>
      </c>
      <c r="E154" s="145">
        <f>SUMIFS(Table2[NewPointsAway],Table2[GameDate], "&lt;=" &amp; $A154, Table2[AwayTeam], E$1)+SUMIFS(Table2[NewPointsHome],Table2[GameDate], "&lt;=" &amp; $A154, Table2[HomeTeam], E$1)</f>
        <v>4</v>
      </c>
      <c r="F154" s="145">
        <f>SUMIFS(Table2[NewPointsAway],Table2[GameDate], "&lt;=" &amp; $A154, Table2[AwayTeam], F$1)+SUMIFS(Table2[NewPointsHome],Table2[GameDate], "&lt;=" &amp; $A154, Table2[HomeTeam], F$1)</f>
        <v>2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3</v>
      </c>
      <c r="I154" s="145">
        <f>SUMIFS(Table2[NewPointsAway],Table2[GameDate], "&lt;=" &amp; $A154, Table2[AwayTeam], I$1)+SUMIFS(Table2[NewPointsHome],Table2[GameDate], "&lt;=" &amp; $A154, Table2[HomeTeam], I$1)</f>
        <v>7</v>
      </c>
      <c r="J154" s="145">
        <f>SUMIFS(Table2[NewPointsAway],Table2[GameDate], "&lt;=" &amp; $A154, Table2[AwayTeam], J$1)+SUMIFS(Table2[NewPointsHome],Table2[GameDate], "&lt;=" &amp; $A154, Table2[HomeTeam], J$1)</f>
        <v>4</v>
      </c>
      <c r="K154" s="145">
        <f>SUMIFS(Table2[NewPointsAway],Table2[GameDate], "&lt;=" &amp; $A154, Table2[AwayTeam], K$1)+SUMIFS(Table2[NewPointsHome],Table2[GameDate], "&lt;=" &amp; $A154, Table2[HomeTeam], K$1)</f>
        <v>4</v>
      </c>
      <c r="L154" s="145">
        <f>SUMIFS(Table2[NewPointsAway],Table2[GameDate], "&lt;=" &amp; $A154, Table2[AwayTeam], L$1)+SUMIFS(Table2[NewPointsHome],Table2[GameDate], "&lt;=" &amp; $A154, Table2[HomeTeam], L$1)</f>
        <v>3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3</v>
      </c>
      <c r="O154" s="145">
        <f>SUMIFS(Table2[NewPointsAway],Table2[GameDate], "&lt;=" &amp; $A154, Table2[AwayTeam], O$1)+SUMIFS(Table2[NewPointsHome],Table2[GameDate], "&lt;=" &amp; $A154, Table2[HomeTeam], O$1)</f>
        <v>4</v>
      </c>
      <c r="P154" s="145">
        <f>SUMIFS(Table2[NewPointsAway],Table2[GameDate], "&lt;=" &amp; $A154, Table2[AwayTeam], P$1)+SUMIFS(Table2[NewPointsHome],Table2[GameDate], "&lt;=" &amp; $A154, Table2[HomeTeam], P$1)</f>
        <v>4</v>
      </c>
      <c r="Q154" s="145">
        <f>SUMIFS(Table2[NewPointsAway],Table2[GameDate], "&lt;=" &amp; $A154, Table2[AwayTeam], Q$1)+SUMIFS(Table2[NewPointsHome],Table2[GameDate], "&lt;=" &amp; $A154, Table2[HomeTeam], Q$1)</f>
        <v>4</v>
      </c>
      <c r="R154" s="145">
        <f>SUMIFS(Table2[NewPointsAway],Table2[GameDate], "&lt;=" &amp; $A154, Table2[AwayTeam], R$1)+SUMIFS(Table2[NewPointsHome],Table2[GameDate], "&lt;=" &amp; $A154, Table2[HomeTeam], R$1)</f>
        <v>5</v>
      </c>
      <c r="S154" s="145">
        <f>SUMIFS(Table2[NewPointsAway],Table2[GameDate], "&lt;=" &amp; $A154, Table2[AwayTeam], S$1)+SUMIFS(Table2[NewPointsHome],Table2[GameDate], "&lt;=" &amp; $A154, Table2[HomeTeam], S$1)</f>
        <v>0</v>
      </c>
      <c r="T154" s="145">
        <f>SUMIFS(Table2[NewPointsAway],Table2[GameDate], "&lt;=" &amp; $A154, Table2[AwayTeam], T$1)+SUMIFS(Table2[NewPointsHome],Table2[GameDate], "&lt;=" &amp; $A154, Table2[HomeTeam], T$1)</f>
        <v>4</v>
      </c>
      <c r="U154" s="145">
        <f>SUMIFS(Table2[NewPointsAway],Table2[GameDate], "&lt;=" &amp; $A154, Table2[AwayTeam], U$1)+SUMIFS(Table2[NewPointsHome],Table2[GameDate], "&lt;=" &amp; $A154, Table2[HomeTeam], U$1)</f>
        <v>2</v>
      </c>
      <c r="V154" s="145">
        <f>SUMIFS(Table2[NewPointsAway],Table2[GameDate], "&lt;=" &amp; $A154, Table2[AwayTeam], V$1)+SUMIFS(Table2[NewPointsHome],Table2[GameDate], "&lt;=" &amp; $A154, Table2[HomeTeam], V$1)</f>
        <v>3</v>
      </c>
      <c r="W154" s="145">
        <f>SUMIFS(Table2[NewPointsAway],Table2[GameDate], "&lt;=" &amp; $A154, Table2[AwayTeam], W$1)+SUMIFS(Table2[NewPointsHome],Table2[GameDate], "&lt;=" &amp; $A154, Table2[HomeTeam], W$1)</f>
        <v>4</v>
      </c>
      <c r="X154" s="145">
        <f>SUMIFS(Table2[NewPointsAway],Table2[GameDate], "&lt;=" &amp; $A154, Table2[AwayTeam], X$1)+SUMIFS(Table2[NewPointsHome],Table2[GameDate], "&lt;=" &amp; $A154, Table2[HomeTeam], X$1)</f>
        <v>4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4</v>
      </c>
      <c r="AA154" s="145">
        <f>SUMIFS(Table2[NewPointsAway],Table2[GameDate], "&lt;=" &amp; $A154, Table2[AwayTeam], AA$1)+SUMIFS(Table2[NewPointsHome],Table2[GameDate], "&lt;=" &amp; $A154, Table2[HomeTeam], AA$1)</f>
        <v>2</v>
      </c>
      <c r="AB154" s="145">
        <f>SUMIFS(Table2[NewPointsAway],Table2[GameDate], "&lt;=" &amp; $A154, Table2[AwayTeam], AB$1)+SUMIFS(Table2[NewPointsHome],Table2[GameDate], "&lt;=" &amp; $A154, Table2[HomeTeam], AB$1)</f>
        <v>2</v>
      </c>
      <c r="AC154" s="145">
        <f>SUMIFS(Table2[NewPointsAway],Table2[GameDate], "&lt;=" &amp; $A154, Table2[AwayTeam], AC$1)+SUMIFS(Table2[NewPointsHome],Table2[GameDate], "&lt;=" &amp; $A154, Table2[HomeTeam], AC$1)</f>
        <v>2</v>
      </c>
      <c r="AD154" s="145">
        <f>SUMIFS(Table2[NewPointsAway],Table2[GameDate], "&lt;=" &amp; $A154, Table2[AwayTeam], AD$1)+SUMIFS(Table2[NewPointsHome],Table2[GameDate], "&lt;=" &amp; $A154, Table2[HomeTeam], AD$1)</f>
        <v>2</v>
      </c>
      <c r="AE154" s="145">
        <f>SUMIFS(Table2[NewPointsAway],Table2[GameDate], "&lt;=" &amp; $A154, Table2[AwayTeam], AE$1)+SUMIFS(Table2[NewPointsHome],Table2[GameDate], "&lt;=" &amp; $A154, Table2[HomeTeam], AE$1)</f>
        <v>4</v>
      </c>
      <c r="AF154" s="145">
        <f>SUMIFS(Table2[NewPointsAway],Table2[GameDate], "&lt;=" &amp; $A154, Table2[AwayTeam], AF$1)+SUMIFS(Table2[NewPointsHome],Table2[GameDate], "&lt;=" &amp; $A154, Table2[HomeTeam], AF$1)</f>
        <v>4</v>
      </c>
      <c r="AG154" s="145">
        <f>SUMIFS(Table2[NewPointsAway],Table2[GameDate], "&lt;=" &amp; $A154, Table2[AwayTeam], AG$1)+SUMIFS(Table2[NewPointsHome],Table2[GameDate], "&lt;=" &amp; $A154, Table2[HomeTeam], AG$1)</f>
        <v>4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2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0</v>
      </c>
      <c r="E155" s="145">
        <f>SUMIFS(Table2[NewPointsAway],Table2[GameDate], "&lt;=" &amp; $A155, Table2[AwayTeam], E$1)+SUMIFS(Table2[NewPointsHome],Table2[GameDate], "&lt;=" &amp; $A155, Table2[HomeTeam], E$1)</f>
        <v>4</v>
      </c>
      <c r="F155" s="145">
        <f>SUMIFS(Table2[NewPointsAway],Table2[GameDate], "&lt;=" &amp; $A155, Table2[AwayTeam], F$1)+SUMIFS(Table2[NewPointsHome],Table2[GameDate], "&lt;=" &amp; $A155, Table2[HomeTeam], F$1)</f>
        <v>2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3</v>
      </c>
      <c r="I155" s="145">
        <f>SUMIFS(Table2[NewPointsAway],Table2[GameDate], "&lt;=" &amp; $A155, Table2[AwayTeam], I$1)+SUMIFS(Table2[NewPointsHome],Table2[GameDate], "&lt;=" &amp; $A155, Table2[HomeTeam], I$1)</f>
        <v>7</v>
      </c>
      <c r="J155" s="145">
        <f>SUMIFS(Table2[NewPointsAway],Table2[GameDate], "&lt;=" &amp; $A155, Table2[AwayTeam], J$1)+SUMIFS(Table2[NewPointsHome],Table2[GameDate], "&lt;=" &amp; $A155, Table2[HomeTeam], J$1)</f>
        <v>4</v>
      </c>
      <c r="K155" s="145">
        <f>SUMIFS(Table2[NewPointsAway],Table2[GameDate], "&lt;=" &amp; $A155, Table2[AwayTeam], K$1)+SUMIFS(Table2[NewPointsHome],Table2[GameDate], "&lt;=" &amp; $A155, Table2[HomeTeam], K$1)</f>
        <v>4</v>
      </c>
      <c r="L155" s="145">
        <f>SUMIFS(Table2[NewPointsAway],Table2[GameDate], "&lt;=" &amp; $A155, Table2[AwayTeam], L$1)+SUMIFS(Table2[NewPointsHome],Table2[GameDate], "&lt;=" &amp; $A155, Table2[HomeTeam], L$1)</f>
        <v>3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3</v>
      </c>
      <c r="O155" s="145">
        <f>SUMIFS(Table2[NewPointsAway],Table2[GameDate], "&lt;=" &amp; $A155, Table2[AwayTeam], O$1)+SUMIFS(Table2[NewPointsHome],Table2[GameDate], "&lt;=" &amp; $A155, Table2[HomeTeam], O$1)</f>
        <v>4</v>
      </c>
      <c r="P155" s="145">
        <f>SUMIFS(Table2[NewPointsAway],Table2[GameDate], "&lt;=" &amp; $A155, Table2[AwayTeam], P$1)+SUMIFS(Table2[NewPointsHome],Table2[GameDate], "&lt;=" &amp; $A155, Table2[HomeTeam], P$1)</f>
        <v>4</v>
      </c>
      <c r="Q155" s="145">
        <f>SUMIFS(Table2[NewPointsAway],Table2[GameDate], "&lt;=" &amp; $A155, Table2[AwayTeam], Q$1)+SUMIFS(Table2[NewPointsHome],Table2[GameDate], "&lt;=" &amp; $A155, Table2[HomeTeam], Q$1)</f>
        <v>4</v>
      </c>
      <c r="R155" s="145">
        <f>SUMIFS(Table2[NewPointsAway],Table2[GameDate], "&lt;=" &amp; $A155, Table2[AwayTeam], R$1)+SUMIFS(Table2[NewPointsHome],Table2[GameDate], "&lt;=" &amp; $A155, Table2[HomeTeam], R$1)</f>
        <v>5</v>
      </c>
      <c r="S155" s="145">
        <f>SUMIFS(Table2[NewPointsAway],Table2[GameDate], "&lt;=" &amp; $A155, Table2[AwayTeam], S$1)+SUMIFS(Table2[NewPointsHome],Table2[GameDate], "&lt;=" &amp; $A155, Table2[HomeTeam], S$1)</f>
        <v>0</v>
      </c>
      <c r="T155" s="145">
        <f>SUMIFS(Table2[NewPointsAway],Table2[GameDate], "&lt;=" &amp; $A155, Table2[AwayTeam], T$1)+SUMIFS(Table2[NewPointsHome],Table2[GameDate], "&lt;=" &amp; $A155, Table2[HomeTeam], T$1)</f>
        <v>4</v>
      </c>
      <c r="U155" s="145">
        <f>SUMIFS(Table2[NewPointsAway],Table2[GameDate], "&lt;=" &amp; $A155, Table2[AwayTeam], U$1)+SUMIFS(Table2[NewPointsHome],Table2[GameDate], "&lt;=" &amp; $A155, Table2[HomeTeam], U$1)</f>
        <v>2</v>
      </c>
      <c r="V155" s="145">
        <f>SUMIFS(Table2[NewPointsAway],Table2[GameDate], "&lt;=" &amp; $A155, Table2[AwayTeam], V$1)+SUMIFS(Table2[NewPointsHome],Table2[GameDate], "&lt;=" &amp; $A155, Table2[HomeTeam], V$1)</f>
        <v>3</v>
      </c>
      <c r="W155" s="145">
        <f>SUMIFS(Table2[NewPointsAway],Table2[GameDate], "&lt;=" &amp; $A155, Table2[AwayTeam], W$1)+SUMIFS(Table2[NewPointsHome],Table2[GameDate], "&lt;=" &amp; $A155, Table2[HomeTeam], W$1)</f>
        <v>4</v>
      </c>
      <c r="X155" s="145">
        <f>SUMIFS(Table2[NewPointsAway],Table2[GameDate], "&lt;=" &amp; $A155, Table2[AwayTeam], X$1)+SUMIFS(Table2[NewPointsHome],Table2[GameDate], "&lt;=" &amp; $A155, Table2[HomeTeam], X$1)</f>
        <v>4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4</v>
      </c>
      <c r="AA155" s="145">
        <f>SUMIFS(Table2[NewPointsAway],Table2[GameDate], "&lt;=" &amp; $A155, Table2[AwayTeam], AA$1)+SUMIFS(Table2[NewPointsHome],Table2[GameDate], "&lt;=" &amp; $A155, Table2[HomeTeam], AA$1)</f>
        <v>2</v>
      </c>
      <c r="AB155" s="145">
        <f>SUMIFS(Table2[NewPointsAway],Table2[GameDate], "&lt;=" &amp; $A155, Table2[AwayTeam], AB$1)+SUMIFS(Table2[NewPointsHome],Table2[GameDate], "&lt;=" &amp; $A155, Table2[HomeTeam], AB$1)</f>
        <v>2</v>
      </c>
      <c r="AC155" s="145">
        <f>SUMIFS(Table2[NewPointsAway],Table2[GameDate], "&lt;=" &amp; $A155, Table2[AwayTeam], AC$1)+SUMIFS(Table2[NewPointsHome],Table2[GameDate], "&lt;=" &amp; $A155, Table2[HomeTeam], AC$1)</f>
        <v>2</v>
      </c>
      <c r="AD155" s="145">
        <f>SUMIFS(Table2[NewPointsAway],Table2[GameDate], "&lt;=" &amp; $A155, Table2[AwayTeam], AD$1)+SUMIFS(Table2[NewPointsHome],Table2[GameDate], "&lt;=" &amp; $A155, Table2[HomeTeam], AD$1)</f>
        <v>2</v>
      </c>
      <c r="AE155" s="145">
        <f>SUMIFS(Table2[NewPointsAway],Table2[GameDate], "&lt;=" &amp; $A155, Table2[AwayTeam], AE$1)+SUMIFS(Table2[NewPointsHome],Table2[GameDate], "&lt;=" &amp; $A155, Table2[HomeTeam], AE$1)</f>
        <v>4</v>
      </c>
      <c r="AF155" s="145">
        <f>SUMIFS(Table2[NewPointsAway],Table2[GameDate], "&lt;=" &amp; $A155, Table2[AwayTeam], AF$1)+SUMIFS(Table2[NewPointsHome],Table2[GameDate], "&lt;=" &amp; $A155, Table2[HomeTeam], AF$1)</f>
        <v>4</v>
      </c>
      <c r="AG155" s="145">
        <f>SUMIFS(Table2[NewPointsAway],Table2[GameDate], "&lt;=" &amp; $A155, Table2[AwayTeam], AG$1)+SUMIFS(Table2[NewPointsHome],Table2[GameDate], "&lt;=" &amp; $A155, Table2[HomeTeam], AG$1)</f>
        <v>4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2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0</v>
      </c>
      <c r="E156" s="145">
        <f>SUMIFS(Table2[NewPointsAway],Table2[GameDate], "&lt;=" &amp; $A156, Table2[AwayTeam], E$1)+SUMIFS(Table2[NewPointsHome],Table2[GameDate], "&lt;=" &amp; $A156, Table2[HomeTeam], E$1)</f>
        <v>4</v>
      </c>
      <c r="F156" s="145">
        <f>SUMIFS(Table2[NewPointsAway],Table2[GameDate], "&lt;=" &amp; $A156, Table2[AwayTeam], F$1)+SUMIFS(Table2[NewPointsHome],Table2[GameDate], "&lt;=" &amp; $A156, Table2[HomeTeam], F$1)</f>
        <v>2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3</v>
      </c>
      <c r="I156" s="145">
        <f>SUMIFS(Table2[NewPointsAway],Table2[GameDate], "&lt;=" &amp; $A156, Table2[AwayTeam], I$1)+SUMIFS(Table2[NewPointsHome],Table2[GameDate], "&lt;=" &amp; $A156, Table2[HomeTeam], I$1)</f>
        <v>7</v>
      </c>
      <c r="J156" s="145">
        <f>SUMIFS(Table2[NewPointsAway],Table2[GameDate], "&lt;=" &amp; $A156, Table2[AwayTeam], J$1)+SUMIFS(Table2[NewPointsHome],Table2[GameDate], "&lt;=" &amp; $A156, Table2[HomeTeam], J$1)</f>
        <v>4</v>
      </c>
      <c r="K156" s="145">
        <f>SUMIFS(Table2[NewPointsAway],Table2[GameDate], "&lt;=" &amp; $A156, Table2[AwayTeam], K$1)+SUMIFS(Table2[NewPointsHome],Table2[GameDate], "&lt;=" &amp; $A156, Table2[HomeTeam], K$1)</f>
        <v>4</v>
      </c>
      <c r="L156" s="145">
        <f>SUMIFS(Table2[NewPointsAway],Table2[GameDate], "&lt;=" &amp; $A156, Table2[AwayTeam], L$1)+SUMIFS(Table2[NewPointsHome],Table2[GameDate], "&lt;=" &amp; $A156, Table2[HomeTeam], L$1)</f>
        <v>3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3</v>
      </c>
      <c r="O156" s="145">
        <f>SUMIFS(Table2[NewPointsAway],Table2[GameDate], "&lt;=" &amp; $A156, Table2[AwayTeam], O$1)+SUMIFS(Table2[NewPointsHome],Table2[GameDate], "&lt;=" &amp; $A156, Table2[HomeTeam], O$1)</f>
        <v>4</v>
      </c>
      <c r="P156" s="145">
        <f>SUMIFS(Table2[NewPointsAway],Table2[GameDate], "&lt;=" &amp; $A156, Table2[AwayTeam], P$1)+SUMIFS(Table2[NewPointsHome],Table2[GameDate], "&lt;=" &amp; $A156, Table2[HomeTeam], P$1)</f>
        <v>4</v>
      </c>
      <c r="Q156" s="145">
        <f>SUMIFS(Table2[NewPointsAway],Table2[GameDate], "&lt;=" &amp; $A156, Table2[AwayTeam], Q$1)+SUMIFS(Table2[NewPointsHome],Table2[GameDate], "&lt;=" &amp; $A156, Table2[HomeTeam], Q$1)</f>
        <v>4</v>
      </c>
      <c r="R156" s="145">
        <f>SUMIFS(Table2[NewPointsAway],Table2[GameDate], "&lt;=" &amp; $A156, Table2[AwayTeam], R$1)+SUMIFS(Table2[NewPointsHome],Table2[GameDate], "&lt;=" &amp; $A156, Table2[HomeTeam], R$1)</f>
        <v>5</v>
      </c>
      <c r="S156" s="145">
        <f>SUMIFS(Table2[NewPointsAway],Table2[GameDate], "&lt;=" &amp; $A156, Table2[AwayTeam], S$1)+SUMIFS(Table2[NewPointsHome],Table2[GameDate], "&lt;=" &amp; $A156, Table2[HomeTeam], S$1)</f>
        <v>0</v>
      </c>
      <c r="T156" s="145">
        <f>SUMIFS(Table2[NewPointsAway],Table2[GameDate], "&lt;=" &amp; $A156, Table2[AwayTeam], T$1)+SUMIFS(Table2[NewPointsHome],Table2[GameDate], "&lt;=" &amp; $A156, Table2[HomeTeam], T$1)</f>
        <v>4</v>
      </c>
      <c r="U156" s="145">
        <f>SUMIFS(Table2[NewPointsAway],Table2[GameDate], "&lt;=" &amp; $A156, Table2[AwayTeam], U$1)+SUMIFS(Table2[NewPointsHome],Table2[GameDate], "&lt;=" &amp; $A156, Table2[HomeTeam], U$1)</f>
        <v>2</v>
      </c>
      <c r="V156" s="145">
        <f>SUMIFS(Table2[NewPointsAway],Table2[GameDate], "&lt;=" &amp; $A156, Table2[AwayTeam], V$1)+SUMIFS(Table2[NewPointsHome],Table2[GameDate], "&lt;=" &amp; $A156, Table2[HomeTeam], V$1)</f>
        <v>3</v>
      </c>
      <c r="W156" s="145">
        <f>SUMIFS(Table2[NewPointsAway],Table2[GameDate], "&lt;=" &amp; $A156, Table2[AwayTeam], W$1)+SUMIFS(Table2[NewPointsHome],Table2[GameDate], "&lt;=" &amp; $A156, Table2[HomeTeam], W$1)</f>
        <v>4</v>
      </c>
      <c r="X156" s="145">
        <f>SUMIFS(Table2[NewPointsAway],Table2[GameDate], "&lt;=" &amp; $A156, Table2[AwayTeam], X$1)+SUMIFS(Table2[NewPointsHome],Table2[GameDate], "&lt;=" &amp; $A156, Table2[HomeTeam], X$1)</f>
        <v>4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4</v>
      </c>
      <c r="AA156" s="145">
        <f>SUMIFS(Table2[NewPointsAway],Table2[GameDate], "&lt;=" &amp; $A156, Table2[AwayTeam], AA$1)+SUMIFS(Table2[NewPointsHome],Table2[GameDate], "&lt;=" &amp; $A156, Table2[HomeTeam], AA$1)</f>
        <v>2</v>
      </c>
      <c r="AB156" s="145">
        <f>SUMIFS(Table2[NewPointsAway],Table2[GameDate], "&lt;=" &amp; $A156, Table2[AwayTeam], AB$1)+SUMIFS(Table2[NewPointsHome],Table2[GameDate], "&lt;=" &amp; $A156, Table2[HomeTeam], AB$1)</f>
        <v>2</v>
      </c>
      <c r="AC156" s="145">
        <f>SUMIFS(Table2[NewPointsAway],Table2[GameDate], "&lt;=" &amp; $A156, Table2[AwayTeam], AC$1)+SUMIFS(Table2[NewPointsHome],Table2[GameDate], "&lt;=" &amp; $A156, Table2[HomeTeam], AC$1)</f>
        <v>2</v>
      </c>
      <c r="AD156" s="145">
        <f>SUMIFS(Table2[NewPointsAway],Table2[GameDate], "&lt;=" &amp; $A156, Table2[AwayTeam], AD$1)+SUMIFS(Table2[NewPointsHome],Table2[GameDate], "&lt;=" &amp; $A156, Table2[HomeTeam], AD$1)</f>
        <v>2</v>
      </c>
      <c r="AE156" s="145">
        <f>SUMIFS(Table2[NewPointsAway],Table2[GameDate], "&lt;=" &amp; $A156, Table2[AwayTeam], AE$1)+SUMIFS(Table2[NewPointsHome],Table2[GameDate], "&lt;=" &amp; $A156, Table2[HomeTeam], AE$1)</f>
        <v>4</v>
      </c>
      <c r="AF156" s="145">
        <f>SUMIFS(Table2[NewPointsAway],Table2[GameDate], "&lt;=" &amp; $A156, Table2[AwayTeam], AF$1)+SUMIFS(Table2[NewPointsHome],Table2[GameDate], "&lt;=" &amp; $A156, Table2[HomeTeam], AF$1)</f>
        <v>4</v>
      </c>
      <c r="AG156" s="145">
        <f>SUMIFS(Table2[NewPointsAway],Table2[GameDate], "&lt;=" &amp; $A156, Table2[AwayTeam], AG$1)+SUMIFS(Table2[NewPointsHome],Table2[GameDate], "&lt;=" &amp; $A156, Table2[HomeTeam], AG$1)</f>
        <v>4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2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0</v>
      </c>
      <c r="E157" s="145">
        <f>SUMIFS(Table2[NewPointsAway],Table2[GameDate], "&lt;=" &amp; $A157, Table2[AwayTeam], E$1)+SUMIFS(Table2[NewPointsHome],Table2[GameDate], "&lt;=" &amp; $A157, Table2[HomeTeam], E$1)</f>
        <v>4</v>
      </c>
      <c r="F157" s="145">
        <f>SUMIFS(Table2[NewPointsAway],Table2[GameDate], "&lt;=" &amp; $A157, Table2[AwayTeam], F$1)+SUMIFS(Table2[NewPointsHome],Table2[GameDate], "&lt;=" &amp; $A157, Table2[HomeTeam], F$1)</f>
        <v>2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3</v>
      </c>
      <c r="I157" s="145">
        <f>SUMIFS(Table2[NewPointsAway],Table2[GameDate], "&lt;=" &amp; $A157, Table2[AwayTeam], I$1)+SUMIFS(Table2[NewPointsHome],Table2[GameDate], "&lt;=" &amp; $A157, Table2[HomeTeam], I$1)</f>
        <v>7</v>
      </c>
      <c r="J157" s="145">
        <f>SUMIFS(Table2[NewPointsAway],Table2[GameDate], "&lt;=" &amp; $A157, Table2[AwayTeam], J$1)+SUMIFS(Table2[NewPointsHome],Table2[GameDate], "&lt;=" &amp; $A157, Table2[HomeTeam], J$1)</f>
        <v>4</v>
      </c>
      <c r="K157" s="145">
        <f>SUMIFS(Table2[NewPointsAway],Table2[GameDate], "&lt;=" &amp; $A157, Table2[AwayTeam], K$1)+SUMIFS(Table2[NewPointsHome],Table2[GameDate], "&lt;=" &amp; $A157, Table2[HomeTeam], K$1)</f>
        <v>4</v>
      </c>
      <c r="L157" s="145">
        <f>SUMIFS(Table2[NewPointsAway],Table2[GameDate], "&lt;=" &amp; $A157, Table2[AwayTeam], L$1)+SUMIFS(Table2[NewPointsHome],Table2[GameDate], "&lt;=" &amp; $A157, Table2[HomeTeam], L$1)</f>
        <v>3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3</v>
      </c>
      <c r="O157" s="145">
        <f>SUMIFS(Table2[NewPointsAway],Table2[GameDate], "&lt;=" &amp; $A157, Table2[AwayTeam], O$1)+SUMIFS(Table2[NewPointsHome],Table2[GameDate], "&lt;=" &amp; $A157, Table2[HomeTeam], O$1)</f>
        <v>4</v>
      </c>
      <c r="P157" s="145">
        <f>SUMIFS(Table2[NewPointsAway],Table2[GameDate], "&lt;=" &amp; $A157, Table2[AwayTeam], P$1)+SUMIFS(Table2[NewPointsHome],Table2[GameDate], "&lt;=" &amp; $A157, Table2[HomeTeam], P$1)</f>
        <v>4</v>
      </c>
      <c r="Q157" s="145">
        <f>SUMIFS(Table2[NewPointsAway],Table2[GameDate], "&lt;=" &amp; $A157, Table2[AwayTeam], Q$1)+SUMIFS(Table2[NewPointsHome],Table2[GameDate], "&lt;=" &amp; $A157, Table2[HomeTeam], Q$1)</f>
        <v>4</v>
      </c>
      <c r="R157" s="145">
        <f>SUMIFS(Table2[NewPointsAway],Table2[GameDate], "&lt;=" &amp; $A157, Table2[AwayTeam], R$1)+SUMIFS(Table2[NewPointsHome],Table2[GameDate], "&lt;=" &amp; $A157, Table2[HomeTeam], R$1)</f>
        <v>5</v>
      </c>
      <c r="S157" s="145">
        <f>SUMIFS(Table2[NewPointsAway],Table2[GameDate], "&lt;=" &amp; $A157, Table2[AwayTeam], S$1)+SUMIFS(Table2[NewPointsHome],Table2[GameDate], "&lt;=" &amp; $A157, Table2[HomeTeam], S$1)</f>
        <v>0</v>
      </c>
      <c r="T157" s="145">
        <f>SUMIFS(Table2[NewPointsAway],Table2[GameDate], "&lt;=" &amp; $A157, Table2[AwayTeam], T$1)+SUMIFS(Table2[NewPointsHome],Table2[GameDate], "&lt;=" &amp; $A157, Table2[HomeTeam], T$1)</f>
        <v>4</v>
      </c>
      <c r="U157" s="145">
        <f>SUMIFS(Table2[NewPointsAway],Table2[GameDate], "&lt;=" &amp; $A157, Table2[AwayTeam], U$1)+SUMIFS(Table2[NewPointsHome],Table2[GameDate], "&lt;=" &amp; $A157, Table2[HomeTeam], U$1)</f>
        <v>2</v>
      </c>
      <c r="V157" s="145">
        <f>SUMIFS(Table2[NewPointsAway],Table2[GameDate], "&lt;=" &amp; $A157, Table2[AwayTeam], V$1)+SUMIFS(Table2[NewPointsHome],Table2[GameDate], "&lt;=" &amp; $A157, Table2[HomeTeam], V$1)</f>
        <v>3</v>
      </c>
      <c r="W157" s="145">
        <f>SUMIFS(Table2[NewPointsAway],Table2[GameDate], "&lt;=" &amp; $A157, Table2[AwayTeam], W$1)+SUMIFS(Table2[NewPointsHome],Table2[GameDate], "&lt;=" &amp; $A157, Table2[HomeTeam], W$1)</f>
        <v>4</v>
      </c>
      <c r="X157" s="145">
        <f>SUMIFS(Table2[NewPointsAway],Table2[GameDate], "&lt;=" &amp; $A157, Table2[AwayTeam], X$1)+SUMIFS(Table2[NewPointsHome],Table2[GameDate], "&lt;=" &amp; $A157, Table2[HomeTeam], X$1)</f>
        <v>4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4</v>
      </c>
      <c r="AA157" s="145">
        <f>SUMIFS(Table2[NewPointsAway],Table2[GameDate], "&lt;=" &amp; $A157, Table2[AwayTeam], AA$1)+SUMIFS(Table2[NewPointsHome],Table2[GameDate], "&lt;=" &amp; $A157, Table2[HomeTeam], AA$1)</f>
        <v>2</v>
      </c>
      <c r="AB157" s="145">
        <f>SUMIFS(Table2[NewPointsAway],Table2[GameDate], "&lt;=" &amp; $A157, Table2[AwayTeam], AB$1)+SUMIFS(Table2[NewPointsHome],Table2[GameDate], "&lt;=" &amp; $A157, Table2[HomeTeam], AB$1)</f>
        <v>2</v>
      </c>
      <c r="AC157" s="145">
        <f>SUMIFS(Table2[NewPointsAway],Table2[GameDate], "&lt;=" &amp; $A157, Table2[AwayTeam], AC$1)+SUMIFS(Table2[NewPointsHome],Table2[GameDate], "&lt;=" &amp; $A157, Table2[HomeTeam], AC$1)</f>
        <v>2</v>
      </c>
      <c r="AD157" s="145">
        <f>SUMIFS(Table2[NewPointsAway],Table2[GameDate], "&lt;=" &amp; $A157, Table2[AwayTeam], AD$1)+SUMIFS(Table2[NewPointsHome],Table2[GameDate], "&lt;=" &amp; $A157, Table2[HomeTeam], AD$1)</f>
        <v>2</v>
      </c>
      <c r="AE157" s="145">
        <f>SUMIFS(Table2[NewPointsAway],Table2[GameDate], "&lt;=" &amp; $A157, Table2[AwayTeam], AE$1)+SUMIFS(Table2[NewPointsHome],Table2[GameDate], "&lt;=" &amp; $A157, Table2[HomeTeam], AE$1)</f>
        <v>4</v>
      </c>
      <c r="AF157" s="145">
        <f>SUMIFS(Table2[NewPointsAway],Table2[GameDate], "&lt;=" &amp; $A157, Table2[AwayTeam], AF$1)+SUMIFS(Table2[NewPointsHome],Table2[GameDate], "&lt;=" &amp; $A157, Table2[HomeTeam], AF$1)</f>
        <v>4</v>
      </c>
      <c r="AG157" s="145">
        <f>SUMIFS(Table2[NewPointsAway],Table2[GameDate], "&lt;=" &amp; $A157, Table2[AwayTeam], AG$1)+SUMIFS(Table2[NewPointsHome],Table2[GameDate], "&lt;=" &amp; $A157, Table2[HomeTeam], AG$1)</f>
        <v>4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2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0</v>
      </c>
      <c r="E158" s="145">
        <f>SUMIFS(Table2[NewPointsAway],Table2[GameDate], "&lt;=" &amp; $A158, Table2[AwayTeam], E$1)+SUMIFS(Table2[NewPointsHome],Table2[GameDate], "&lt;=" &amp; $A158, Table2[HomeTeam], E$1)</f>
        <v>4</v>
      </c>
      <c r="F158" s="145">
        <f>SUMIFS(Table2[NewPointsAway],Table2[GameDate], "&lt;=" &amp; $A158, Table2[AwayTeam], F$1)+SUMIFS(Table2[NewPointsHome],Table2[GameDate], "&lt;=" &amp; $A158, Table2[HomeTeam], F$1)</f>
        <v>2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3</v>
      </c>
      <c r="I158" s="145">
        <f>SUMIFS(Table2[NewPointsAway],Table2[GameDate], "&lt;=" &amp; $A158, Table2[AwayTeam], I$1)+SUMIFS(Table2[NewPointsHome],Table2[GameDate], "&lt;=" &amp; $A158, Table2[HomeTeam], I$1)</f>
        <v>7</v>
      </c>
      <c r="J158" s="145">
        <f>SUMIFS(Table2[NewPointsAway],Table2[GameDate], "&lt;=" &amp; $A158, Table2[AwayTeam], J$1)+SUMIFS(Table2[NewPointsHome],Table2[GameDate], "&lt;=" &amp; $A158, Table2[HomeTeam], J$1)</f>
        <v>4</v>
      </c>
      <c r="K158" s="145">
        <f>SUMIFS(Table2[NewPointsAway],Table2[GameDate], "&lt;=" &amp; $A158, Table2[AwayTeam], K$1)+SUMIFS(Table2[NewPointsHome],Table2[GameDate], "&lt;=" &amp; $A158, Table2[HomeTeam], K$1)</f>
        <v>4</v>
      </c>
      <c r="L158" s="145">
        <f>SUMIFS(Table2[NewPointsAway],Table2[GameDate], "&lt;=" &amp; $A158, Table2[AwayTeam], L$1)+SUMIFS(Table2[NewPointsHome],Table2[GameDate], "&lt;=" &amp; $A158, Table2[HomeTeam], L$1)</f>
        <v>3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3</v>
      </c>
      <c r="O158" s="145">
        <f>SUMIFS(Table2[NewPointsAway],Table2[GameDate], "&lt;=" &amp; $A158, Table2[AwayTeam], O$1)+SUMIFS(Table2[NewPointsHome],Table2[GameDate], "&lt;=" &amp; $A158, Table2[HomeTeam], O$1)</f>
        <v>4</v>
      </c>
      <c r="P158" s="145">
        <f>SUMIFS(Table2[NewPointsAway],Table2[GameDate], "&lt;=" &amp; $A158, Table2[AwayTeam], P$1)+SUMIFS(Table2[NewPointsHome],Table2[GameDate], "&lt;=" &amp; $A158, Table2[HomeTeam], P$1)</f>
        <v>4</v>
      </c>
      <c r="Q158" s="145">
        <f>SUMIFS(Table2[NewPointsAway],Table2[GameDate], "&lt;=" &amp; $A158, Table2[AwayTeam], Q$1)+SUMIFS(Table2[NewPointsHome],Table2[GameDate], "&lt;=" &amp; $A158, Table2[HomeTeam], Q$1)</f>
        <v>4</v>
      </c>
      <c r="R158" s="145">
        <f>SUMIFS(Table2[NewPointsAway],Table2[GameDate], "&lt;=" &amp; $A158, Table2[AwayTeam], R$1)+SUMIFS(Table2[NewPointsHome],Table2[GameDate], "&lt;=" &amp; $A158, Table2[HomeTeam], R$1)</f>
        <v>5</v>
      </c>
      <c r="S158" s="145">
        <f>SUMIFS(Table2[NewPointsAway],Table2[GameDate], "&lt;=" &amp; $A158, Table2[AwayTeam], S$1)+SUMIFS(Table2[NewPointsHome],Table2[GameDate], "&lt;=" &amp; $A158, Table2[HomeTeam], S$1)</f>
        <v>0</v>
      </c>
      <c r="T158" s="145">
        <f>SUMIFS(Table2[NewPointsAway],Table2[GameDate], "&lt;=" &amp; $A158, Table2[AwayTeam], T$1)+SUMIFS(Table2[NewPointsHome],Table2[GameDate], "&lt;=" &amp; $A158, Table2[HomeTeam], T$1)</f>
        <v>4</v>
      </c>
      <c r="U158" s="145">
        <f>SUMIFS(Table2[NewPointsAway],Table2[GameDate], "&lt;=" &amp; $A158, Table2[AwayTeam], U$1)+SUMIFS(Table2[NewPointsHome],Table2[GameDate], "&lt;=" &amp; $A158, Table2[HomeTeam], U$1)</f>
        <v>2</v>
      </c>
      <c r="V158" s="145">
        <f>SUMIFS(Table2[NewPointsAway],Table2[GameDate], "&lt;=" &amp; $A158, Table2[AwayTeam], V$1)+SUMIFS(Table2[NewPointsHome],Table2[GameDate], "&lt;=" &amp; $A158, Table2[HomeTeam], V$1)</f>
        <v>3</v>
      </c>
      <c r="W158" s="145">
        <f>SUMIFS(Table2[NewPointsAway],Table2[GameDate], "&lt;=" &amp; $A158, Table2[AwayTeam], W$1)+SUMIFS(Table2[NewPointsHome],Table2[GameDate], "&lt;=" &amp; $A158, Table2[HomeTeam], W$1)</f>
        <v>4</v>
      </c>
      <c r="X158" s="145">
        <f>SUMIFS(Table2[NewPointsAway],Table2[GameDate], "&lt;=" &amp; $A158, Table2[AwayTeam], X$1)+SUMIFS(Table2[NewPointsHome],Table2[GameDate], "&lt;=" &amp; $A158, Table2[HomeTeam], X$1)</f>
        <v>4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4</v>
      </c>
      <c r="AA158" s="145">
        <f>SUMIFS(Table2[NewPointsAway],Table2[GameDate], "&lt;=" &amp; $A158, Table2[AwayTeam], AA$1)+SUMIFS(Table2[NewPointsHome],Table2[GameDate], "&lt;=" &amp; $A158, Table2[HomeTeam], AA$1)</f>
        <v>2</v>
      </c>
      <c r="AB158" s="145">
        <f>SUMIFS(Table2[NewPointsAway],Table2[GameDate], "&lt;=" &amp; $A158, Table2[AwayTeam], AB$1)+SUMIFS(Table2[NewPointsHome],Table2[GameDate], "&lt;=" &amp; $A158, Table2[HomeTeam], AB$1)</f>
        <v>2</v>
      </c>
      <c r="AC158" s="145">
        <f>SUMIFS(Table2[NewPointsAway],Table2[GameDate], "&lt;=" &amp; $A158, Table2[AwayTeam], AC$1)+SUMIFS(Table2[NewPointsHome],Table2[GameDate], "&lt;=" &amp; $A158, Table2[HomeTeam], AC$1)</f>
        <v>2</v>
      </c>
      <c r="AD158" s="145">
        <f>SUMIFS(Table2[NewPointsAway],Table2[GameDate], "&lt;=" &amp; $A158, Table2[AwayTeam], AD$1)+SUMIFS(Table2[NewPointsHome],Table2[GameDate], "&lt;=" &amp; $A158, Table2[HomeTeam], AD$1)</f>
        <v>2</v>
      </c>
      <c r="AE158" s="145">
        <f>SUMIFS(Table2[NewPointsAway],Table2[GameDate], "&lt;=" &amp; $A158, Table2[AwayTeam], AE$1)+SUMIFS(Table2[NewPointsHome],Table2[GameDate], "&lt;=" &amp; $A158, Table2[HomeTeam], AE$1)</f>
        <v>4</v>
      </c>
      <c r="AF158" s="145">
        <f>SUMIFS(Table2[NewPointsAway],Table2[GameDate], "&lt;=" &amp; $A158, Table2[AwayTeam], AF$1)+SUMIFS(Table2[NewPointsHome],Table2[GameDate], "&lt;=" &amp; $A158, Table2[HomeTeam], AF$1)</f>
        <v>4</v>
      </c>
      <c r="AG158" s="145">
        <f>SUMIFS(Table2[NewPointsAway],Table2[GameDate], "&lt;=" &amp; $A158, Table2[AwayTeam], AG$1)+SUMIFS(Table2[NewPointsHome],Table2[GameDate], "&lt;=" &amp; $A158, Table2[HomeTeam], AG$1)</f>
        <v>4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2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0</v>
      </c>
      <c r="E159" s="145">
        <f>SUMIFS(Table2[NewPointsAway],Table2[GameDate], "&lt;=" &amp; $A159, Table2[AwayTeam], E$1)+SUMIFS(Table2[NewPointsHome],Table2[GameDate], "&lt;=" &amp; $A159, Table2[HomeTeam], E$1)</f>
        <v>4</v>
      </c>
      <c r="F159" s="145">
        <f>SUMIFS(Table2[NewPointsAway],Table2[GameDate], "&lt;=" &amp; $A159, Table2[AwayTeam], F$1)+SUMIFS(Table2[NewPointsHome],Table2[GameDate], "&lt;=" &amp; $A159, Table2[HomeTeam], F$1)</f>
        <v>2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3</v>
      </c>
      <c r="I159" s="145">
        <f>SUMIFS(Table2[NewPointsAway],Table2[GameDate], "&lt;=" &amp; $A159, Table2[AwayTeam], I$1)+SUMIFS(Table2[NewPointsHome],Table2[GameDate], "&lt;=" &amp; $A159, Table2[HomeTeam], I$1)</f>
        <v>7</v>
      </c>
      <c r="J159" s="145">
        <f>SUMIFS(Table2[NewPointsAway],Table2[GameDate], "&lt;=" &amp; $A159, Table2[AwayTeam], J$1)+SUMIFS(Table2[NewPointsHome],Table2[GameDate], "&lt;=" &amp; $A159, Table2[HomeTeam], J$1)</f>
        <v>4</v>
      </c>
      <c r="K159" s="145">
        <f>SUMIFS(Table2[NewPointsAway],Table2[GameDate], "&lt;=" &amp; $A159, Table2[AwayTeam], K$1)+SUMIFS(Table2[NewPointsHome],Table2[GameDate], "&lt;=" &amp; $A159, Table2[HomeTeam], K$1)</f>
        <v>4</v>
      </c>
      <c r="L159" s="145">
        <f>SUMIFS(Table2[NewPointsAway],Table2[GameDate], "&lt;=" &amp; $A159, Table2[AwayTeam], L$1)+SUMIFS(Table2[NewPointsHome],Table2[GameDate], "&lt;=" &amp; $A159, Table2[HomeTeam], L$1)</f>
        <v>3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3</v>
      </c>
      <c r="O159" s="145">
        <f>SUMIFS(Table2[NewPointsAway],Table2[GameDate], "&lt;=" &amp; $A159, Table2[AwayTeam], O$1)+SUMIFS(Table2[NewPointsHome],Table2[GameDate], "&lt;=" &amp; $A159, Table2[HomeTeam], O$1)</f>
        <v>4</v>
      </c>
      <c r="P159" s="145">
        <f>SUMIFS(Table2[NewPointsAway],Table2[GameDate], "&lt;=" &amp; $A159, Table2[AwayTeam], P$1)+SUMIFS(Table2[NewPointsHome],Table2[GameDate], "&lt;=" &amp; $A159, Table2[HomeTeam], P$1)</f>
        <v>4</v>
      </c>
      <c r="Q159" s="145">
        <f>SUMIFS(Table2[NewPointsAway],Table2[GameDate], "&lt;=" &amp; $A159, Table2[AwayTeam], Q$1)+SUMIFS(Table2[NewPointsHome],Table2[GameDate], "&lt;=" &amp; $A159, Table2[HomeTeam], Q$1)</f>
        <v>4</v>
      </c>
      <c r="R159" s="145">
        <f>SUMIFS(Table2[NewPointsAway],Table2[GameDate], "&lt;=" &amp; $A159, Table2[AwayTeam], R$1)+SUMIFS(Table2[NewPointsHome],Table2[GameDate], "&lt;=" &amp; $A159, Table2[HomeTeam], R$1)</f>
        <v>5</v>
      </c>
      <c r="S159" s="145">
        <f>SUMIFS(Table2[NewPointsAway],Table2[GameDate], "&lt;=" &amp; $A159, Table2[AwayTeam], S$1)+SUMIFS(Table2[NewPointsHome],Table2[GameDate], "&lt;=" &amp; $A159, Table2[HomeTeam], S$1)</f>
        <v>0</v>
      </c>
      <c r="T159" s="145">
        <f>SUMIFS(Table2[NewPointsAway],Table2[GameDate], "&lt;=" &amp; $A159, Table2[AwayTeam], T$1)+SUMIFS(Table2[NewPointsHome],Table2[GameDate], "&lt;=" &amp; $A159, Table2[HomeTeam], T$1)</f>
        <v>4</v>
      </c>
      <c r="U159" s="145">
        <f>SUMIFS(Table2[NewPointsAway],Table2[GameDate], "&lt;=" &amp; $A159, Table2[AwayTeam], U$1)+SUMIFS(Table2[NewPointsHome],Table2[GameDate], "&lt;=" &amp; $A159, Table2[HomeTeam], U$1)</f>
        <v>2</v>
      </c>
      <c r="V159" s="145">
        <f>SUMIFS(Table2[NewPointsAway],Table2[GameDate], "&lt;=" &amp; $A159, Table2[AwayTeam], V$1)+SUMIFS(Table2[NewPointsHome],Table2[GameDate], "&lt;=" &amp; $A159, Table2[HomeTeam], V$1)</f>
        <v>3</v>
      </c>
      <c r="W159" s="145">
        <f>SUMIFS(Table2[NewPointsAway],Table2[GameDate], "&lt;=" &amp; $A159, Table2[AwayTeam], W$1)+SUMIFS(Table2[NewPointsHome],Table2[GameDate], "&lt;=" &amp; $A159, Table2[HomeTeam], W$1)</f>
        <v>4</v>
      </c>
      <c r="X159" s="145">
        <f>SUMIFS(Table2[NewPointsAway],Table2[GameDate], "&lt;=" &amp; $A159, Table2[AwayTeam], X$1)+SUMIFS(Table2[NewPointsHome],Table2[GameDate], "&lt;=" &amp; $A159, Table2[HomeTeam], X$1)</f>
        <v>4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4</v>
      </c>
      <c r="AA159" s="145">
        <f>SUMIFS(Table2[NewPointsAway],Table2[GameDate], "&lt;=" &amp; $A159, Table2[AwayTeam], AA$1)+SUMIFS(Table2[NewPointsHome],Table2[GameDate], "&lt;=" &amp; $A159, Table2[HomeTeam], AA$1)</f>
        <v>2</v>
      </c>
      <c r="AB159" s="145">
        <f>SUMIFS(Table2[NewPointsAway],Table2[GameDate], "&lt;=" &amp; $A159, Table2[AwayTeam], AB$1)+SUMIFS(Table2[NewPointsHome],Table2[GameDate], "&lt;=" &amp; $A159, Table2[HomeTeam], AB$1)</f>
        <v>2</v>
      </c>
      <c r="AC159" s="145">
        <f>SUMIFS(Table2[NewPointsAway],Table2[GameDate], "&lt;=" &amp; $A159, Table2[AwayTeam], AC$1)+SUMIFS(Table2[NewPointsHome],Table2[GameDate], "&lt;=" &amp; $A159, Table2[HomeTeam], AC$1)</f>
        <v>2</v>
      </c>
      <c r="AD159" s="145">
        <f>SUMIFS(Table2[NewPointsAway],Table2[GameDate], "&lt;=" &amp; $A159, Table2[AwayTeam], AD$1)+SUMIFS(Table2[NewPointsHome],Table2[GameDate], "&lt;=" &amp; $A159, Table2[HomeTeam], AD$1)</f>
        <v>2</v>
      </c>
      <c r="AE159" s="145">
        <f>SUMIFS(Table2[NewPointsAway],Table2[GameDate], "&lt;=" &amp; $A159, Table2[AwayTeam], AE$1)+SUMIFS(Table2[NewPointsHome],Table2[GameDate], "&lt;=" &amp; $A159, Table2[HomeTeam], AE$1)</f>
        <v>4</v>
      </c>
      <c r="AF159" s="145">
        <f>SUMIFS(Table2[NewPointsAway],Table2[GameDate], "&lt;=" &amp; $A159, Table2[AwayTeam], AF$1)+SUMIFS(Table2[NewPointsHome],Table2[GameDate], "&lt;=" &amp; $A159, Table2[HomeTeam], AF$1)</f>
        <v>4</v>
      </c>
      <c r="AG159" s="145">
        <f>SUMIFS(Table2[NewPointsAway],Table2[GameDate], "&lt;=" &amp; $A159, Table2[AwayTeam], AG$1)+SUMIFS(Table2[NewPointsHome],Table2[GameDate], "&lt;=" &amp; $A159, Table2[HomeTeam], AG$1)</f>
        <v>4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2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0</v>
      </c>
      <c r="E160" s="145">
        <f>SUMIFS(Table2[NewPointsAway],Table2[GameDate], "&lt;=" &amp; $A160, Table2[AwayTeam], E$1)+SUMIFS(Table2[NewPointsHome],Table2[GameDate], "&lt;=" &amp; $A160, Table2[HomeTeam], E$1)</f>
        <v>4</v>
      </c>
      <c r="F160" s="145">
        <f>SUMIFS(Table2[NewPointsAway],Table2[GameDate], "&lt;=" &amp; $A160, Table2[AwayTeam], F$1)+SUMIFS(Table2[NewPointsHome],Table2[GameDate], "&lt;=" &amp; $A160, Table2[HomeTeam], F$1)</f>
        <v>2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3</v>
      </c>
      <c r="I160" s="145">
        <f>SUMIFS(Table2[NewPointsAway],Table2[GameDate], "&lt;=" &amp; $A160, Table2[AwayTeam], I$1)+SUMIFS(Table2[NewPointsHome],Table2[GameDate], "&lt;=" &amp; $A160, Table2[HomeTeam], I$1)</f>
        <v>7</v>
      </c>
      <c r="J160" s="145">
        <f>SUMIFS(Table2[NewPointsAway],Table2[GameDate], "&lt;=" &amp; $A160, Table2[AwayTeam], J$1)+SUMIFS(Table2[NewPointsHome],Table2[GameDate], "&lt;=" &amp; $A160, Table2[HomeTeam], J$1)</f>
        <v>4</v>
      </c>
      <c r="K160" s="145">
        <f>SUMIFS(Table2[NewPointsAway],Table2[GameDate], "&lt;=" &amp; $A160, Table2[AwayTeam], K$1)+SUMIFS(Table2[NewPointsHome],Table2[GameDate], "&lt;=" &amp; $A160, Table2[HomeTeam], K$1)</f>
        <v>4</v>
      </c>
      <c r="L160" s="145">
        <f>SUMIFS(Table2[NewPointsAway],Table2[GameDate], "&lt;=" &amp; $A160, Table2[AwayTeam], L$1)+SUMIFS(Table2[NewPointsHome],Table2[GameDate], "&lt;=" &amp; $A160, Table2[HomeTeam], L$1)</f>
        <v>3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3</v>
      </c>
      <c r="O160" s="145">
        <f>SUMIFS(Table2[NewPointsAway],Table2[GameDate], "&lt;=" &amp; $A160, Table2[AwayTeam], O$1)+SUMIFS(Table2[NewPointsHome],Table2[GameDate], "&lt;=" &amp; $A160, Table2[HomeTeam], O$1)</f>
        <v>4</v>
      </c>
      <c r="P160" s="145">
        <f>SUMIFS(Table2[NewPointsAway],Table2[GameDate], "&lt;=" &amp; $A160, Table2[AwayTeam], P$1)+SUMIFS(Table2[NewPointsHome],Table2[GameDate], "&lt;=" &amp; $A160, Table2[HomeTeam], P$1)</f>
        <v>4</v>
      </c>
      <c r="Q160" s="145">
        <f>SUMIFS(Table2[NewPointsAway],Table2[GameDate], "&lt;=" &amp; $A160, Table2[AwayTeam], Q$1)+SUMIFS(Table2[NewPointsHome],Table2[GameDate], "&lt;=" &amp; $A160, Table2[HomeTeam], Q$1)</f>
        <v>4</v>
      </c>
      <c r="R160" s="145">
        <f>SUMIFS(Table2[NewPointsAway],Table2[GameDate], "&lt;=" &amp; $A160, Table2[AwayTeam], R$1)+SUMIFS(Table2[NewPointsHome],Table2[GameDate], "&lt;=" &amp; $A160, Table2[HomeTeam], R$1)</f>
        <v>5</v>
      </c>
      <c r="S160" s="145">
        <f>SUMIFS(Table2[NewPointsAway],Table2[GameDate], "&lt;=" &amp; $A160, Table2[AwayTeam], S$1)+SUMIFS(Table2[NewPointsHome],Table2[GameDate], "&lt;=" &amp; $A160, Table2[HomeTeam], S$1)</f>
        <v>0</v>
      </c>
      <c r="T160" s="145">
        <f>SUMIFS(Table2[NewPointsAway],Table2[GameDate], "&lt;=" &amp; $A160, Table2[AwayTeam], T$1)+SUMIFS(Table2[NewPointsHome],Table2[GameDate], "&lt;=" &amp; $A160, Table2[HomeTeam], T$1)</f>
        <v>4</v>
      </c>
      <c r="U160" s="145">
        <f>SUMIFS(Table2[NewPointsAway],Table2[GameDate], "&lt;=" &amp; $A160, Table2[AwayTeam], U$1)+SUMIFS(Table2[NewPointsHome],Table2[GameDate], "&lt;=" &amp; $A160, Table2[HomeTeam], U$1)</f>
        <v>2</v>
      </c>
      <c r="V160" s="145">
        <f>SUMIFS(Table2[NewPointsAway],Table2[GameDate], "&lt;=" &amp; $A160, Table2[AwayTeam], V$1)+SUMIFS(Table2[NewPointsHome],Table2[GameDate], "&lt;=" &amp; $A160, Table2[HomeTeam], V$1)</f>
        <v>3</v>
      </c>
      <c r="W160" s="145">
        <f>SUMIFS(Table2[NewPointsAway],Table2[GameDate], "&lt;=" &amp; $A160, Table2[AwayTeam], W$1)+SUMIFS(Table2[NewPointsHome],Table2[GameDate], "&lt;=" &amp; $A160, Table2[HomeTeam], W$1)</f>
        <v>4</v>
      </c>
      <c r="X160" s="145">
        <f>SUMIFS(Table2[NewPointsAway],Table2[GameDate], "&lt;=" &amp; $A160, Table2[AwayTeam], X$1)+SUMIFS(Table2[NewPointsHome],Table2[GameDate], "&lt;=" &amp; $A160, Table2[HomeTeam], X$1)</f>
        <v>4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4</v>
      </c>
      <c r="AA160" s="145">
        <f>SUMIFS(Table2[NewPointsAway],Table2[GameDate], "&lt;=" &amp; $A160, Table2[AwayTeam], AA$1)+SUMIFS(Table2[NewPointsHome],Table2[GameDate], "&lt;=" &amp; $A160, Table2[HomeTeam], AA$1)</f>
        <v>2</v>
      </c>
      <c r="AB160" s="145">
        <f>SUMIFS(Table2[NewPointsAway],Table2[GameDate], "&lt;=" &amp; $A160, Table2[AwayTeam], AB$1)+SUMIFS(Table2[NewPointsHome],Table2[GameDate], "&lt;=" &amp; $A160, Table2[HomeTeam], AB$1)</f>
        <v>2</v>
      </c>
      <c r="AC160" s="145">
        <f>SUMIFS(Table2[NewPointsAway],Table2[GameDate], "&lt;=" &amp; $A160, Table2[AwayTeam], AC$1)+SUMIFS(Table2[NewPointsHome],Table2[GameDate], "&lt;=" &amp; $A160, Table2[HomeTeam], AC$1)</f>
        <v>2</v>
      </c>
      <c r="AD160" s="145">
        <f>SUMIFS(Table2[NewPointsAway],Table2[GameDate], "&lt;=" &amp; $A160, Table2[AwayTeam], AD$1)+SUMIFS(Table2[NewPointsHome],Table2[GameDate], "&lt;=" &amp; $A160, Table2[HomeTeam], AD$1)</f>
        <v>2</v>
      </c>
      <c r="AE160" s="145">
        <f>SUMIFS(Table2[NewPointsAway],Table2[GameDate], "&lt;=" &amp; $A160, Table2[AwayTeam], AE$1)+SUMIFS(Table2[NewPointsHome],Table2[GameDate], "&lt;=" &amp; $A160, Table2[HomeTeam], AE$1)</f>
        <v>4</v>
      </c>
      <c r="AF160" s="145">
        <f>SUMIFS(Table2[NewPointsAway],Table2[GameDate], "&lt;=" &amp; $A160, Table2[AwayTeam], AF$1)+SUMIFS(Table2[NewPointsHome],Table2[GameDate], "&lt;=" &amp; $A160, Table2[HomeTeam], AF$1)</f>
        <v>4</v>
      </c>
      <c r="AG160" s="145">
        <f>SUMIFS(Table2[NewPointsAway],Table2[GameDate], "&lt;=" &amp; $A160, Table2[AwayTeam], AG$1)+SUMIFS(Table2[NewPointsHome],Table2[GameDate], "&lt;=" &amp; $A160, Table2[HomeTeam], AG$1)</f>
        <v>4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2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0</v>
      </c>
      <c r="E161" s="145">
        <f>SUMIFS(Table2[NewPointsAway],Table2[GameDate], "&lt;=" &amp; $A161, Table2[AwayTeam], E$1)+SUMIFS(Table2[NewPointsHome],Table2[GameDate], "&lt;=" &amp; $A161, Table2[HomeTeam], E$1)</f>
        <v>4</v>
      </c>
      <c r="F161" s="145">
        <f>SUMIFS(Table2[NewPointsAway],Table2[GameDate], "&lt;=" &amp; $A161, Table2[AwayTeam], F$1)+SUMIFS(Table2[NewPointsHome],Table2[GameDate], "&lt;=" &amp; $A161, Table2[HomeTeam], F$1)</f>
        <v>2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3</v>
      </c>
      <c r="I161" s="145">
        <f>SUMIFS(Table2[NewPointsAway],Table2[GameDate], "&lt;=" &amp; $A161, Table2[AwayTeam], I$1)+SUMIFS(Table2[NewPointsHome],Table2[GameDate], "&lt;=" &amp; $A161, Table2[HomeTeam], I$1)</f>
        <v>7</v>
      </c>
      <c r="J161" s="145">
        <f>SUMIFS(Table2[NewPointsAway],Table2[GameDate], "&lt;=" &amp; $A161, Table2[AwayTeam], J$1)+SUMIFS(Table2[NewPointsHome],Table2[GameDate], "&lt;=" &amp; $A161, Table2[HomeTeam], J$1)</f>
        <v>4</v>
      </c>
      <c r="K161" s="145">
        <f>SUMIFS(Table2[NewPointsAway],Table2[GameDate], "&lt;=" &amp; $A161, Table2[AwayTeam], K$1)+SUMIFS(Table2[NewPointsHome],Table2[GameDate], "&lt;=" &amp; $A161, Table2[HomeTeam], K$1)</f>
        <v>4</v>
      </c>
      <c r="L161" s="145">
        <f>SUMIFS(Table2[NewPointsAway],Table2[GameDate], "&lt;=" &amp; $A161, Table2[AwayTeam], L$1)+SUMIFS(Table2[NewPointsHome],Table2[GameDate], "&lt;=" &amp; $A161, Table2[HomeTeam], L$1)</f>
        <v>3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3</v>
      </c>
      <c r="O161" s="145">
        <f>SUMIFS(Table2[NewPointsAway],Table2[GameDate], "&lt;=" &amp; $A161, Table2[AwayTeam], O$1)+SUMIFS(Table2[NewPointsHome],Table2[GameDate], "&lt;=" &amp; $A161, Table2[HomeTeam], O$1)</f>
        <v>4</v>
      </c>
      <c r="P161" s="145">
        <f>SUMIFS(Table2[NewPointsAway],Table2[GameDate], "&lt;=" &amp; $A161, Table2[AwayTeam], P$1)+SUMIFS(Table2[NewPointsHome],Table2[GameDate], "&lt;=" &amp; $A161, Table2[HomeTeam], P$1)</f>
        <v>4</v>
      </c>
      <c r="Q161" s="145">
        <f>SUMIFS(Table2[NewPointsAway],Table2[GameDate], "&lt;=" &amp; $A161, Table2[AwayTeam], Q$1)+SUMIFS(Table2[NewPointsHome],Table2[GameDate], "&lt;=" &amp; $A161, Table2[HomeTeam], Q$1)</f>
        <v>4</v>
      </c>
      <c r="R161" s="145">
        <f>SUMIFS(Table2[NewPointsAway],Table2[GameDate], "&lt;=" &amp; $A161, Table2[AwayTeam], R$1)+SUMIFS(Table2[NewPointsHome],Table2[GameDate], "&lt;=" &amp; $A161, Table2[HomeTeam], R$1)</f>
        <v>5</v>
      </c>
      <c r="S161" s="145">
        <f>SUMIFS(Table2[NewPointsAway],Table2[GameDate], "&lt;=" &amp; $A161, Table2[AwayTeam], S$1)+SUMIFS(Table2[NewPointsHome],Table2[GameDate], "&lt;=" &amp; $A161, Table2[HomeTeam], S$1)</f>
        <v>0</v>
      </c>
      <c r="T161" s="145">
        <f>SUMIFS(Table2[NewPointsAway],Table2[GameDate], "&lt;=" &amp; $A161, Table2[AwayTeam], T$1)+SUMIFS(Table2[NewPointsHome],Table2[GameDate], "&lt;=" &amp; $A161, Table2[HomeTeam], T$1)</f>
        <v>4</v>
      </c>
      <c r="U161" s="145">
        <f>SUMIFS(Table2[NewPointsAway],Table2[GameDate], "&lt;=" &amp; $A161, Table2[AwayTeam], U$1)+SUMIFS(Table2[NewPointsHome],Table2[GameDate], "&lt;=" &amp; $A161, Table2[HomeTeam], U$1)</f>
        <v>2</v>
      </c>
      <c r="V161" s="145">
        <f>SUMIFS(Table2[NewPointsAway],Table2[GameDate], "&lt;=" &amp; $A161, Table2[AwayTeam], V$1)+SUMIFS(Table2[NewPointsHome],Table2[GameDate], "&lt;=" &amp; $A161, Table2[HomeTeam], V$1)</f>
        <v>3</v>
      </c>
      <c r="W161" s="145">
        <f>SUMIFS(Table2[NewPointsAway],Table2[GameDate], "&lt;=" &amp; $A161, Table2[AwayTeam], W$1)+SUMIFS(Table2[NewPointsHome],Table2[GameDate], "&lt;=" &amp; $A161, Table2[HomeTeam], W$1)</f>
        <v>4</v>
      </c>
      <c r="X161" s="145">
        <f>SUMIFS(Table2[NewPointsAway],Table2[GameDate], "&lt;=" &amp; $A161, Table2[AwayTeam], X$1)+SUMIFS(Table2[NewPointsHome],Table2[GameDate], "&lt;=" &amp; $A161, Table2[HomeTeam], X$1)</f>
        <v>4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4</v>
      </c>
      <c r="AA161" s="145">
        <f>SUMIFS(Table2[NewPointsAway],Table2[GameDate], "&lt;=" &amp; $A161, Table2[AwayTeam], AA$1)+SUMIFS(Table2[NewPointsHome],Table2[GameDate], "&lt;=" &amp; $A161, Table2[HomeTeam], AA$1)</f>
        <v>2</v>
      </c>
      <c r="AB161" s="145">
        <f>SUMIFS(Table2[NewPointsAway],Table2[GameDate], "&lt;=" &amp; $A161, Table2[AwayTeam], AB$1)+SUMIFS(Table2[NewPointsHome],Table2[GameDate], "&lt;=" &amp; $A161, Table2[HomeTeam], AB$1)</f>
        <v>2</v>
      </c>
      <c r="AC161" s="145">
        <f>SUMIFS(Table2[NewPointsAway],Table2[GameDate], "&lt;=" &amp; $A161, Table2[AwayTeam], AC$1)+SUMIFS(Table2[NewPointsHome],Table2[GameDate], "&lt;=" &amp; $A161, Table2[HomeTeam], AC$1)</f>
        <v>2</v>
      </c>
      <c r="AD161" s="145">
        <f>SUMIFS(Table2[NewPointsAway],Table2[GameDate], "&lt;=" &amp; $A161, Table2[AwayTeam], AD$1)+SUMIFS(Table2[NewPointsHome],Table2[GameDate], "&lt;=" &amp; $A161, Table2[HomeTeam], AD$1)</f>
        <v>2</v>
      </c>
      <c r="AE161" s="145">
        <f>SUMIFS(Table2[NewPointsAway],Table2[GameDate], "&lt;=" &amp; $A161, Table2[AwayTeam], AE$1)+SUMIFS(Table2[NewPointsHome],Table2[GameDate], "&lt;=" &amp; $A161, Table2[HomeTeam], AE$1)</f>
        <v>4</v>
      </c>
      <c r="AF161" s="145">
        <f>SUMIFS(Table2[NewPointsAway],Table2[GameDate], "&lt;=" &amp; $A161, Table2[AwayTeam], AF$1)+SUMIFS(Table2[NewPointsHome],Table2[GameDate], "&lt;=" &amp; $A161, Table2[HomeTeam], AF$1)</f>
        <v>4</v>
      </c>
      <c r="AG161" s="145">
        <f>SUMIFS(Table2[NewPointsAway],Table2[GameDate], "&lt;=" &amp; $A161, Table2[AwayTeam], AG$1)+SUMIFS(Table2[NewPointsHome],Table2[GameDate], "&lt;=" &amp; $A161, Table2[HomeTeam], AG$1)</f>
        <v>4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2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0</v>
      </c>
      <c r="E162" s="145">
        <f>SUMIFS(Table2[NewPointsAway],Table2[GameDate], "&lt;=" &amp; $A162, Table2[AwayTeam], E$1)+SUMIFS(Table2[NewPointsHome],Table2[GameDate], "&lt;=" &amp; $A162, Table2[HomeTeam], E$1)</f>
        <v>4</v>
      </c>
      <c r="F162" s="145">
        <f>SUMIFS(Table2[NewPointsAway],Table2[GameDate], "&lt;=" &amp; $A162, Table2[AwayTeam], F$1)+SUMIFS(Table2[NewPointsHome],Table2[GameDate], "&lt;=" &amp; $A162, Table2[HomeTeam], F$1)</f>
        <v>2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3</v>
      </c>
      <c r="I162" s="145">
        <f>SUMIFS(Table2[NewPointsAway],Table2[GameDate], "&lt;=" &amp; $A162, Table2[AwayTeam], I$1)+SUMIFS(Table2[NewPointsHome],Table2[GameDate], "&lt;=" &amp; $A162, Table2[HomeTeam], I$1)</f>
        <v>7</v>
      </c>
      <c r="J162" s="145">
        <f>SUMIFS(Table2[NewPointsAway],Table2[GameDate], "&lt;=" &amp; $A162, Table2[AwayTeam], J$1)+SUMIFS(Table2[NewPointsHome],Table2[GameDate], "&lt;=" &amp; $A162, Table2[HomeTeam], J$1)</f>
        <v>4</v>
      </c>
      <c r="K162" s="145">
        <f>SUMIFS(Table2[NewPointsAway],Table2[GameDate], "&lt;=" &amp; $A162, Table2[AwayTeam], K$1)+SUMIFS(Table2[NewPointsHome],Table2[GameDate], "&lt;=" &amp; $A162, Table2[HomeTeam], K$1)</f>
        <v>4</v>
      </c>
      <c r="L162" s="145">
        <f>SUMIFS(Table2[NewPointsAway],Table2[GameDate], "&lt;=" &amp; $A162, Table2[AwayTeam], L$1)+SUMIFS(Table2[NewPointsHome],Table2[GameDate], "&lt;=" &amp; $A162, Table2[HomeTeam], L$1)</f>
        <v>3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3</v>
      </c>
      <c r="O162" s="145">
        <f>SUMIFS(Table2[NewPointsAway],Table2[GameDate], "&lt;=" &amp; $A162, Table2[AwayTeam], O$1)+SUMIFS(Table2[NewPointsHome],Table2[GameDate], "&lt;=" &amp; $A162, Table2[HomeTeam], O$1)</f>
        <v>4</v>
      </c>
      <c r="P162" s="145">
        <f>SUMIFS(Table2[NewPointsAway],Table2[GameDate], "&lt;=" &amp; $A162, Table2[AwayTeam], P$1)+SUMIFS(Table2[NewPointsHome],Table2[GameDate], "&lt;=" &amp; $A162, Table2[HomeTeam], P$1)</f>
        <v>4</v>
      </c>
      <c r="Q162" s="145">
        <f>SUMIFS(Table2[NewPointsAway],Table2[GameDate], "&lt;=" &amp; $A162, Table2[AwayTeam], Q$1)+SUMIFS(Table2[NewPointsHome],Table2[GameDate], "&lt;=" &amp; $A162, Table2[HomeTeam], Q$1)</f>
        <v>4</v>
      </c>
      <c r="R162" s="145">
        <f>SUMIFS(Table2[NewPointsAway],Table2[GameDate], "&lt;=" &amp; $A162, Table2[AwayTeam], R$1)+SUMIFS(Table2[NewPointsHome],Table2[GameDate], "&lt;=" &amp; $A162, Table2[HomeTeam], R$1)</f>
        <v>5</v>
      </c>
      <c r="S162" s="145">
        <f>SUMIFS(Table2[NewPointsAway],Table2[GameDate], "&lt;=" &amp; $A162, Table2[AwayTeam], S$1)+SUMIFS(Table2[NewPointsHome],Table2[GameDate], "&lt;=" &amp; $A162, Table2[HomeTeam], S$1)</f>
        <v>0</v>
      </c>
      <c r="T162" s="145">
        <f>SUMIFS(Table2[NewPointsAway],Table2[GameDate], "&lt;=" &amp; $A162, Table2[AwayTeam], T$1)+SUMIFS(Table2[NewPointsHome],Table2[GameDate], "&lt;=" &amp; $A162, Table2[HomeTeam], T$1)</f>
        <v>4</v>
      </c>
      <c r="U162" s="145">
        <f>SUMIFS(Table2[NewPointsAway],Table2[GameDate], "&lt;=" &amp; $A162, Table2[AwayTeam], U$1)+SUMIFS(Table2[NewPointsHome],Table2[GameDate], "&lt;=" &amp; $A162, Table2[HomeTeam], U$1)</f>
        <v>2</v>
      </c>
      <c r="V162" s="145">
        <f>SUMIFS(Table2[NewPointsAway],Table2[GameDate], "&lt;=" &amp; $A162, Table2[AwayTeam], V$1)+SUMIFS(Table2[NewPointsHome],Table2[GameDate], "&lt;=" &amp; $A162, Table2[HomeTeam], V$1)</f>
        <v>3</v>
      </c>
      <c r="W162" s="145">
        <f>SUMIFS(Table2[NewPointsAway],Table2[GameDate], "&lt;=" &amp; $A162, Table2[AwayTeam], W$1)+SUMIFS(Table2[NewPointsHome],Table2[GameDate], "&lt;=" &amp; $A162, Table2[HomeTeam], W$1)</f>
        <v>4</v>
      </c>
      <c r="X162" s="145">
        <f>SUMIFS(Table2[NewPointsAway],Table2[GameDate], "&lt;=" &amp; $A162, Table2[AwayTeam], X$1)+SUMIFS(Table2[NewPointsHome],Table2[GameDate], "&lt;=" &amp; $A162, Table2[HomeTeam], X$1)</f>
        <v>4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4</v>
      </c>
      <c r="AA162" s="145">
        <f>SUMIFS(Table2[NewPointsAway],Table2[GameDate], "&lt;=" &amp; $A162, Table2[AwayTeam], AA$1)+SUMIFS(Table2[NewPointsHome],Table2[GameDate], "&lt;=" &amp; $A162, Table2[HomeTeam], AA$1)</f>
        <v>2</v>
      </c>
      <c r="AB162" s="145">
        <f>SUMIFS(Table2[NewPointsAway],Table2[GameDate], "&lt;=" &amp; $A162, Table2[AwayTeam], AB$1)+SUMIFS(Table2[NewPointsHome],Table2[GameDate], "&lt;=" &amp; $A162, Table2[HomeTeam], AB$1)</f>
        <v>2</v>
      </c>
      <c r="AC162" s="145">
        <f>SUMIFS(Table2[NewPointsAway],Table2[GameDate], "&lt;=" &amp; $A162, Table2[AwayTeam], AC$1)+SUMIFS(Table2[NewPointsHome],Table2[GameDate], "&lt;=" &amp; $A162, Table2[HomeTeam], AC$1)</f>
        <v>2</v>
      </c>
      <c r="AD162" s="145">
        <f>SUMIFS(Table2[NewPointsAway],Table2[GameDate], "&lt;=" &amp; $A162, Table2[AwayTeam], AD$1)+SUMIFS(Table2[NewPointsHome],Table2[GameDate], "&lt;=" &amp; $A162, Table2[HomeTeam], AD$1)</f>
        <v>2</v>
      </c>
      <c r="AE162" s="145">
        <f>SUMIFS(Table2[NewPointsAway],Table2[GameDate], "&lt;=" &amp; $A162, Table2[AwayTeam], AE$1)+SUMIFS(Table2[NewPointsHome],Table2[GameDate], "&lt;=" &amp; $A162, Table2[HomeTeam], AE$1)</f>
        <v>4</v>
      </c>
      <c r="AF162" s="145">
        <f>SUMIFS(Table2[NewPointsAway],Table2[GameDate], "&lt;=" &amp; $A162, Table2[AwayTeam], AF$1)+SUMIFS(Table2[NewPointsHome],Table2[GameDate], "&lt;=" &amp; $A162, Table2[HomeTeam], AF$1)</f>
        <v>4</v>
      </c>
      <c r="AG162" s="145">
        <f>SUMIFS(Table2[NewPointsAway],Table2[GameDate], "&lt;=" &amp; $A162, Table2[AwayTeam], AG$1)+SUMIFS(Table2[NewPointsHome],Table2[GameDate], "&lt;=" &amp; $A162, Table2[HomeTeam], AG$1)</f>
        <v>4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2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0</v>
      </c>
      <c r="E163" s="145">
        <f>SUMIFS(Table2[NewPointsAway],Table2[GameDate], "&lt;=" &amp; $A163, Table2[AwayTeam], E$1)+SUMIFS(Table2[NewPointsHome],Table2[GameDate], "&lt;=" &amp; $A163, Table2[HomeTeam], E$1)</f>
        <v>4</v>
      </c>
      <c r="F163" s="145">
        <f>SUMIFS(Table2[NewPointsAway],Table2[GameDate], "&lt;=" &amp; $A163, Table2[AwayTeam], F$1)+SUMIFS(Table2[NewPointsHome],Table2[GameDate], "&lt;=" &amp; $A163, Table2[HomeTeam], F$1)</f>
        <v>2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3</v>
      </c>
      <c r="I163" s="145">
        <f>SUMIFS(Table2[NewPointsAway],Table2[GameDate], "&lt;=" &amp; $A163, Table2[AwayTeam], I$1)+SUMIFS(Table2[NewPointsHome],Table2[GameDate], "&lt;=" &amp; $A163, Table2[HomeTeam], I$1)</f>
        <v>7</v>
      </c>
      <c r="J163" s="145">
        <f>SUMIFS(Table2[NewPointsAway],Table2[GameDate], "&lt;=" &amp; $A163, Table2[AwayTeam], J$1)+SUMIFS(Table2[NewPointsHome],Table2[GameDate], "&lt;=" &amp; $A163, Table2[HomeTeam], J$1)</f>
        <v>4</v>
      </c>
      <c r="K163" s="145">
        <f>SUMIFS(Table2[NewPointsAway],Table2[GameDate], "&lt;=" &amp; $A163, Table2[AwayTeam], K$1)+SUMIFS(Table2[NewPointsHome],Table2[GameDate], "&lt;=" &amp; $A163, Table2[HomeTeam], K$1)</f>
        <v>4</v>
      </c>
      <c r="L163" s="145">
        <f>SUMIFS(Table2[NewPointsAway],Table2[GameDate], "&lt;=" &amp; $A163, Table2[AwayTeam], L$1)+SUMIFS(Table2[NewPointsHome],Table2[GameDate], "&lt;=" &amp; $A163, Table2[HomeTeam], L$1)</f>
        <v>3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3</v>
      </c>
      <c r="O163" s="145">
        <f>SUMIFS(Table2[NewPointsAway],Table2[GameDate], "&lt;=" &amp; $A163, Table2[AwayTeam], O$1)+SUMIFS(Table2[NewPointsHome],Table2[GameDate], "&lt;=" &amp; $A163, Table2[HomeTeam], O$1)</f>
        <v>4</v>
      </c>
      <c r="P163" s="145">
        <f>SUMIFS(Table2[NewPointsAway],Table2[GameDate], "&lt;=" &amp; $A163, Table2[AwayTeam], P$1)+SUMIFS(Table2[NewPointsHome],Table2[GameDate], "&lt;=" &amp; $A163, Table2[HomeTeam], P$1)</f>
        <v>4</v>
      </c>
      <c r="Q163" s="145">
        <f>SUMIFS(Table2[NewPointsAway],Table2[GameDate], "&lt;=" &amp; $A163, Table2[AwayTeam], Q$1)+SUMIFS(Table2[NewPointsHome],Table2[GameDate], "&lt;=" &amp; $A163, Table2[HomeTeam], Q$1)</f>
        <v>4</v>
      </c>
      <c r="R163" s="145">
        <f>SUMIFS(Table2[NewPointsAway],Table2[GameDate], "&lt;=" &amp; $A163, Table2[AwayTeam], R$1)+SUMIFS(Table2[NewPointsHome],Table2[GameDate], "&lt;=" &amp; $A163, Table2[HomeTeam], R$1)</f>
        <v>5</v>
      </c>
      <c r="S163" s="145">
        <f>SUMIFS(Table2[NewPointsAway],Table2[GameDate], "&lt;=" &amp; $A163, Table2[AwayTeam], S$1)+SUMIFS(Table2[NewPointsHome],Table2[GameDate], "&lt;=" &amp; $A163, Table2[HomeTeam], S$1)</f>
        <v>0</v>
      </c>
      <c r="T163" s="145">
        <f>SUMIFS(Table2[NewPointsAway],Table2[GameDate], "&lt;=" &amp; $A163, Table2[AwayTeam], T$1)+SUMIFS(Table2[NewPointsHome],Table2[GameDate], "&lt;=" &amp; $A163, Table2[HomeTeam], T$1)</f>
        <v>4</v>
      </c>
      <c r="U163" s="145">
        <f>SUMIFS(Table2[NewPointsAway],Table2[GameDate], "&lt;=" &amp; $A163, Table2[AwayTeam], U$1)+SUMIFS(Table2[NewPointsHome],Table2[GameDate], "&lt;=" &amp; $A163, Table2[HomeTeam], U$1)</f>
        <v>2</v>
      </c>
      <c r="V163" s="145">
        <f>SUMIFS(Table2[NewPointsAway],Table2[GameDate], "&lt;=" &amp; $A163, Table2[AwayTeam], V$1)+SUMIFS(Table2[NewPointsHome],Table2[GameDate], "&lt;=" &amp; $A163, Table2[HomeTeam], V$1)</f>
        <v>3</v>
      </c>
      <c r="W163" s="145">
        <f>SUMIFS(Table2[NewPointsAway],Table2[GameDate], "&lt;=" &amp; $A163, Table2[AwayTeam], W$1)+SUMIFS(Table2[NewPointsHome],Table2[GameDate], "&lt;=" &amp; $A163, Table2[HomeTeam], W$1)</f>
        <v>4</v>
      </c>
      <c r="X163" s="145">
        <f>SUMIFS(Table2[NewPointsAway],Table2[GameDate], "&lt;=" &amp; $A163, Table2[AwayTeam], X$1)+SUMIFS(Table2[NewPointsHome],Table2[GameDate], "&lt;=" &amp; $A163, Table2[HomeTeam], X$1)</f>
        <v>4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4</v>
      </c>
      <c r="AA163" s="145">
        <f>SUMIFS(Table2[NewPointsAway],Table2[GameDate], "&lt;=" &amp; $A163, Table2[AwayTeam], AA$1)+SUMIFS(Table2[NewPointsHome],Table2[GameDate], "&lt;=" &amp; $A163, Table2[HomeTeam], AA$1)</f>
        <v>2</v>
      </c>
      <c r="AB163" s="145">
        <f>SUMIFS(Table2[NewPointsAway],Table2[GameDate], "&lt;=" &amp; $A163, Table2[AwayTeam], AB$1)+SUMIFS(Table2[NewPointsHome],Table2[GameDate], "&lt;=" &amp; $A163, Table2[HomeTeam], AB$1)</f>
        <v>2</v>
      </c>
      <c r="AC163" s="145">
        <f>SUMIFS(Table2[NewPointsAway],Table2[GameDate], "&lt;=" &amp; $A163, Table2[AwayTeam], AC$1)+SUMIFS(Table2[NewPointsHome],Table2[GameDate], "&lt;=" &amp; $A163, Table2[HomeTeam], AC$1)</f>
        <v>2</v>
      </c>
      <c r="AD163" s="145">
        <f>SUMIFS(Table2[NewPointsAway],Table2[GameDate], "&lt;=" &amp; $A163, Table2[AwayTeam], AD$1)+SUMIFS(Table2[NewPointsHome],Table2[GameDate], "&lt;=" &amp; $A163, Table2[HomeTeam], AD$1)</f>
        <v>2</v>
      </c>
      <c r="AE163" s="145">
        <f>SUMIFS(Table2[NewPointsAway],Table2[GameDate], "&lt;=" &amp; $A163, Table2[AwayTeam], AE$1)+SUMIFS(Table2[NewPointsHome],Table2[GameDate], "&lt;=" &amp; $A163, Table2[HomeTeam], AE$1)</f>
        <v>4</v>
      </c>
      <c r="AF163" s="145">
        <f>SUMIFS(Table2[NewPointsAway],Table2[GameDate], "&lt;=" &amp; $A163, Table2[AwayTeam], AF$1)+SUMIFS(Table2[NewPointsHome],Table2[GameDate], "&lt;=" &amp; $A163, Table2[HomeTeam], AF$1)</f>
        <v>4</v>
      </c>
      <c r="AG163" s="145">
        <f>SUMIFS(Table2[NewPointsAway],Table2[GameDate], "&lt;=" &amp; $A163, Table2[AwayTeam], AG$1)+SUMIFS(Table2[NewPointsHome],Table2[GameDate], "&lt;=" &amp; $A163, Table2[HomeTeam], AG$1)</f>
        <v>4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2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0</v>
      </c>
      <c r="E164" s="145">
        <f>SUMIFS(Table2[NewPointsAway],Table2[GameDate], "&lt;=" &amp; $A164, Table2[AwayTeam], E$1)+SUMIFS(Table2[NewPointsHome],Table2[GameDate], "&lt;=" &amp; $A164, Table2[HomeTeam], E$1)</f>
        <v>4</v>
      </c>
      <c r="F164" s="145">
        <f>SUMIFS(Table2[NewPointsAway],Table2[GameDate], "&lt;=" &amp; $A164, Table2[AwayTeam], F$1)+SUMIFS(Table2[NewPointsHome],Table2[GameDate], "&lt;=" &amp; $A164, Table2[HomeTeam], F$1)</f>
        <v>2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3</v>
      </c>
      <c r="I164" s="145">
        <f>SUMIFS(Table2[NewPointsAway],Table2[GameDate], "&lt;=" &amp; $A164, Table2[AwayTeam], I$1)+SUMIFS(Table2[NewPointsHome],Table2[GameDate], "&lt;=" &amp; $A164, Table2[HomeTeam], I$1)</f>
        <v>7</v>
      </c>
      <c r="J164" s="145">
        <f>SUMIFS(Table2[NewPointsAway],Table2[GameDate], "&lt;=" &amp; $A164, Table2[AwayTeam], J$1)+SUMIFS(Table2[NewPointsHome],Table2[GameDate], "&lt;=" &amp; $A164, Table2[HomeTeam], J$1)</f>
        <v>4</v>
      </c>
      <c r="K164" s="145">
        <f>SUMIFS(Table2[NewPointsAway],Table2[GameDate], "&lt;=" &amp; $A164, Table2[AwayTeam], K$1)+SUMIFS(Table2[NewPointsHome],Table2[GameDate], "&lt;=" &amp; $A164, Table2[HomeTeam], K$1)</f>
        <v>4</v>
      </c>
      <c r="L164" s="145">
        <f>SUMIFS(Table2[NewPointsAway],Table2[GameDate], "&lt;=" &amp; $A164, Table2[AwayTeam], L$1)+SUMIFS(Table2[NewPointsHome],Table2[GameDate], "&lt;=" &amp; $A164, Table2[HomeTeam], L$1)</f>
        <v>3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3</v>
      </c>
      <c r="O164" s="145">
        <f>SUMIFS(Table2[NewPointsAway],Table2[GameDate], "&lt;=" &amp; $A164, Table2[AwayTeam], O$1)+SUMIFS(Table2[NewPointsHome],Table2[GameDate], "&lt;=" &amp; $A164, Table2[HomeTeam], O$1)</f>
        <v>4</v>
      </c>
      <c r="P164" s="145">
        <f>SUMIFS(Table2[NewPointsAway],Table2[GameDate], "&lt;=" &amp; $A164, Table2[AwayTeam], P$1)+SUMIFS(Table2[NewPointsHome],Table2[GameDate], "&lt;=" &amp; $A164, Table2[HomeTeam], P$1)</f>
        <v>4</v>
      </c>
      <c r="Q164" s="145">
        <f>SUMIFS(Table2[NewPointsAway],Table2[GameDate], "&lt;=" &amp; $A164, Table2[AwayTeam], Q$1)+SUMIFS(Table2[NewPointsHome],Table2[GameDate], "&lt;=" &amp; $A164, Table2[HomeTeam], Q$1)</f>
        <v>4</v>
      </c>
      <c r="R164" s="145">
        <f>SUMIFS(Table2[NewPointsAway],Table2[GameDate], "&lt;=" &amp; $A164, Table2[AwayTeam], R$1)+SUMIFS(Table2[NewPointsHome],Table2[GameDate], "&lt;=" &amp; $A164, Table2[HomeTeam], R$1)</f>
        <v>5</v>
      </c>
      <c r="S164" s="145">
        <f>SUMIFS(Table2[NewPointsAway],Table2[GameDate], "&lt;=" &amp; $A164, Table2[AwayTeam], S$1)+SUMIFS(Table2[NewPointsHome],Table2[GameDate], "&lt;=" &amp; $A164, Table2[HomeTeam], S$1)</f>
        <v>0</v>
      </c>
      <c r="T164" s="145">
        <f>SUMIFS(Table2[NewPointsAway],Table2[GameDate], "&lt;=" &amp; $A164, Table2[AwayTeam], T$1)+SUMIFS(Table2[NewPointsHome],Table2[GameDate], "&lt;=" &amp; $A164, Table2[HomeTeam], T$1)</f>
        <v>4</v>
      </c>
      <c r="U164" s="145">
        <f>SUMIFS(Table2[NewPointsAway],Table2[GameDate], "&lt;=" &amp; $A164, Table2[AwayTeam], U$1)+SUMIFS(Table2[NewPointsHome],Table2[GameDate], "&lt;=" &amp; $A164, Table2[HomeTeam], U$1)</f>
        <v>2</v>
      </c>
      <c r="V164" s="145">
        <f>SUMIFS(Table2[NewPointsAway],Table2[GameDate], "&lt;=" &amp; $A164, Table2[AwayTeam], V$1)+SUMIFS(Table2[NewPointsHome],Table2[GameDate], "&lt;=" &amp; $A164, Table2[HomeTeam], V$1)</f>
        <v>3</v>
      </c>
      <c r="W164" s="145">
        <f>SUMIFS(Table2[NewPointsAway],Table2[GameDate], "&lt;=" &amp; $A164, Table2[AwayTeam], W$1)+SUMIFS(Table2[NewPointsHome],Table2[GameDate], "&lt;=" &amp; $A164, Table2[HomeTeam], W$1)</f>
        <v>4</v>
      </c>
      <c r="X164" s="145">
        <f>SUMIFS(Table2[NewPointsAway],Table2[GameDate], "&lt;=" &amp; $A164, Table2[AwayTeam], X$1)+SUMIFS(Table2[NewPointsHome],Table2[GameDate], "&lt;=" &amp; $A164, Table2[HomeTeam], X$1)</f>
        <v>4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4</v>
      </c>
      <c r="AA164" s="145">
        <f>SUMIFS(Table2[NewPointsAway],Table2[GameDate], "&lt;=" &amp; $A164, Table2[AwayTeam], AA$1)+SUMIFS(Table2[NewPointsHome],Table2[GameDate], "&lt;=" &amp; $A164, Table2[HomeTeam], AA$1)</f>
        <v>2</v>
      </c>
      <c r="AB164" s="145">
        <f>SUMIFS(Table2[NewPointsAway],Table2[GameDate], "&lt;=" &amp; $A164, Table2[AwayTeam], AB$1)+SUMIFS(Table2[NewPointsHome],Table2[GameDate], "&lt;=" &amp; $A164, Table2[HomeTeam], AB$1)</f>
        <v>2</v>
      </c>
      <c r="AC164" s="145">
        <f>SUMIFS(Table2[NewPointsAway],Table2[GameDate], "&lt;=" &amp; $A164, Table2[AwayTeam], AC$1)+SUMIFS(Table2[NewPointsHome],Table2[GameDate], "&lt;=" &amp; $A164, Table2[HomeTeam], AC$1)</f>
        <v>2</v>
      </c>
      <c r="AD164" s="145">
        <f>SUMIFS(Table2[NewPointsAway],Table2[GameDate], "&lt;=" &amp; $A164, Table2[AwayTeam], AD$1)+SUMIFS(Table2[NewPointsHome],Table2[GameDate], "&lt;=" &amp; $A164, Table2[HomeTeam], AD$1)</f>
        <v>2</v>
      </c>
      <c r="AE164" s="145">
        <f>SUMIFS(Table2[NewPointsAway],Table2[GameDate], "&lt;=" &amp; $A164, Table2[AwayTeam], AE$1)+SUMIFS(Table2[NewPointsHome],Table2[GameDate], "&lt;=" &amp; $A164, Table2[HomeTeam], AE$1)</f>
        <v>4</v>
      </c>
      <c r="AF164" s="145">
        <f>SUMIFS(Table2[NewPointsAway],Table2[GameDate], "&lt;=" &amp; $A164, Table2[AwayTeam], AF$1)+SUMIFS(Table2[NewPointsHome],Table2[GameDate], "&lt;=" &amp; $A164, Table2[HomeTeam], AF$1)</f>
        <v>4</v>
      </c>
      <c r="AG164" s="145">
        <f>SUMIFS(Table2[NewPointsAway],Table2[GameDate], "&lt;=" &amp; $A164, Table2[AwayTeam], AG$1)+SUMIFS(Table2[NewPointsHome],Table2[GameDate], "&lt;=" &amp; $A164, Table2[HomeTeam], AG$1)</f>
        <v>4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2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0</v>
      </c>
      <c r="E165" s="145">
        <f>SUMIFS(Table2[NewPointsAway],Table2[GameDate], "&lt;=" &amp; $A165, Table2[AwayTeam], E$1)+SUMIFS(Table2[NewPointsHome],Table2[GameDate], "&lt;=" &amp; $A165, Table2[HomeTeam], E$1)</f>
        <v>4</v>
      </c>
      <c r="F165" s="145">
        <f>SUMIFS(Table2[NewPointsAway],Table2[GameDate], "&lt;=" &amp; $A165, Table2[AwayTeam], F$1)+SUMIFS(Table2[NewPointsHome],Table2[GameDate], "&lt;=" &amp; $A165, Table2[HomeTeam], F$1)</f>
        <v>2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3</v>
      </c>
      <c r="I165" s="145">
        <f>SUMIFS(Table2[NewPointsAway],Table2[GameDate], "&lt;=" &amp; $A165, Table2[AwayTeam], I$1)+SUMIFS(Table2[NewPointsHome],Table2[GameDate], "&lt;=" &amp; $A165, Table2[HomeTeam], I$1)</f>
        <v>7</v>
      </c>
      <c r="J165" s="145">
        <f>SUMIFS(Table2[NewPointsAway],Table2[GameDate], "&lt;=" &amp; $A165, Table2[AwayTeam], J$1)+SUMIFS(Table2[NewPointsHome],Table2[GameDate], "&lt;=" &amp; $A165, Table2[HomeTeam], J$1)</f>
        <v>4</v>
      </c>
      <c r="K165" s="145">
        <f>SUMIFS(Table2[NewPointsAway],Table2[GameDate], "&lt;=" &amp; $A165, Table2[AwayTeam], K$1)+SUMIFS(Table2[NewPointsHome],Table2[GameDate], "&lt;=" &amp; $A165, Table2[HomeTeam], K$1)</f>
        <v>4</v>
      </c>
      <c r="L165" s="145">
        <f>SUMIFS(Table2[NewPointsAway],Table2[GameDate], "&lt;=" &amp; $A165, Table2[AwayTeam], L$1)+SUMIFS(Table2[NewPointsHome],Table2[GameDate], "&lt;=" &amp; $A165, Table2[HomeTeam], L$1)</f>
        <v>3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3</v>
      </c>
      <c r="O165" s="145">
        <f>SUMIFS(Table2[NewPointsAway],Table2[GameDate], "&lt;=" &amp; $A165, Table2[AwayTeam], O$1)+SUMIFS(Table2[NewPointsHome],Table2[GameDate], "&lt;=" &amp; $A165, Table2[HomeTeam], O$1)</f>
        <v>4</v>
      </c>
      <c r="P165" s="145">
        <f>SUMIFS(Table2[NewPointsAway],Table2[GameDate], "&lt;=" &amp; $A165, Table2[AwayTeam], P$1)+SUMIFS(Table2[NewPointsHome],Table2[GameDate], "&lt;=" &amp; $A165, Table2[HomeTeam], P$1)</f>
        <v>4</v>
      </c>
      <c r="Q165" s="145">
        <f>SUMIFS(Table2[NewPointsAway],Table2[GameDate], "&lt;=" &amp; $A165, Table2[AwayTeam], Q$1)+SUMIFS(Table2[NewPointsHome],Table2[GameDate], "&lt;=" &amp; $A165, Table2[HomeTeam], Q$1)</f>
        <v>4</v>
      </c>
      <c r="R165" s="145">
        <f>SUMIFS(Table2[NewPointsAway],Table2[GameDate], "&lt;=" &amp; $A165, Table2[AwayTeam], R$1)+SUMIFS(Table2[NewPointsHome],Table2[GameDate], "&lt;=" &amp; $A165, Table2[HomeTeam], R$1)</f>
        <v>5</v>
      </c>
      <c r="S165" s="145">
        <f>SUMIFS(Table2[NewPointsAway],Table2[GameDate], "&lt;=" &amp; $A165, Table2[AwayTeam], S$1)+SUMIFS(Table2[NewPointsHome],Table2[GameDate], "&lt;=" &amp; $A165, Table2[HomeTeam], S$1)</f>
        <v>0</v>
      </c>
      <c r="T165" s="145">
        <f>SUMIFS(Table2[NewPointsAway],Table2[GameDate], "&lt;=" &amp; $A165, Table2[AwayTeam], T$1)+SUMIFS(Table2[NewPointsHome],Table2[GameDate], "&lt;=" &amp; $A165, Table2[HomeTeam], T$1)</f>
        <v>4</v>
      </c>
      <c r="U165" s="145">
        <f>SUMIFS(Table2[NewPointsAway],Table2[GameDate], "&lt;=" &amp; $A165, Table2[AwayTeam], U$1)+SUMIFS(Table2[NewPointsHome],Table2[GameDate], "&lt;=" &amp; $A165, Table2[HomeTeam], U$1)</f>
        <v>2</v>
      </c>
      <c r="V165" s="145">
        <f>SUMIFS(Table2[NewPointsAway],Table2[GameDate], "&lt;=" &amp; $A165, Table2[AwayTeam], V$1)+SUMIFS(Table2[NewPointsHome],Table2[GameDate], "&lt;=" &amp; $A165, Table2[HomeTeam], V$1)</f>
        <v>3</v>
      </c>
      <c r="W165" s="145">
        <f>SUMIFS(Table2[NewPointsAway],Table2[GameDate], "&lt;=" &amp; $A165, Table2[AwayTeam], W$1)+SUMIFS(Table2[NewPointsHome],Table2[GameDate], "&lt;=" &amp; $A165, Table2[HomeTeam], W$1)</f>
        <v>4</v>
      </c>
      <c r="X165" s="145">
        <f>SUMIFS(Table2[NewPointsAway],Table2[GameDate], "&lt;=" &amp; $A165, Table2[AwayTeam], X$1)+SUMIFS(Table2[NewPointsHome],Table2[GameDate], "&lt;=" &amp; $A165, Table2[HomeTeam], X$1)</f>
        <v>4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4</v>
      </c>
      <c r="AA165" s="145">
        <f>SUMIFS(Table2[NewPointsAway],Table2[GameDate], "&lt;=" &amp; $A165, Table2[AwayTeam], AA$1)+SUMIFS(Table2[NewPointsHome],Table2[GameDate], "&lt;=" &amp; $A165, Table2[HomeTeam], AA$1)</f>
        <v>2</v>
      </c>
      <c r="AB165" s="145">
        <f>SUMIFS(Table2[NewPointsAway],Table2[GameDate], "&lt;=" &amp; $A165, Table2[AwayTeam], AB$1)+SUMIFS(Table2[NewPointsHome],Table2[GameDate], "&lt;=" &amp; $A165, Table2[HomeTeam], AB$1)</f>
        <v>2</v>
      </c>
      <c r="AC165" s="145">
        <f>SUMIFS(Table2[NewPointsAway],Table2[GameDate], "&lt;=" &amp; $A165, Table2[AwayTeam], AC$1)+SUMIFS(Table2[NewPointsHome],Table2[GameDate], "&lt;=" &amp; $A165, Table2[HomeTeam], AC$1)</f>
        <v>2</v>
      </c>
      <c r="AD165" s="145">
        <f>SUMIFS(Table2[NewPointsAway],Table2[GameDate], "&lt;=" &amp; $A165, Table2[AwayTeam], AD$1)+SUMIFS(Table2[NewPointsHome],Table2[GameDate], "&lt;=" &amp; $A165, Table2[HomeTeam], AD$1)</f>
        <v>2</v>
      </c>
      <c r="AE165" s="145">
        <f>SUMIFS(Table2[NewPointsAway],Table2[GameDate], "&lt;=" &amp; $A165, Table2[AwayTeam], AE$1)+SUMIFS(Table2[NewPointsHome],Table2[GameDate], "&lt;=" &amp; $A165, Table2[HomeTeam], AE$1)</f>
        <v>4</v>
      </c>
      <c r="AF165" s="145">
        <f>SUMIFS(Table2[NewPointsAway],Table2[GameDate], "&lt;=" &amp; $A165, Table2[AwayTeam], AF$1)+SUMIFS(Table2[NewPointsHome],Table2[GameDate], "&lt;=" &amp; $A165, Table2[HomeTeam], AF$1)</f>
        <v>4</v>
      </c>
      <c r="AG165" s="145">
        <f>SUMIFS(Table2[NewPointsAway],Table2[GameDate], "&lt;=" &amp; $A165, Table2[AwayTeam], AG$1)+SUMIFS(Table2[NewPointsHome],Table2[GameDate], "&lt;=" &amp; $A165, Table2[HomeTeam], AG$1)</f>
        <v>4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2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0</v>
      </c>
      <c r="E166" s="145">
        <f>SUMIFS(Table2[NewPointsAway],Table2[GameDate], "&lt;=" &amp; $A166, Table2[AwayTeam], E$1)+SUMIFS(Table2[NewPointsHome],Table2[GameDate], "&lt;=" &amp; $A166, Table2[HomeTeam], E$1)</f>
        <v>4</v>
      </c>
      <c r="F166" s="145">
        <f>SUMIFS(Table2[NewPointsAway],Table2[GameDate], "&lt;=" &amp; $A166, Table2[AwayTeam], F$1)+SUMIFS(Table2[NewPointsHome],Table2[GameDate], "&lt;=" &amp; $A166, Table2[HomeTeam], F$1)</f>
        <v>2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3</v>
      </c>
      <c r="I166" s="145">
        <f>SUMIFS(Table2[NewPointsAway],Table2[GameDate], "&lt;=" &amp; $A166, Table2[AwayTeam], I$1)+SUMIFS(Table2[NewPointsHome],Table2[GameDate], "&lt;=" &amp; $A166, Table2[HomeTeam], I$1)</f>
        <v>7</v>
      </c>
      <c r="J166" s="145">
        <f>SUMIFS(Table2[NewPointsAway],Table2[GameDate], "&lt;=" &amp; $A166, Table2[AwayTeam], J$1)+SUMIFS(Table2[NewPointsHome],Table2[GameDate], "&lt;=" &amp; $A166, Table2[HomeTeam], J$1)</f>
        <v>4</v>
      </c>
      <c r="K166" s="145">
        <f>SUMIFS(Table2[NewPointsAway],Table2[GameDate], "&lt;=" &amp; $A166, Table2[AwayTeam], K$1)+SUMIFS(Table2[NewPointsHome],Table2[GameDate], "&lt;=" &amp; $A166, Table2[HomeTeam], K$1)</f>
        <v>4</v>
      </c>
      <c r="L166" s="145">
        <f>SUMIFS(Table2[NewPointsAway],Table2[GameDate], "&lt;=" &amp; $A166, Table2[AwayTeam], L$1)+SUMIFS(Table2[NewPointsHome],Table2[GameDate], "&lt;=" &amp; $A166, Table2[HomeTeam], L$1)</f>
        <v>3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3</v>
      </c>
      <c r="O166" s="145">
        <f>SUMIFS(Table2[NewPointsAway],Table2[GameDate], "&lt;=" &amp; $A166, Table2[AwayTeam], O$1)+SUMIFS(Table2[NewPointsHome],Table2[GameDate], "&lt;=" &amp; $A166, Table2[HomeTeam], O$1)</f>
        <v>4</v>
      </c>
      <c r="P166" s="145">
        <f>SUMIFS(Table2[NewPointsAway],Table2[GameDate], "&lt;=" &amp; $A166, Table2[AwayTeam], P$1)+SUMIFS(Table2[NewPointsHome],Table2[GameDate], "&lt;=" &amp; $A166, Table2[HomeTeam], P$1)</f>
        <v>4</v>
      </c>
      <c r="Q166" s="145">
        <f>SUMIFS(Table2[NewPointsAway],Table2[GameDate], "&lt;=" &amp; $A166, Table2[AwayTeam], Q$1)+SUMIFS(Table2[NewPointsHome],Table2[GameDate], "&lt;=" &amp; $A166, Table2[HomeTeam], Q$1)</f>
        <v>4</v>
      </c>
      <c r="R166" s="145">
        <f>SUMIFS(Table2[NewPointsAway],Table2[GameDate], "&lt;=" &amp; $A166, Table2[AwayTeam], R$1)+SUMIFS(Table2[NewPointsHome],Table2[GameDate], "&lt;=" &amp; $A166, Table2[HomeTeam], R$1)</f>
        <v>5</v>
      </c>
      <c r="S166" s="145">
        <f>SUMIFS(Table2[NewPointsAway],Table2[GameDate], "&lt;=" &amp; $A166, Table2[AwayTeam], S$1)+SUMIFS(Table2[NewPointsHome],Table2[GameDate], "&lt;=" &amp; $A166, Table2[HomeTeam], S$1)</f>
        <v>0</v>
      </c>
      <c r="T166" s="145">
        <f>SUMIFS(Table2[NewPointsAway],Table2[GameDate], "&lt;=" &amp; $A166, Table2[AwayTeam], T$1)+SUMIFS(Table2[NewPointsHome],Table2[GameDate], "&lt;=" &amp; $A166, Table2[HomeTeam], T$1)</f>
        <v>4</v>
      </c>
      <c r="U166" s="145">
        <f>SUMIFS(Table2[NewPointsAway],Table2[GameDate], "&lt;=" &amp; $A166, Table2[AwayTeam], U$1)+SUMIFS(Table2[NewPointsHome],Table2[GameDate], "&lt;=" &amp; $A166, Table2[HomeTeam], U$1)</f>
        <v>2</v>
      </c>
      <c r="V166" s="145">
        <f>SUMIFS(Table2[NewPointsAway],Table2[GameDate], "&lt;=" &amp; $A166, Table2[AwayTeam], V$1)+SUMIFS(Table2[NewPointsHome],Table2[GameDate], "&lt;=" &amp; $A166, Table2[HomeTeam], V$1)</f>
        <v>3</v>
      </c>
      <c r="W166" s="145">
        <f>SUMIFS(Table2[NewPointsAway],Table2[GameDate], "&lt;=" &amp; $A166, Table2[AwayTeam], W$1)+SUMIFS(Table2[NewPointsHome],Table2[GameDate], "&lt;=" &amp; $A166, Table2[HomeTeam], W$1)</f>
        <v>4</v>
      </c>
      <c r="X166" s="145">
        <f>SUMIFS(Table2[NewPointsAway],Table2[GameDate], "&lt;=" &amp; $A166, Table2[AwayTeam], X$1)+SUMIFS(Table2[NewPointsHome],Table2[GameDate], "&lt;=" &amp; $A166, Table2[HomeTeam], X$1)</f>
        <v>4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4</v>
      </c>
      <c r="AA166" s="145">
        <f>SUMIFS(Table2[NewPointsAway],Table2[GameDate], "&lt;=" &amp; $A166, Table2[AwayTeam], AA$1)+SUMIFS(Table2[NewPointsHome],Table2[GameDate], "&lt;=" &amp; $A166, Table2[HomeTeam], AA$1)</f>
        <v>2</v>
      </c>
      <c r="AB166" s="145">
        <f>SUMIFS(Table2[NewPointsAway],Table2[GameDate], "&lt;=" &amp; $A166, Table2[AwayTeam], AB$1)+SUMIFS(Table2[NewPointsHome],Table2[GameDate], "&lt;=" &amp; $A166, Table2[HomeTeam], AB$1)</f>
        <v>2</v>
      </c>
      <c r="AC166" s="145">
        <f>SUMIFS(Table2[NewPointsAway],Table2[GameDate], "&lt;=" &amp; $A166, Table2[AwayTeam], AC$1)+SUMIFS(Table2[NewPointsHome],Table2[GameDate], "&lt;=" &amp; $A166, Table2[HomeTeam], AC$1)</f>
        <v>2</v>
      </c>
      <c r="AD166" s="145">
        <f>SUMIFS(Table2[NewPointsAway],Table2[GameDate], "&lt;=" &amp; $A166, Table2[AwayTeam], AD$1)+SUMIFS(Table2[NewPointsHome],Table2[GameDate], "&lt;=" &amp; $A166, Table2[HomeTeam], AD$1)</f>
        <v>2</v>
      </c>
      <c r="AE166" s="145">
        <f>SUMIFS(Table2[NewPointsAway],Table2[GameDate], "&lt;=" &amp; $A166, Table2[AwayTeam], AE$1)+SUMIFS(Table2[NewPointsHome],Table2[GameDate], "&lt;=" &amp; $A166, Table2[HomeTeam], AE$1)</f>
        <v>4</v>
      </c>
      <c r="AF166" s="145">
        <f>SUMIFS(Table2[NewPointsAway],Table2[GameDate], "&lt;=" &amp; $A166, Table2[AwayTeam], AF$1)+SUMIFS(Table2[NewPointsHome],Table2[GameDate], "&lt;=" &amp; $A166, Table2[HomeTeam], AF$1)</f>
        <v>4</v>
      </c>
      <c r="AG166" s="145">
        <f>SUMIFS(Table2[NewPointsAway],Table2[GameDate], "&lt;=" &amp; $A166, Table2[AwayTeam], AG$1)+SUMIFS(Table2[NewPointsHome],Table2[GameDate], "&lt;=" &amp; $A166, Table2[HomeTeam], AG$1)</f>
        <v>4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2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0</v>
      </c>
      <c r="E167" s="145">
        <f>SUMIFS(Table2[NewPointsAway],Table2[GameDate], "&lt;=" &amp; $A167, Table2[AwayTeam], E$1)+SUMIFS(Table2[NewPointsHome],Table2[GameDate], "&lt;=" &amp; $A167, Table2[HomeTeam], E$1)</f>
        <v>4</v>
      </c>
      <c r="F167" s="145">
        <f>SUMIFS(Table2[NewPointsAway],Table2[GameDate], "&lt;=" &amp; $A167, Table2[AwayTeam], F$1)+SUMIFS(Table2[NewPointsHome],Table2[GameDate], "&lt;=" &amp; $A167, Table2[HomeTeam], F$1)</f>
        <v>2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3</v>
      </c>
      <c r="I167" s="145">
        <f>SUMIFS(Table2[NewPointsAway],Table2[GameDate], "&lt;=" &amp; $A167, Table2[AwayTeam], I$1)+SUMIFS(Table2[NewPointsHome],Table2[GameDate], "&lt;=" &amp; $A167, Table2[HomeTeam], I$1)</f>
        <v>7</v>
      </c>
      <c r="J167" s="145">
        <f>SUMIFS(Table2[NewPointsAway],Table2[GameDate], "&lt;=" &amp; $A167, Table2[AwayTeam], J$1)+SUMIFS(Table2[NewPointsHome],Table2[GameDate], "&lt;=" &amp; $A167, Table2[HomeTeam], J$1)</f>
        <v>4</v>
      </c>
      <c r="K167" s="145">
        <f>SUMIFS(Table2[NewPointsAway],Table2[GameDate], "&lt;=" &amp; $A167, Table2[AwayTeam], K$1)+SUMIFS(Table2[NewPointsHome],Table2[GameDate], "&lt;=" &amp; $A167, Table2[HomeTeam], K$1)</f>
        <v>4</v>
      </c>
      <c r="L167" s="145">
        <f>SUMIFS(Table2[NewPointsAway],Table2[GameDate], "&lt;=" &amp; $A167, Table2[AwayTeam], L$1)+SUMIFS(Table2[NewPointsHome],Table2[GameDate], "&lt;=" &amp; $A167, Table2[HomeTeam], L$1)</f>
        <v>3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3</v>
      </c>
      <c r="O167" s="145">
        <f>SUMIFS(Table2[NewPointsAway],Table2[GameDate], "&lt;=" &amp; $A167, Table2[AwayTeam], O$1)+SUMIFS(Table2[NewPointsHome],Table2[GameDate], "&lt;=" &amp; $A167, Table2[HomeTeam], O$1)</f>
        <v>4</v>
      </c>
      <c r="P167" s="145">
        <f>SUMIFS(Table2[NewPointsAway],Table2[GameDate], "&lt;=" &amp; $A167, Table2[AwayTeam], P$1)+SUMIFS(Table2[NewPointsHome],Table2[GameDate], "&lt;=" &amp; $A167, Table2[HomeTeam], P$1)</f>
        <v>4</v>
      </c>
      <c r="Q167" s="145">
        <f>SUMIFS(Table2[NewPointsAway],Table2[GameDate], "&lt;=" &amp; $A167, Table2[AwayTeam], Q$1)+SUMIFS(Table2[NewPointsHome],Table2[GameDate], "&lt;=" &amp; $A167, Table2[HomeTeam], Q$1)</f>
        <v>4</v>
      </c>
      <c r="R167" s="145">
        <f>SUMIFS(Table2[NewPointsAway],Table2[GameDate], "&lt;=" &amp; $A167, Table2[AwayTeam], R$1)+SUMIFS(Table2[NewPointsHome],Table2[GameDate], "&lt;=" &amp; $A167, Table2[HomeTeam], R$1)</f>
        <v>5</v>
      </c>
      <c r="S167" s="145">
        <f>SUMIFS(Table2[NewPointsAway],Table2[GameDate], "&lt;=" &amp; $A167, Table2[AwayTeam], S$1)+SUMIFS(Table2[NewPointsHome],Table2[GameDate], "&lt;=" &amp; $A167, Table2[HomeTeam], S$1)</f>
        <v>0</v>
      </c>
      <c r="T167" s="145">
        <f>SUMIFS(Table2[NewPointsAway],Table2[GameDate], "&lt;=" &amp; $A167, Table2[AwayTeam], T$1)+SUMIFS(Table2[NewPointsHome],Table2[GameDate], "&lt;=" &amp; $A167, Table2[HomeTeam], T$1)</f>
        <v>4</v>
      </c>
      <c r="U167" s="145">
        <f>SUMIFS(Table2[NewPointsAway],Table2[GameDate], "&lt;=" &amp; $A167, Table2[AwayTeam], U$1)+SUMIFS(Table2[NewPointsHome],Table2[GameDate], "&lt;=" &amp; $A167, Table2[HomeTeam], U$1)</f>
        <v>2</v>
      </c>
      <c r="V167" s="145">
        <f>SUMIFS(Table2[NewPointsAway],Table2[GameDate], "&lt;=" &amp; $A167, Table2[AwayTeam], V$1)+SUMIFS(Table2[NewPointsHome],Table2[GameDate], "&lt;=" &amp; $A167, Table2[HomeTeam], V$1)</f>
        <v>3</v>
      </c>
      <c r="W167" s="145">
        <f>SUMIFS(Table2[NewPointsAway],Table2[GameDate], "&lt;=" &amp; $A167, Table2[AwayTeam], W$1)+SUMIFS(Table2[NewPointsHome],Table2[GameDate], "&lt;=" &amp; $A167, Table2[HomeTeam], W$1)</f>
        <v>4</v>
      </c>
      <c r="X167" s="145">
        <f>SUMIFS(Table2[NewPointsAway],Table2[GameDate], "&lt;=" &amp; $A167, Table2[AwayTeam], X$1)+SUMIFS(Table2[NewPointsHome],Table2[GameDate], "&lt;=" &amp; $A167, Table2[HomeTeam], X$1)</f>
        <v>4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4</v>
      </c>
      <c r="AA167" s="145">
        <f>SUMIFS(Table2[NewPointsAway],Table2[GameDate], "&lt;=" &amp; $A167, Table2[AwayTeam], AA$1)+SUMIFS(Table2[NewPointsHome],Table2[GameDate], "&lt;=" &amp; $A167, Table2[HomeTeam], AA$1)</f>
        <v>2</v>
      </c>
      <c r="AB167" s="145">
        <f>SUMIFS(Table2[NewPointsAway],Table2[GameDate], "&lt;=" &amp; $A167, Table2[AwayTeam], AB$1)+SUMIFS(Table2[NewPointsHome],Table2[GameDate], "&lt;=" &amp; $A167, Table2[HomeTeam], AB$1)</f>
        <v>2</v>
      </c>
      <c r="AC167" s="145">
        <f>SUMIFS(Table2[NewPointsAway],Table2[GameDate], "&lt;=" &amp; $A167, Table2[AwayTeam], AC$1)+SUMIFS(Table2[NewPointsHome],Table2[GameDate], "&lt;=" &amp; $A167, Table2[HomeTeam], AC$1)</f>
        <v>2</v>
      </c>
      <c r="AD167" s="145">
        <f>SUMIFS(Table2[NewPointsAway],Table2[GameDate], "&lt;=" &amp; $A167, Table2[AwayTeam], AD$1)+SUMIFS(Table2[NewPointsHome],Table2[GameDate], "&lt;=" &amp; $A167, Table2[HomeTeam], AD$1)</f>
        <v>2</v>
      </c>
      <c r="AE167" s="145">
        <f>SUMIFS(Table2[NewPointsAway],Table2[GameDate], "&lt;=" &amp; $A167, Table2[AwayTeam], AE$1)+SUMIFS(Table2[NewPointsHome],Table2[GameDate], "&lt;=" &amp; $A167, Table2[HomeTeam], AE$1)</f>
        <v>4</v>
      </c>
      <c r="AF167" s="145">
        <f>SUMIFS(Table2[NewPointsAway],Table2[GameDate], "&lt;=" &amp; $A167, Table2[AwayTeam], AF$1)+SUMIFS(Table2[NewPointsHome],Table2[GameDate], "&lt;=" &amp; $A167, Table2[HomeTeam], AF$1)</f>
        <v>4</v>
      </c>
      <c r="AG167" s="145">
        <f>SUMIFS(Table2[NewPointsAway],Table2[GameDate], "&lt;=" &amp; $A167, Table2[AwayTeam], AG$1)+SUMIFS(Table2[NewPointsHome],Table2[GameDate], "&lt;=" &amp; $A167, Table2[HomeTeam], AG$1)</f>
        <v>4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2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0</v>
      </c>
      <c r="E168" s="145">
        <f>SUMIFS(Table2[NewPointsAway],Table2[GameDate], "&lt;=" &amp; $A168, Table2[AwayTeam], E$1)+SUMIFS(Table2[NewPointsHome],Table2[GameDate], "&lt;=" &amp; $A168, Table2[HomeTeam], E$1)</f>
        <v>4</v>
      </c>
      <c r="F168" s="145">
        <f>SUMIFS(Table2[NewPointsAway],Table2[GameDate], "&lt;=" &amp; $A168, Table2[AwayTeam], F$1)+SUMIFS(Table2[NewPointsHome],Table2[GameDate], "&lt;=" &amp; $A168, Table2[HomeTeam], F$1)</f>
        <v>2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3</v>
      </c>
      <c r="I168" s="145">
        <f>SUMIFS(Table2[NewPointsAway],Table2[GameDate], "&lt;=" &amp; $A168, Table2[AwayTeam], I$1)+SUMIFS(Table2[NewPointsHome],Table2[GameDate], "&lt;=" &amp; $A168, Table2[HomeTeam], I$1)</f>
        <v>7</v>
      </c>
      <c r="J168" s="145">
        <f>SUMIFS(Table2[NewPointsAway],Table2[GameDate], "&lt;=" &amp; $A168, Table2[AwayTeam], J$1)+SUMIFS(Table2[NewPointsHome],Table2[GameDate], "&lt;=" &amp; $A168, Table2[HomeTeam], J$1)</f>
        <v>4</v>
      </c>
      <c r="K168" s="145">
        <f>SUMIFS(Table2[NewPointsAway],Table2[GameDate], "&lt;=" &amp; $A168, Table2[AwayTeam], K$1)+SUMIFS(Table2[NewPointsHome],Table2[GameDate], "&lt;=" &amp; $A168, Table2[HomeTeam], K$1)</f>
        <v>4</v>
      </c>
      <c r="L168" s="145">
        <f>SUMIFS(Table2[NewPointsAway],Table2[GameDate], "&lt;=" &amp; $A168, Table2[AwayTeam], L$1)+SUMIFS(Table2[NewPointsHome],Table2[GameDate], "&lt;=" &amp; $A168, Table2[HomeTeam], L$1)</f>
        <v>3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3</v>
      </c>
      <c r="O168" s="145">
        <f>SUMIFS(Table2[NewPointsAway],Table2[GameDate], "&lt;=" &amp; $A168, Table2[AwayTeam], O$1)+SUMIFS(Table2[NewPointsHome],Table2[GameDate], "&lt;=" &amp; $A168, Table2[HomeTeam], O$1)</f>
        <v>4</v>
      </c>
      <c r="P168" s="145">
        <f>SUMIFS(Table2[NewPointsAway],Table2[GameDate], "&lt;=" &amp; $A168, Table2[AwayTeam], P$1)+SUMIFS(Table2[NewPointsHome],Table2[GameDate], "&lt;=" &amp; $A168, Table2[HomeTeam], P$1)</f>
        <v>4</v>
      </c>
      <c r="Q168" s="145">
        <f>SUMIFS(Table2[NewPointsAway],Table2[GameDate], "&lt;=" &amp; $A168, Table2[AwayTeam], Q$1)+SUMIFS(Table2[NewPointsHome],Table2[GameDate], "&lt;=" &amp; $A168, Table2[HomeTeam], Q$1)</f>
        <v>4</v>
      </c>
      <c r="R168" s="145">
        <f>SUMIFS(Table2[NewPointsAway],Table2[GameDate], "&lt;=" &amp; $A168, Table2[AwayTeam], R$1)+SUMIFS(Table2[NewPointsHome],Table2[GameDate], "&lt;=" &amp; $A168, Table2[HomeTeam], R$1)</f>
        <v>5</v>
      </c>
      <c r="S168" s="145">
        <f>SUMIFS(Table2[NewPointsAway],Table2[GameDate], "&lt;=" &amp; $A168, Table2[AwayTeam], S$1)+SUMIFS(Table2[NewPointsHome],Table2[GameDate], "&lt;=" &amp; $A168, Table2[HomeTeam], S$1)</f>
        <v>0</v>
      </c>
      <c r="T168" s="145">
        <f>SUMIFS(Table2[NewPointsAway],Table2[GameDate], "&lt;=" &amp; $A168, Table2[AwayTeam], T$1)+SUMIFS(Table2[NewPointsHome],Table2[GameDate], "&lt;=" &amp; $A168, Table2[HomeTeam], T$1)</f>
        <v>4</v>
      </c>
      <c r="U168" s="145">
        <f>SUMIFS(Table2[NewPointsAway],Table2[GameDate], "&lt;=" &amp; $A168, Table2[AwayTeam], U$1)+SUMIFS(Table2[NewPointsHome],Table2[GameDate], "&lt;=" &amp; $A168, Table2[HomeTeam], U$1)</f>
        <v>2</v>
      </c>
      <c r="V168" s="145">
        <f>SUMIFS(Table2[NewPointsAway],Table2[GameDate], "&lt;=" &amp; $A168, Table2[AwayTeam], V$1)+SUMIFS(Table2[NewPointsHome],Table2[GameDate], "&lt;=" &amp; $A168, Table2[HomeTeam], V$1)</f>
        <v>3</v>
      </c>
      <c r="W168" s="145">
        <f>SUMIFS(Table2[NewPointsAway],Table2[GameDate], "&lt;=" &amp; $A168, Table2[AwayTeam], W$1)+SUMIFS(Table2[NewPointsHome],Table2[GameDate], "&lt;=" &amp; $A168, Table2[HomeTeam], W$1)</f>
        <v>4</v>
      </c>
      <c r="X168" s="145">
        <f>SUMIFS(Table2[NewPointsAway],Table2[GameDate], "&lt;=" &amp; $A168, Table2[AwayTeam], X$1)+SUMIFS(Table2[NewPointsHome],Table2[GameDate], "&lt;=" &amp; $A168, Table2[HomeTeam], X$1)</f>
        <v>4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4</v>
      </c>
      <c r="AA168" s="145">
        <f>SUMIFS(Table2[NewPointsAway],Table2[GameDate], "&lt;=" &amp; $A168, Table2[AwayTeam], AA$1)+SUMIFS(Table2[NewPointsHome],Table2[GameDate], "&lt;=" &amp; $A168, Table2[HomeTeam], AA$1)</f>
        <v>2</v>
      </c>
      <c r="AB168" s="145">
        <f>SUMIFS(Table2[NewPointsAway],Table2[GameDate], "&lt;=" &amp; $A168, Table2[AwayTeam], AB$1)+SUMIFS(Table2[NewPointsHome],Table2[GameDate], "&lt;=" &amp; $A168, Table2[HomeTeam], AB$1)</f>
        <v>2</v>
      </c>
      <c r="AC168" s="145">
        <f>SUMIFS(Table2[NewPointsAway],Table2[GameDate], "&lt;=" &amp; $A168, Table2[AwayTeam], AC$1)+SUMIFS(Table2[NewPointsHome],Table2[GameDate], "&lt;=" &amp; $A168, Table2[HomeTeam], AC$1)</f>
        <v>2</v>
      </c>
      <c r="AD168" s="145">
        <f>SUMIFS(Table2[NewPointsAway],Table2[GameDate], "&lt;=" &amp; $A168, Table2[AwayTeam], AD$1)+SUMIFS(Table2[NewPointsHome],Table2[GameDate], "&lt;=" &amp; $A168, Table2[HomeTeam], AD$1)</f>
        <v>2</v>
      </c>
      <c r="AE168" s="145">
        <f>SUMIFS(Table2[NewPointsAway],Table2[GameDate], "&lt;=" &amp; $A168, Table2[AwayTeam], AE$1)+SUMIFS(Table2[NewPointsHome],Table2[GameDate], "&lt;=" &amp; $A168, Table2[HomeTeam], AE$1)</f>
        <v>4</v>
      </c>
      <c r="AF168" s="145">
        <f>SUMIFS(Table2[NewPointsAway],Table2[GameDate], "&lt;=" &amp; $A168, Table2[AwayTeam], AF$1)+SUMIFS(Table2[NewPointsHome],Table2[GameDate], "&lt;=" &amp; $A168, Table2[HomeTeam], AF$1)</f>
        <v>4</v>
      </c>
      <c r="AG168" s="145">
        <f>SUMIFS(Table2[NewPointsAway],Table2[GameDate], "&lt;=" &amp; $A168, Table2[AwayTeam], AG$1)+SUMIFS(Table2[NewPointsHome],Table2[GameDate], "&lt;=" &amp; $A168, Table2[HomeTeam], AG$1)</f>
        <v>4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2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0</v>
      </c>
      <c r="E169" s="145">
        <f>SUMIFS(Table2[NewPointsAway],Table2[GameDate], "&lt;=" &amp; $A169, Table2[AwayTeam], E$1)+SUMIFS(Table2[NewPointsHome],Table2[GameDate], "&lt;=" &amp; $A169, Table2[HomeTeam], E$1)</f>
        <v>4</v>
      </c>
      <c r="F169" s="145">
        <f>SUMIFS(Table2[NewPointsAway],Table2[GameDate], "&lt;=" &amp; $A169, Table2[AwayTeam], F$1)+SUMIFS(Table2[NewPointsHome],Table2[GameDate], "&lt;=" &amp; $A169, Table2[HomeTeam], F$1)</f>
        <v>2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3</v>
      </c>
      <c r="I169" s="145">
        <f>SUMIFS(Table2[NewPointsAway],Table2[GameDate], "&lt;=" &amp; $A169, Table2[AwayTeam], I$1)+SUMIFS(Table2[NewPointsHome],Table2[GameDate], "&lt;=" &amp; $A169, Table2[HomeTeam], I$1)</f>
        <v>7</v>
      </c>
      <c r="J169" s="145">
        <f>SUMIFS(Table2[NewPointsAway],Table2[GameDate], "&lt;=" &amp; $A169, Table2[AwayTeam], J$1)+SUMIFS(Table2[NewPointsHome],Table2[GameDate], "&lt;=" &amp; $A169, Table2[HomeTeam], J$1)</f>
        <v>4</v>
      </c>
      <c r="K169" s="145">
        <f>SUMIFS(Table2[NewPointsAway],Table2[GameDate], "&lt;=" &amp; $A169, Table2[AwayTeam], K$1)+SUMIFS(Table2[NewPointsHome],Table2[GameDate], "&lt;=" &amp; $A169, Table2[HomeTeam], K$1)</f>
        <v>4</v>
      </c>
      <c r="L169" s="145">
        <f>SUMIFS(Table2[NewPointsAway],Table2[GameDate], "&lt;=" &amp; $A169, Table2[AwayTeam], L$1)+SUMIFS(Table2[NewPointsHome],Table2[GameDate], "&lt;=" &amp; $A169, Table2[HomeTeam], L$1)</f>
        <v>3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3</v>
      </c>
      <c r="O169" s="145">
        <f>SUMIFS(Table2[NewPointsAway],Table2[GameDate], "&lt;=" &amp; $A169, Table2[AwayTeam], O$1)+SUMIFS(Table2[NewPointsHome],Table2[GameDate], "&lt;=" &amp; $A169, Table2[HomeTeam], O$1)</f>
        <v>4</v>
      </c>
      <c r="P169" s="145">
        <f>SUMIFS(Table2[NewPointsAway],Table2[GameDate], "&lt;=" &amp; $A169, Table2[AwayTeam], P$1)+SUMIFS(Table2[NewPointsHome],Table2[GameDate], "&lt;=" &amp; $A169, Table2[HomeTeam], P$1)</f>
        <v>4</v>
      </c>
      <c r="Q169" s="145">
        <f>SUMIFS(Table2[NewPointsAway],Table2[GameDate], "&lt;=" &amp; $A169, Table2[AwayTeam], Q$1)+SUMIFS(Table2[NewPointsHome],Table2[GameDate], "&lt;=" &amp; $A169, Table2[HomeTeam], Q$1)</f>
        <v>4</v>
      </c>
      <c r="R169" s="145">
        <f>SUMIFS(Table2[NewPointsAway],Table2[GameDate], "&lt;=" &amp; $A169, Table2[AwayTeam], R$1)+SUMIFS(Table2[NewPointsHome],Table2[GameDate], "&lt;=" &amp; $A169, Table2[HomeTeam], R$1)</f>
        <v>5</v>
      </c>
      <c r="S169" s="145">
        <f>SUMIFS(Table2[NewPointsAway],Table2[GameDate], "&lt;=" &amp; $A169, Table2[AwayTeam], S$1)+SUMIFS(Table2[NewPointsHome],Table2[GameDate], "&lt;=" &amp; $A169, Table2[HomeTeam], S$1)</f>
        <v>0</v>
      </c>
      <c r="T169" s="145">
        <f>SUMIFS(Table2[NewPointsAway],Table2[GameDate], "&lt;=" &amp; $A169, Table2[AwayTeam], T$1)+SUMIFS(Table2[NewPointsHome],Table2[GameDate], "&lt;=" &amp; $A169, Table2[HomeTeam], T$1)</f>
        <v>4</v>
      </c>
      <c r="U169" s="145">
        <f>SUMIFS(Table2[NewPointsAway],Table2[GameDate], "&lt;=" &amp; $A169, Table2[AwayTeam], U$1)+SUMIFS(Table2[NewPointsHome],Table2[GameDate], "&lt;=" &amp; $A169, Table2[HomeTeam], U$1)</f>
        <v>2</v>
      </c>
      <c r="V169" s="145">
        <f>SUMIFS(Table2[NewPointsAway],Table2[GameDate], "&lt;=" &amp; $A169, Table2[AwayTeam], V$1)+SUMIFS(Table2[NewPointsHome],Table2[GameDate], "&lt;=" &amp; $A169, Table2[HomeTeam], V$1)</f>
        <v>3</v>
      </c>
      <c r="W169" s="145">
        <f>SUMIFS(Table2[NewPointsAway],Table2[GameDate], "&lt;=" &amp; $A169, Table2[AwayTeam], W$1)+SUMIFS(Table2[NewPointsHome],Table2[GameDate], "&lt;=" &amp; $A169, Table2[HomeTeam], W$1)</f>
        <v>4</v>
      </c>
      <c r="X169" s="145">
        <f>SUMIFS(Table2[NewPointsAway],Table2[GameDate], "&lt;=" &amp; $A169, Table2[AwayTeam], X$1)+SUMIFS(Table2[NewPointsHome],Table2[GameDate], "&lt;=" &amp; $A169, Table2[HomeTeam], X$1)</f>
        <v>4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4</v>
      </c>
      <c r="AA169" s="145">
        <f>SUMIFS(Table2[NewPointsAway],Table2[GameDate], "&lt;=" &amp; $A169, Table2[AwayTeam], AA$1)+SUMIFS(Table2[NewPointsHome],Table2[GameDate], "&lt;=" &amp; $A169, Table2[HomeTeam], AA$1)</f>
        <v>2</v>
      </c>
      <c r="AB169" s="145">
        <f>SUMIFS(Table2[NewPointsAway],Table2[GameDate], "&lt;=" &amp; $A169, Table2[AwayTeam], AB$1)+SUMIFS(Table2[NewPointsHome],Table2[GameDate], "&lt;=" &amp; $A169, Table2[HomeTeam], AB$1)</f>
        <v>2</v>
      </c>
      <c r="AC169" s="145">
        <f>SUMIFS(Table2[NewPointsAway],Table2[GameDate], "&lt;=" &amp; $A169, Table2[AwayTeam], AC$1)+SUMIFS(Table2[NewPointsHome],Table2[GameDate], "&lt;=" &amp; $A169, Table2[HomeTeam], AC$1)</f>
        <v>2</v>
      </c>
      <c r="AD169" s="145">
        <f>SUMIFS(Table2[NewPointsAway],Table2[GameDate], "&lt;=" &amp; $A169, Table2[AwayTeam], AD$1)+SUMIFS(Table2[NewPointsHome],Table2[GameDate], "&lt;=" &amp; $A169, Table2[HomeTeam], AD$1)</f>
        <v>2</v>
      </c>
      <c r="AE169" s="145">
        <f>SUMIFS(Table2[NewPointsAway],Table2[GameDate], "&lt;=" &amp; $A169, Table2[AwayTeam], AE$1)+SUMIFS(Table2[NewPointsHome],Table2[GameDate], "&lt;=" &amp; $A169, Table2[HomeTeam], AE$1)</f>
        <v>4</v>
      </c>
      <c r="AF169" s="145">
        <f>SUMIFS(Table2[NewPointsAway],Table2[GameDate], "&lt;=" &amp; $A169, Table2[AwayTeam], AF$1)+SUMIFS(Table2[NewPointsHome],Table2[GameDate], "&lt;=" &amp; $A169, Table2[HomeTeam], AF$1)</f>
        <v>4</v>
      </c>
      <c r="AG169" s="145">
        <f>SUMIFS(Table2[NewPointsAway],Table2[GameDate], "&lt;=" &amp; $A169, Table2[AwayTeam], AG$1)+SUMIFS(Table2[NewPointsHome],Table2[GameDate], "&lt;=" &amp; $A169, Table2[HomeTeam], AG$1)</f>
        <v>4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2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0</v>
      </c>
      <c r="E170" s="145">
        <f>SUMIFS(Table2[NewPointsAway],Table2[GameDate], "&lt;=" &amp; $A170, Table2[AwayTeam], E$1)+SUMIFS(Table2[NewPointsHome],Table2[GameDate], "&lt;=" &amp; $A170, Table2[HomeTeam], E$1)</f>
        <v>4</v>
      </c>
      <c r="F170" s="145">
        <f>SUMIFS(Table2[NewPointsAway],Table2[GameDate], "&lt;=" &amp; $A170, Table2[AwayTeam], F$1)+SUMIFS(Table2[NewPointsHome],Table2[GameDate], "&lt;=" &amp; $A170, Table2[HomeTeam], F$1)</f>
        <v>2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3</v>
      </c>
      <c r="I170" s="145">
        <f>SUMIFS(Table2[NewPointsAway],Table2[GameDate], "&lt;=" &amp; $A170, Table2[AwayTeam], I$1)+SUMIFS(Table2[NewPointsHome],Table2[GameDate], "&lt;=" &amp; $A170, Table2[HomeTeam], I$1)</f>
        <v>7</v>
      </c>
      <c r="J170" s="145">
        <f>SUMIFS(Table2[NewPointsAway],Table2[GameDate], "&lt;=" &amp; $A170, Table2[AwayTeam], J$1)+SUMIFS(Table2[NewPointsHome],Table2[GameDate], "&lt;=" &amp; $A170, Table2[HomeTeam], J$1)</f>
        <v>4</v>
      </c>
      <c r="K170" s="145">
        <f>SUMIFS(Table2[NewPointsAway],Table2[GameDate], "&lt;=" &amp; $A170, Table2[AwayTeam], K$1)+SUMIFS(Table2[NewPointsHome],Table2[GameDate], "&lt;=" &amp; $A170, Table2[HomeTeam], K$1)</f>
        <v>4</v>
      </c>
      <c r="L170" s="145">
        <f>SUMIFS(Table2[NewPointsAway],Table2[GameDate], "&lt;=" &amp; $A170, Table2[AwayTeam], L$1)+SUMIFS(Table2[NewPointsHome],Table2[GameDate], "&lt;=" &amp; $A170, Table2[HomeTeam], L$1)</f>
        <v>3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3</v>
      </c>
      <c r="O170" s="145">
        <f>SUMIFS(Table2[NewPointsAway],Table2[GameDate], "&lt;=" &amp; $A170, Table2[AwayTeam], O$1)+SUMIFS(Table2[NewPointsHome],Table2[GameDate], "&lt;=" &amp; $A170, Table2[HomeTeam], O$1)</f>
        <v>4</v>
      </c>
      <c r="P170" s="145">
        <f>SUMIFS(Table2[NewPointsAway],Table2[GameDate], "&lt;=" &amp; $A170, Table2[AwayTeam], P$1)+SUMIFS(Table2[NewPointsHome],Table2[GameDate], "&lt;=" &amp; $A170, Table2[HomeTeam], P$1)</f>
        <v>4</v>
      </c>
      <c r="Q170" s="145">
        <f>SUMIFS(Table2[NewPointsAway],Table2[GameDate], "&lt;=" &amp; $A170, Table2[AwayTeam], Q$1)+SUMIFS(Table2[NewPointsHome],Table2[GameDate], "&lt;=" &amp; $A170, Table2[HomeTeam], Q$1)</f>
        <v>4</v>
      </c>
      <c r="R170" s="145">
        <f>SUMIFS(Table2[NewPointsAway],Table2[GameDate], "&lt;=" &amp; $A170, Table2[AwayTeam], R$1)+SUMIFS(Table2[NewPointsHome],Table2[GameDate], "&lt;=" &amp; $A170, Table2[HomeTeam], R$1)</f>
        <v>5</v>
      </c>
      <c r="S170" s="145">
        <f>SUMIFS(Table2[NewPointsAway],Table2[GameDate], "&lt;=" &amp; $A170, Table2[AwayTeam], S$1)+SUMIFS(Table2[NewPointsHome],Table2[GameDate], "&lt;=" &amp; $A170, Table2[HomeTeam], S$1)</f>
        <v>0</v>
      </c>
      <c r="T170" s="145">
        <f>SUMIFS(Table2[NewPointsAway],Table2[GameDate], "&lt;=" &amp; $A170, Table2[AwayTeam], T$1)+SUMIFS(Table2[NewPointsHome],Table2[GameDate], "&lt;=" &amp; $A170, Table2[HomeTeam], T$1)</f>
        <v>4</v>
      </c>
      <c r="U170" s="145">
        <f>SUMIFS(Table2[NewPointsAway],Table2[GameDate], "&lt;=" &amp; $A170, Table2[AwayTeam], U$1)+SUMIFS(Table2[NewPointsHome],Table2[GameDate], "&lt;=" &amp; $A170, Table2[HomeTeam], U$1)</f>
        <v>2</v>
      </c>
      <c r="V170" s="145">
        <f>SUMIFS(Table2[NewPointsAway],Table2[GameDate], "&lt;=" &amp; $A170, Table2[AwayTeam], V$1)+SUMIFS(Table2[NewPointsHome],Table2[GameDate], "&lt;=" &amp; $A170, Table2[HomeTeam], V$1)</f>
        <v>3</v>
      </c>
      <c r="W170" s="145">
        <f>SUMIFS(Table2[NewPointsAway],Table2[GameDate], "&lt;=" &amp; $A170, Table2[AwayTeam], W$1)+SUMIFS(Table2[NewPointsHome],Table2[GameDate], "&lt;=" &amp; $A170, Table2[HomeTeam], W$1)</f>
        <v>4</v>
      </c>
      <c r="X170" s="145">
        <f>SUMIFS(Table2[NewPointsAway],Table2[GameDate], "&lt;=" &amp; $A170, Table2[AwayTeam], X$1)+SUMIFS(Table2[NewPointsHome],Table2[GameDate], "&lt;=" &amp; $A170, Table2[HomeTeam], X$1)</f>
        <v>4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4</v>
      </c>
      <c r="AA170" s="145">
        <f>SUMIFS(Table2[NewPointsAway],Table2[GameDate], "&lt;=" &amp; $A170, Table2[AwayTeam], AA$1)+SUMIFS(Table2[NewPointsHome],Table2[GameDate], "&lt;=" &amp; $A170, Table2[HomeTeam], AA$1)</f>
        <v>2</v>
      </c>
      <c r="AB170" s="145">
        <f>SUMIFS(Table2[NewPointsAway],Table2[GameDate], "&lt;=" &amp; $A170, Table2[AwayTeam], AB$1)+SUMIFS(Table2[NewPointsHome],Table2[GameDate], "&lt;=" &amp; $A170, Table2[HomeTeam], AB$1)</f>
        <v>2</v>
      </c>
      <c r="AC170" s="145">
        <f>SUMIFS(Table2[NewPointsAway],Table2[GameDate], "&lt;=" &amp; $A170, Table2[AwayTeam], AC$1)+SUMIFS(Table2[NewPointsHome],Table2[GameDate], "&lt;=" &amp; $A170, Table2[HomeTeam], AC$1)</f>
        <v>2</v>
      </c>
      <c r="AD170" s="145">
        <f>SUMIFS(Table2[NewPointsAway],Table2[GameDate], "&lt;=" &amp; $A170, Table2[AwayTeam], AD$1)+SUMIFS(Table2[NewPointsHome],Table2[GameDate], "&lt;=" &amp; $A170, Table2[HomeTeam], AD$1)</f>
        <v>2</v>
      </c>
      <c r="AE170" s="145">
        <f>SUMIFS(Table2[NewPointsAway],Table2[GameDate], "&lt;=" &amp; $A170, Table2[AwayTeam], AE$1)+SUMIFS(Table2[NewPointsHome],Table2[GameDate], "&lt;=" &amp; $A170, Table2[HomeTeam], AE$1)</f>
        <v>4</v>
      </c>
      <c r="AF170" s="145">
        <f>SUMIFS(Table2[NewPointsAway],Table2[GameDate], "&lt;=" &amp; $A170, Table2[AwayTeam], AF$1)+SUMIFS(Table2[NewPointsHome],Table2[GameDate], "&lt;=" &amp; $A170, Table2[HomeTeam], AF$1)</f>
        <v>4</v>
      </c>
      <c r="AG170" s="145">
        <f>SUMIFS(Table2[NewPointsAway],Table2[GameDate], "&lt;=" &amp; $A170, Table2[AwayTeam], AG$1)+SUMIFS(Table2[NewPointsHome],Table2[GameDate], "&lt;=" &amp; $A170, Table2[HomeTeam], AG$1)</f>
        <v>4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2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0</v>
      </c>
      <c r="E171" s="145">
        <f>SUMIFS(Table2[NewPointsAway],Table2[GameDate], "&lt;=" &amp; $A171, Table2[AwayTeam], E$1)+SUMIFS(Table2[NewPointsHome],Table2[GameDate], "&lt;=" &amp; $A171, Table2[HomeTeam], E$1)</f>
        <v>4</v>
      </c>
      <c r="F171" s="145">
        <f>SUMIFS(Table2[NewPointsAway],Table2[GameDate], "&lt;=" &amp; $A171, Table2[AwayTeam], F$1)+SUMIFS(Table2[NewPointsHome],Table2[GameDate], "&lt;=" &amp; $A171, Table2[HomeTeam], F$1)</f>
        <v>2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3</v>
      </c>
      <c r="I171" s="145">
        <f>SUMIFS(Table2[NewPointsAway],Table2[GameDate], "&lt;=" &amp; $A171, Table2[AwayTeam], I$1)+SUMIFS(Table2[NewPointsHome],Table2[GameDate], "&lt;=" &amp; $A171, Table2[HomeTeam], I$1)</f>
        <v>7</v>
      </c>
      <c r="J171" s="145">
        <f>SUMIFS(Table2[NewPointsAway],Table2[GameDate], "&lt;=" &amp; $A171, Table2[AwayTeam], J$1)+SUMIFS(Table2[NewPointsHome],Table2[GameDate], "&lt;=" &amp; $A171, Table2[HomeTeam], J$1)</f>
        <v>4</v>
      </c>
      <c r="K171" s="145">
        <f>SUMIFS(Table2[NewPointsAway],Table2[GameDate], "&lt;=" &amp; $A171, Table2[AwayTeam], K$1)+SUMIFS(Table2[NewPointsHome],Table2[GameDate], "&lt;=" &amp; $A171, Table2[HomeTeam], K$1)</f>
        <v>4</v>
      </c>
      <c r="L171" s="145">
        <f>SUMIFS(Table2[NewPointsAway],Table2[GameDate], "&lt;=" &amp; $A171, Table2[AwayTeam], L$1)+SUMIFS(Table2[NewPointsHome],Table2[GameDate], "&lt;=" &amp; $A171, Table2[HomeTeam], L$1)</f>
        <v>3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3</v>
      </c>
      <c r="O171" s="145">
        <f>SUMIFS(Table2[NewPointsAway],Table2[GameDate], "&lt;=" &amp; $A171, Table2[AwayTeam], O$1)+SUMIFS(Table2[NewPointsHome],Table2[GameDate], "&lt;=" &amp; $A171, Table2[HomeTeam], O$1)</f>
        <v>4</v>
      </c>
      <c r="P171" s="145">
        <f>SUMIFS(Table2[NewPointsAway],Table2[GameDate], "&lt;=" &amp; $A171, Table2[AwayTeam], P$1)+SUMIFS(Table2[NewPointsHome],Table2[GameDate], "&lt;=" &amp; $A171, Table2[HomeTeam], P$1)</f>
        <v>4</v>
      </c>
      <c r="Q171" s="145">
        <f>SUMIFS(Table2[NewPointsAway],Table2[GameDate], "&lt;=" &amp; $A171, Table2[AwayTeam], Q$1)+SUMIFS(Table2[NewPointsHome],Table2[GameDate], "&lt;=" &amp; $A171, Table2[HomeTeam], Q$1)</f>
        <v>4</v>
      </c>
      <c r="R171" s="145">
        <f>SUMIFS(Table2[NewPointsAway],Table2[GameDate], "&lt;=" &amp; $A171, Table2[AwayTeam], R$1)+SUMIFS(Table2[NewPointsHome],Table2[GameDate], "&lt;=" &amp; $A171, Table2[HomeTeam], R$1)</f>
        <v>5</v>
      </c>
      <c r="S171" s="145">
        <f>SUMIFS(Table2[NewPointsAway],Table2[GameDate], "&lt;=" &amp; $A171, Table2[AwayTeam], S$1)+SUMIFS(Table2[NewPointsHome],Table2[GameDate], "&lt;=" &amp; $A171, Table2[HomeTeam], S$1)</f>
        <v>0</v>
      </c>
      <c r="T171" s="145">
        <f>SUMIFS(Table2[NewPointsAway],Table2[GameDate], "&lt;=" &amp; $A171, Table2[AwayTeam], T$1)+SUMIFS(Table2[NewPointsHome],Table2[GameDate], "&lt;=" &amp; $A171, Table2[HomeTeam], T$1)</f>
        <v>4</v>
      </c>
      <c r="U171" s="145">
        <f>SUMIFS(Table2[NewPointsAway],Table2[GameDate], "&lt;=" &amp; $A171, Table2[AwayTeam], U$1)+SUMIFS(Table2[NewPointsHome],Table2[GameDate], "&lt;=" &amp; $A171, Table2[HomeTeam], U$1)</f>
        <v>2</v>
      </c>
      <c r="V171" s="145">
        <f>SUMIFS(Table2[NewPointsAway],Table2[GameDate], "&lt;=" &amp; $A171, Table2[AwayTeam], V$1)+SUMIFS(Table2[NewPointsHome],Table2[GameDate], "&lt;=" &amp; $A171, Table2[HomeTeam], V$1)</f>
        <v>3</v>
      </c>
      <c r="W171" s="145">
        <f>SUMIFS(Table2[NewPointsAway],Table2[GameDate], "&lt;=" &amp; $A171, Table2[AwayTeam], W$1)+SUMIFS(Table2[NewPointsHome],Table2[GameDate], "&lt;=" &amp; $A171, Table2[HomeTeam], W$1)</f>
        <v>4</v>
      </c>
      <c r="X171" s="145">
        <f>SUMIFS(Table2[NewPointsAway],Table2[GameDate], "&lt;=" &amp; $A171, Table2[AwayTeam], X$1)+SUMIFS(Table2[NewPointsHome],Table2[GameDate], "&lt;=" &amp; $A171, Table2[HomeTeam], X$1)</f>
        <v>4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4</v>
      </c>
      <c r="AA171" s="145">
        <f>SUMIFS(Table2[NewPointsAway],Table2[GameDate], "&lt;=" &amp; $A171, Table2[AwayTeam], AA$1)+SUMIFS(Table2[NewPointsHome],Table2[GameDate], "&lt;=" &amp; $A171, Table2[HomeTeam], AA$1)</f>
        <v>2</v>
      </c>
      <c r="AB171" s="145">
        <f>SUMIFS(Table2[NewPointsAway],Table2[GameDate], "&lt;=" &amp; $A171, Table2[AwayTeam], AB$1)+SUMIFS(Table2[NewPointsHome],Table2[GameDate], "&lt;=" &amp; $A171, Table2[HomeTeam], AB$1)</f>
        <v>2</v>
      </c>
      <c r="AC171" s="145">
        <f>SUMIFS(Table2[NewPointsAway],Table2[GameDate], "&lt;=" &amp; $A171, Table2[AwayTeam], AC$1)+SUMIFS(Table2[NewPointsHome],Table2[GameDate], "&lt;=" &amp; $A171, Table2[HomeTeam], AC$1)</f>
        <v>2</v>
      </c>
      <c r="AD171" s="145">
        <f>SUMIFS(Table2[NewPointsAway],Table2[GameDate], "&lt;=" &amp; $A171, Table2[AwayTeam], AD$1)+SUMIFS(Table2[NewPointsHome],Table2[GameDate], "&lt;=" &amp; $A171, Table2[HomeTeam], AD$1)</f>
        <v>2</v>
      </c>
      <c r="AE171" s="145">
        <f>SUMIFS(Table2[NewPointsAway],Table2[GameDate], "&lt;=" &amp; $A171, Table2[AwayTeam], AE$1)+SUMIFS(Table2[NewPointsHome],Table2[GameDate], "&lt;=" &amp; $A171, Table2[HomeTeam], AE$1)</f>
        <v>4</v>
      </c>
      <c r="AF171" s="145">
        <f>SUMIFS(Table2[NewPointsAway],Table2[GameDate], "&lt;=" &amp; $A171, Table2[AwayTeam], AF$1)+SUMIFS(Table2[NewPointsHome],Table2[GameDate], "&lt;=" &amp; $A171, Table2[HomeTeam], AF$1)</f>
        <v>4</v>
      </c>
      <c r="AG171" s="145">
        <f>SUMIFS(Table2[NewPointsAway],Table2[GameDate], "&lt;=" &amp; $A171, Table2[AwayTeam], AG$1)+SUMIFS(Table2[NewPointsHome],Table2[GameDate], "&lt;=" &amp; $A171, Table2[HomeTeam], AG$1)</f>
        <v>4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2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0</v>
      </c>
      <c r="E172" s="145">
        <f>SUMIFS(Table2[NewPointsAway],Table2[GameDate], "&lt;=" &amp; $A172, Table2[AwayTeam], E$1)+SUMIFS(Table2[NewPointsHome],Table2[GameDate], "&lt;=" &amp; $A172, Table2[HomeTeam], E$1)</f>
        <v>4</v>
      </c>
      <c r="F172" s="145">
        <f>SUMIFS(Table2[NewPointsAway],Table2[GameDate], "&lt;=" &amp; $A172, Table2[AwayTeam], F$1)+SUMIFS(Table2[NewPointsHome],Table2[GameDate], "&lt;=" &amp; $A172, Table2[HomeTeam], F$1)</f>
        <v>2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3</v>
      </c>
      <c r="I172" s="145">
        <f>SUMIFS(Table2[NewPointsAway],Table2[GameDate], "&lt;=" &amp; $A172, Table2[AwayTeam], I$1)+SUMIFS(Table2[NewPointsHome],Table2[GameDate], "&lt;=" &amp; $A172, Table2[HomeTeam], I$1)</f>
        <v>7</v>
      </c>
      <c r="J172" s="145">
        <f>SUMIFS(Table2[NewPointsAway],Table2[GameDate], "&lt;=" &amp; $A172, Table2[AwayTeam], J$1)+SUMIFS(Table2[NewPointsHome],Table2[GameDate], "&lt;=" &amp; $A172, Table2[HomeTeam], J$1)</f>
        <v>4</v>
      </c>
      <c r="K172" s="145">
        <f>SUMIFS(Table2[NewPointsAway],Table2[GameDate], "&lt;=" &amp; $A172, Table2[AwayTeam], K$1)+SUMIFS(Table2[NewPointsHome],Table2[GameDate], "&lt;=" &amp; $A172, Table2[HomeTeam], K$1)</f>
        <v>4</v>
      </c>
      <c r="L172" s="145">
        <f>SUMIFS(Table2[NewPointsAway],Table2[GameDate], "&lt;=" &amp; $A172, Table2[AwayTeam], L$1)+SUMIFS(Table2[NewPointsHome],Table2[GameDate], "&lt;=" &amp; $A172, Table2[HomeTeam], L$1)</f>
        <v>3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3</v>
      </c>
      <c r="O172" s="145">
        <f>SUMIFS(Table2[NewPointsAway],Table2[GameDate], "&lt;=" &amp; $A172, Table2[AwayTeam], O$1)+SUMIFS(Table2[NewPointsHome],Table2[GameDate], "&lt;=" &amp; $A172, Table2[HomeTeam], O$1)</f>
        <v>4</v>
      </c>
      <c r="P172" s="145">
        <f>SUMIFS(Table2[NewPointsAway],Table2[GameDate], "&lt;=" &amp; $A172, Table2[AwayTeam], P$1)+SUMIFS(Table2[NewPointsHome],Table2[GameDate], "&lt;=" &amp; $A172, Table2[HomeTeam], P$1)</f>
        <v>4</v>
      </c>
      <c r="Q172" s="145">
        <f>SUMIFS(Table2[NewPointsAway],Table2[GameDate], "&lt;=" &amp; $A172, Table2[AwayTeam], Q$1)+SUMIFS(Table2[NewPointsHome],Table2[GameDate], "&lt;=" &amp; $A172, Table2[HomeTeam], Q$1)</f>
        <v>4</v>
      </c>
      <c r="R172" s="145">
        <f>SUMIFS(Table2[NewPointsAway],Table2[GameDate], "&lt;=" &amp; $A172, Table2[AwayTeam], R$1)+SUMIFS(Table2[NewPointsHome],Table2[GameDate], "&lt;=" &amp; $A172, Table2[HomeTeam], R$1)</f>
        <v>5</v>
      </c>
      <c r="S172" s="145">
        <f>SUMIFS(Table2[NewPointsAway],Table2[GameDate], "&lt;=" &amp; $A172, Table2[AwayTeam], S$1)+SUMIFS(Table2[NewPointsHome],Table2[GameDate], "&lt;=" &amp; $A172, Table2[HomeTeam], S$1)</f>
        <v>0</v>
      </c>
      <c r="T172" s="145">
        <f>SUMIFS(Table2[NewPointsAway],Table2[GameDate], "&lt;=" &amp; $A172, Table2[AwayTeam], T$1)+SUMIFS(Table2[NewPointsHome],Table2[GameDate], "&lt;=" &amp; $A172, Table2[HomeTeam], T$1)</f>
        <v>4</v>
      </c>
      <c r="U172" s="145">
        <f>SUMIFS(Table2[NewPointsAway],Table2[GameDate], "&lt;=" &amp; $A172, Table2[AwayTeam], U$1)+SUMIFS(Table2[NewPointsHome],Table2[GameDate], "&lt;=" &amp; $A172, Table2[HomeTeam], U$1)</f>
        <v>2</v>
      </c>
      <c r="V172" s="145">
        <f>SUMIFS(Table2[NewPointsAway],Table2[GameDate], "&lt;=" &amp; $A172, Table2[AwayTeam], V$1)+SUMIFS(Table2[NewPointsHome],Table2[GameDate], "&lt;=" &amp; $A172, Table2[HomeTeam], V$1)</f>
        <v>3</v>
      </c>
      <c r="W172" s="145">
        <f>SUMIFS(Table2[NewPointsAway],Table2[GameDate], "&lt;=" &amp; $A172, Table2[AwayTeam], W$1)+SUMIFS(Table2[NewPointsHome],Table2[GameDate], "&lt;=" &amp; $A172, Table2[HomeTeam], W$1)</f>
        <v>4</v>
      </c>
      <c r="X172" s="145">
        <f>SUMIFS(Table2[NewPointsAway],Table2[GameDate], "&lt;=" &amp; $A172, Table2[AwayTeam], X$1)+SUMIFS(Table2[NewPointsHome],Table2[GameDate], "&lt;=" &amp; $A172, Table2[HomeTeam], X$1)</f>
        <v>4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4</v>
      </c>
      <c r="AA172" s="145">
        <f>SUMIFS(Table2[NewPointsAway],Table2[GameDate], "&lt;=" &amp; $A172, Table2[AwayTeam], AA$1)+SUMIFS(Table2[NewPointsHome],Table2[GameDate], "&lt;=" &amp; $A172, Table2[HomeTeam], AA$1)</f>
        <v>2</v>
      </c>
      <c r="AB172" s="145">
        <f>SUMIFS(Table2[NewPointsAway],Table2[GameDate], "&lt;=" &amp; $A172, Table2[AwayTeam], AB$1)+SUMIFS(Table2[NewPointsHome],Table2[GameDate], "&lt;=" &amp; $A172, Table2[HomeTeam], AB$1)</f>
        <v>2</v>
      </c>
      <c r="AC172" s="145">
        <f>SUMIFS(Table2[NewPointsAway],Table2[GameDate], "&lt;=" &amp; $A172, Table2[AwayTeam], AC$1)+SUMIFS(Table2[NewPointsHome],Table2[GameDate], "&lt;=" &amp; $A172, Table2[HomeTeam], AC$1)</f>
        <v>2</v>
      </c>
      <c r="AD172" s="145">
        <f>SUMIFS(Table2[NewPointsAway],Table2[GameDate], "&lt;=" &amp; $A172, Table2[AwayTeam], AD$1)+SUMIFS(Table2[NewPointsHome],Table2[GameDate], "&lt;=" &amp; $A172, Table2[HomeTeam], AD$1)</f>
        <v>2</v>
      </c>
      <c r="AE172" s="145">
        <f>SUMIFS(Table2[NewPointsAway],Table2[GameDate], "&lt;=" &amp; $A172, Table2[AwayTeam], AE$1)+SUMIFS(Table2[NewPointsHome],Table2[GameDate], "&lt;=" &amp; $A172, Table2[HomeTeam], AE$1)</f>
        <v>4</v>
      </c>
      <c r="AF172" s="145">
        <f>SUMIFS(Table2[NewPointsAway],Table2[GameDate], "&lt;=" &amp; $A172, Table2[AwayTeam], AF$1)+SUMIFS(Table2[NewPointsHome],Table2[GameDate], "&lt;=" &amp; $A172, Table2[HomeTeam], AF$1)</f>
        <v>4</v>
      </c>
      <c r="AG172" s="145">
        <f>SUMIFS(Table2[NewPointsAway],Table2[GameDate], "&lt;=" &amp; $A172, Table2[AwayTeam], AG$1)+SUMIFS(Table2[NewPointsHome],Table2[GameDate], "&lt;=" &amp; $A172, Table2[HomeTeam], AG$1)</f>
        <v>4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2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0</v>
      </c>
      <c r="E173" s="145">
        <f>SUMIFS(Table2[NewPointsAway],Table2[GameDate], "&lt;=" &amp; $A173, Table2[AwayTeam], E$1)+SUMIFS(Table2[NewPointsHome],Table2[GameDate], "&lt;=" &amp; $A173, Table2[HomeTeam], E$1)</f>
        <v>4</v>
      </c>
      <c r="F173" s="145">
        <f>SUMIFS(Table2[NewPointsAway],Table2[GameDate], "&lt;=" &amp; $A173, Table2[AwayTeam], F$1)+SUMIFS(Table2[NewPointsHome],Table2[GameDate], "&lt;=" &amp; $A173, Table2[HomeTeam], F$1)</f>
        <v>2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3</v>
      </c>
      <c r="I173" s="145">
        <f>SUMIFS(Table2[NewPointsAway],Table2[GameDate], "&lt;=" &amp; $A173, Table2[AwayTeam], I$1)+SUMIFS(Table2[NewPointsHome],Table2[GameDate], "&lt;=" &amp; $A173, Table2[HomeTeam], I$1)</f>
        <v>7</v>
      </c>
      <c r="J173" s="145">
        <f>SUMIFS(Table2[NewPointsAway],Table2[GameDate], "&lt;=" &amp; $A173, Table2[AwayTeam], J$1)+SUMIFS(Table2[NewPointsHome],Table2[GameDate], "&lt;=" &amp; $A173, Table2[HomeTeam], J$1)</f>
        <v>4</v>
      </c>
      <c r="K173" s="145">
        <f>SUMIFS(Table2[NewPointsAway],Table2[GameDate], "&lt;=" &amp; $A173, Table2[AwayTeam], K$1)+SUMIFS(Table2[NewPointsHome],Table2[GameDate], "&lt;=" &amp; $A173, Table2[HomeTeam], K$1)</f>
        <v>4</v>
      </c>
      <c r="L173" s="145">
        <f>SUMIFS(Table2[NewPointsAway],Table2[GameDate], "&lt;=" &amp; $A173, Table2[AwayTeam], L$1)+SUMIFS(Table2[NewPointsHome],Table2[GameDate], "&lt;=" &amp; $A173, Table2[HomeTeam], L$1)</f>
        <v>3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3</v>
      </c>
      <c r="O173" s="145">
        <f>SUMIFS(Table2[NewPointsAway],Table2[GameDate], "&lt;=" &amp; $A173, Table2[AwayTeam], O$1)+SUMIFS(Table2[NewPointsHome],Table2[GameDate], "&lt;=" &amp; $A173, Table2[HomeTeam], O$1)</f>
        <v>4</v>
      </c>
      <c r="P173" s="145">
        <f>SUMIFS(Table2[NewPointsAway],Table2[GameDate], "&lt;=" &amp; $A173, Table2[AwayTeam], P$1)+SUMIFS(Table2[NewPointsHome],Table2[GameDate], "&lt;=" &amp; $A173, Table2[HomeTeam], P$1)</f>
        <v>4</v>
      </c>
      <c r="Q173" s="145">
        <f>SUMIFS(Table2[NewPointsAway],Table2[GameDate], "&lt;=" &amp; $A173, Table2[AwayTeam], Q$1)+SUMIFS(Table2[NewPointsHome],Table2[GameDate], "&lt;=" &amp; $A173, Table2[HomeTeam], Q$1)</f>
        <v>4</v>
      </c>
      <c r="R173" s="145">
        <f>SUMIFS(Table2[NewPointsAway],Table2[GameDate], "&lt;=" &amp; $A173, Table2[AwayTeam], R$1)+SUMIFS(Table2[NewPointsHome],Table2[GameDate], "&lt;=" &amp; $A173, Table2[HomeTeam], R$1)</f>
        <v>5</v>
      </c>
      <c r="S173" s="145">
        <f>SUMIFS(Table2[NewPointsAway],Table2[GameDate], "&lt;=" &amp; $A173, Table2[AwayTeam], S$1)+SUMIFS(Table2[NewPointsHome],Table2[GameDate], "&lt;=" &amp; $A173, Table2[HomeTeam], S$1)</f>
        <v>0</v>
      </c>
      <c r="T173" s="145">
        <f>SUMIFS(Table2[NewPointsAway],Table2[GameDate], "&lt;=" &amp; $A173, Table2[AwayTeam], T$1)+SUMIFS(Table2[NewPointsHome],Table2[GameDate], "&lt;=" &amp; $A173, Table2[HomeTeam], T$1)</f>
        <v>4</v>
      </c>
      <c r="U173" s="145">
        <f>SUMIFS(Table2[NewPointsAway],Table2[GameDate], "&lt;=" &amp; $A173, Table2[AwayTeam], U$1)+SUMIFS(Table2[NewPointsHome],Table2[GameDate], "&lt;=" &amp; $A173, Table2[HomeTeam], U$1)</f>
        <v>2</v>
      </c>
      <c r="V173" s="145">
        <f>SUMIFS(Table2[NewPointsAway],Table2[GameDate], "&lt;=" &amp; $A173, Table2[AwayTeam], V$1)+SUMIFS(Table2[NewPointsHome],Table2[GameDate], "&lt;=" &amp; $A173, Table2[HomeTeam], V$1)</f>
        <v>3</v>
      </c>
      <c r="W173" s="145">
        <f>SUMIFS(Table2[NewPointsAway],Table2[GameDate], "&lt;=" &amp; $A173, Table2[AwayTeam], W$1)+SUMIFS(Table2[NewPointsHome],Table2[GameDate], "&lt;=" &amp; $A173, Table2[HomeTeam], W$1)</f>
        <v>4</v>
      </c>
      <c r="X173" s="145">
        <f>SUMIFS(Table2[NewPointsAway],Table2[GameDate], "&lt;=" &amp; $A173, Table2[AwayTeam], X$1)+SUMIFS(Table2[NewPointsHome],Table2[GameDate], "&lt;=" &amp; $A173, Table2[HomeTeam], X$1)</f>
        <v>4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4</v>
      </c>
      <c r="AA173" s="145">
        <f>SUMIFS(Table2[NewPointsAway],Table2[GameDate], "&lt;=" &amp; $A173, Table2[AwayTeam], AA$1)+SUMIFS(Table2[NewPointsHome],Table2[GameDate], "&lt;=" &amp; $A173, Table2[HomeTeam], AA$1)</f>
        <v>2</v>
      </c>
      <c r="AB173" s="145">
        <f>SUMIFS(Table2[NewPointsAway],Table2[GameDate], "&lt;=" &amp; $A173, Table2[AwayTeam], AB$1)+SUMIFS(Table2[NewPointsHome],Table2[GameDate], "&lt;=" &amp; $A173, Table2[HomeTeam], AB$1)</f>
        <v>2</v>
      </c>
      <c r="AC173" s="145">
        <f>SUMIFS(Table2[NewPointsAway],Table2[GameDate], "&lt;=" &amp; $A173, Table2[AwayTeam], AC$1)+SUMIFS(Table2[NewPointsHome],Table2[GameDate], "&lt;=" &amp; $A173, Table2[HomeTeam], AC$1)</f>
        <v>2</v>
      </c>
      <c r="AD173" s="145">
        <f>SUMIFS(Table2[NewPointsAway],Table2[GameDate], "&lt;=" &amp; $A173, Table2[AwayTeam], AD$1)+SUMIFS(Table2[NewPointsHome],Table2[GameDate], "&lt;=" &amp; $A173, Table2[HomeTeam], AD$1)</f>
        <v>2</v>
      </c>
      <c r="AE173" s="145">
        <f>SUMIFS(Table2[NewPointsAway],Table2[GameDate], "&lt;=" &amp; $A173, Table2[AwayTeam], AE$1)+SUMIFS(Table2[NewPointsHome],Table2[GameDate], "&lt;=" &amp; $A173, Table2[HomeTeam], AE$1)</f>
        <v>4</v>
      </c>
      <c r="AF173" s="145">
        <f>SUMIFS(Table2[NewPointsAway],Table2[GameDate], "&lt;=" &amp; $A173, Table2[AwayTeam], AF$1)+SUMIFS(Table2[NewPointsHome],Table2[GameDate], "&lt;=" &amp; $A173, Table2[HomeTeam], AF$1)</f>
        <v>4</v>
      </c>
      <c r="AG173" s="145">
        <f>SUMIFS(Table2[NewPointsAway],Table2[GameDate], "&lt;=" &amp; $A173, Table2[AwayTeam], AG$1)+SUMIFS(Table2[NewPointsHome],Table2[GameDate], "&lt;=" &amp; $A173, Table2[HomeTeam], AG$1)</f>
        <v>4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2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0</v>
      </c>
      <c r="E174" s="145">
        <f>SUMIFS(Table2[NewPointsAway],Table2[GameDate], "&lt;=" &amp; $A174, Table2[AwayTeam], E$1)+SUMIFS(Table2[NewPointsHome],Table2[GameDate], "&lt;=" &amp; $A174, Table2[HomeTeam], E$1)</f>
        <v>4</v>
      </c>
      <c r="F174" s="145">
        <f>SUMIFS(Table2[NewPointsAway],Table2[GameDate], "&lt;=" &amp; $A174, Table2[AwayTeam], F$1)+SUMIFS(Table2[NewPointsHome],Table2[GameDate], "&lt;=" &amp; $A174, Table2[HomeTeam], F$1)</f>
        <v>2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3</v>
      </c>
      <c r="I174" s="145">
        <f>SUMIFS(Table2[NewPointsAway],Table2[GameDate], "&lt;=" &amp; $A174, Table2[AwayTeam], I$1)+SUMIFS(Table2[NewPointsHome],Table2[GameDate], "&lt;=" &amp; $A174, Table2[HomeTeam], I$1)</f>
        <v>7</v>
      </c>
      <c r="J174" s="145">
        <f>SUMIFS(Table2[NewPointsAway],Table2[GameDate], "&lt;=" &amp; $A174, Table2[AwayTeam], J$1)+SUMIFS(Table2[NewPointsHome],Table2[GameDate], "&lt;=" &amp; $A174, Table2[HomeTeam], J$1)</f>
        <v>4</v>
      </c>
      <c r="K174" s="145">
        <f>SUMIFS(Table2[NewPointsAway],Table2[GameDate], "&lt;=" &amp; $A174, Table2[AwayTeam], K$1)+SUMIFS(Table2[NewPointsHome],Table2[GameDate], "&lt;=" &amp; $A174, Table2[HomeTeam], K$1)</f>
        <v>4</v>
      </c>
      <c r="L174" s="145">
        <f>SUMIFS(Table2[NewPointsAway],Table2[GameDate], "&lt;=" &amp; $A174, Table2[AwayTeam], L$1)+SUMIFS(Table2[NewPointsHome],Table2[GameDate], "&lt;=" &amp; $A174, Table2[HomeTeam], L$1)</f>
        <v>3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3</v>
      </c>
      <c r="O174" s="145">
        <f>SUMIFS(Table2[NewPointsAway],Table2[GameDate], "&lt;=" &amp; $A174, Table2[AwayTeam], O$1)+SUMIFS(Table2[NewPointsHome],Table2[GameDate], "&lt;=" &amp; $A174, Table2[HomeTeam], O$1)</f>
        <v>4</v>
      </c>
      <c r="P174" s="145">
        <f>SUMIFS(Table2[NewPointsAway],Table2[GameDate], "&lt;=" &amp; $A174, Table2[AwayTeam], P$1)+SUMIFS(Table2[NewPointsHome],Table2[GameDate], "&lt;=" &amp; $A174, Table2[HomeTeam], P$1)</f>
        <v>4</v>
      </c>
      <c r="Q174" s="145">
        <f>SUMIFS(Table2[NewPointsAway],Table2[GameDate], "&lt;=" &amp; $A174, Table2[AwayTeam], Q$1)+SUMIFS(Table2[NewPointsHome],Table2[GameDate], "&lt;=" &amp; $A174, Table2[HomeTeam], Q$1)</f>
        <v>4</v>
      </c>
      <c r="R174" s="145">
        <f>SUMIFS(Table2[NewPointsAway],Table2[GameDate], "&lt;=" &amp; $A174, Table2[AwayTeam], R$1)+SUMIFS(Table2[NewPointsHome],Table2[GameDate], "&lt;=" &amp; $A174, Table2[HomeTeam], R$1)</f>
        <v>5</v>
      </c>
      <c r="S174" s="145">
        <f>SUMIFS(Table2[NewPointsAway],Table2[GameDate], "&lt;=" &amp; $A174, Table2[AwayTeam], S$1)+SUMIFS(Table2[NewPointsHome],Table2[GameDate], "&lt;=" &amp; $A174, Table2[HomeTeam], S$1)</f>
        <v>0</v>
      </c>
      <c r="T174" s="145">
        <f>SUMIFS(Table2[NewPointsAway],Table2[GameDate], "&lt;=" &amp; $A174, Table2[AwayTeam], T$1)+SUMIFS(Table2[NewPointsHome],Table2[GameDate], "&lt;=" &amp; $A174, Table2[HomeTeam], T$1)</f>
        <v>4</v>
      </c>
      <c r="U174" s="145">
        <f>SUMIFS(Table2[NewPointsAway],Table2[GameDate], "&lt;=" &amp; $A174, Table2[AwayTeam], U$1)+SUMIFS(Table2[NewPointsHome],Table2[GameDate], "&lt;=" &amp; $A174, Table2[HomeTeam], U$1)</f>
        <v>2</v>
      </c>
      <c r="V174" s="145">
        <f>SUMIFS(Table2[NewPointsAway],Table2[GameDate], "&lt;=" &amp; $A174, Table2[AwayTeam], V$1)+SUMIFS(Table2[NewPointsHome],Table2[GameDate], "&lt;=" &amp; $A174, Table2[HomeTeam], V$1)</f>
        <v>3</v>
      </c>
      <c r="W174" s="145">
        <f>SUMIFS(Table2[NewPointsAway],Table2[GameDate], "&lt;=" &amp; $A174, Table2[AwayTeam], W$1)+SUMIFS(Table2[NewPointsHome],Table2[GameDate], "&lt;=" &amp; $A174, Table2[HomeTeam], W$1)</f>
        <v>4</v>
      </c>
      <c r="X174" s="145">
        <f>SUMIFS(Table2[NewPointsAway],Table2[GameDate], "&lt;=" &amp; $A174, Table2[AwayTeam], X$1)+SUMIFS(Table2[NewPointsHome],Table2[GameDate], "&lt;=" &amp; $A174, Table2[HomeTeam], X$1)</f>
        <v>4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4</v>
      </c>
      <c r="AA174" s="145">
        <f>SUMIFS(Table2[NewPointsAway],Table2[GameDate], "&lt;=" &amp; $A174, Table2[AwayTeam], AA$1)+SUMIFS(Table2[NewPointsHome],Table2[GameDate], "&lt;=" &amp; $A174, Table2[HomeTeam], AA$1)</f>
        <v>2</v>
      </c>
      <c r="AB174" s="145">
        <f>SUMIFS(Table2[NewPointsAway],Table2[GameDate], "&lt;=" &amp; $A174, Table2[AwayTeam], AB$1)+SUMIFS(Table2[NewPointsHome],Table2[GameDate], "&lt;=" &amp; $A174, Table2[HomeTeam], AB$1)</f>
        <v>2</v>
      </c>
      <c r="AC174" s="145">
        <f>SUMIFS(Table2[NewPointsAway],Table2[GameDate], "&lt;=" &amp; $A174, Table2[AwayTeam], AC$1)+SUMIFS(Table2[NewPointsHome],Table2[GameDate], "&lt;=" &amp; $A174, Table2[HomeTeam], AC$1)</f>
        <v>2</v>
      </c>
      <c r="AD174" s="145">
        <f>SUMIFS(Table2[NewPointsAway],Table2[GameDate], "&lt;=" &amp; $A174, Table2[AwayTeam], AD$1)+SUMIFS(Table2[NewPointsHome],Table2[GameDate], "&lt;=" &amp; $A174, Table2[HomeTeam], AD$1)</f>
        <v>2</v>
      </c>
      <c r="AE174" s="145">
        <f>SUMIFS(Table2[NewPointsAway],Table2[GameDate], "&lt;=" &amp; $A174, Table2[AwayTeam], AE$1)+SUMIFS(Table2[NewPointsHome],Table2[GameDate], "&lt;=" &amp; $A174, Table2[HomeTeam], AE$1)</f>
        <v>4</v>
      </c>
      <c r="AF174" s="145">
        <f>SUMIFS(Table2[NewPointsAway],Table2[GameDate], "&lt;=" &amp; $A174, Table2[AwayTeam], AF$1)+SUMIFS(Table2[NewPointsHome],Table2[GameDate], "&lt;=" &amp; $A174, Table2[HomeTeam], AF$1)</f>
        <v>4</v>
      </c>
      <c r="AG174" s="145">
        <f>SUMIFS(Table2[NewPointsAway],Table2[GameDate], "&lt;=" &amp; $A174, Table2[AwayTeam], AG$1)+SUMIFS(Table2[NewPointsHome],Table2[GameDate], "&lt;=" &amp; $A174, Table2[HomeTeam], AG$1)</f>
        <v>4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2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0</v>
      </c>
      <c r="E175" s="145">
        <f>SUMIFS(Table2[NewPointsAway],Table2[GameDate], "&lt;=" &amp; $A175, Table2[AwayTeam], E$1)+SUMIFS(Table2[NewPointsHome],Table2[GameDate], "&lt;=" &amp; $A175, Table2[HomeTeam], E$1)</f>
        <v>4</v>
      </c>
      <c r="F175" s="145">
        <f>SUMIFS(Table2[NewPointsAway],Table2[GameDate], "&lt;=" &amp; $A175, Table2[AwayTeam], F$1)+SUMIFS(Table2[NewPointsHome],Table2[GameDate], "&lt;=" &amp; $A175, Table2[HomeTeam], F$1)</f>
        <v>2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3</v>
      </c>
      <c r="I175" s="145">
        <f>SUMIFS(Table2[NewPointsAway],Table2[GameDate], "&lt;=" &amp; $A175, Table2[AwayTeam], I$1)+SUMIFS(Table2[NewPointsHome],Table2[GameDate], "&lt;=" &amp; $A175, Table2[HomeTeam], I$1)</f>
        <v>7</v>
      </c>
      <c r="J175" s="145">
        <f>SUMIFS(Table2[NewPointsAway],Table2[GameDate], "&lt;=" &amp; $A175, Table2[AwayTeam], J$1)+SUMIFS(Table2[NewPointsHome],Table2[GameDate], "&lt;=" &amp; $A175, Table2[HomeTeam], J$1)</f>
        <v>4</v>
      </c>
      <c r="K175" s="145">
        <f>SUMIFS(Table2[NewPointsAway],Table2[GameDate], "&lt;=" &amp; $A175, Table2[AwayTeam], K$1)+SUMIFS(Table2[NewPointsHome],Table2[GameDate], "&lt;=" &amp; $A175, Table2[HomeTeam], K$1)</f>
        <v>4</v>
      </c>
      <c r="L175" s="145">
        <f>SUMIFS(Table2[NewPointsAway],Table2[GameDate], "&lt;=" &amp; $A175, Table2[AwayTeam], L$1)+SUMIFS(Table2[NewPointsHome],Table2[GameDate], "&lt;=" &amp; $A175, Table2[HomeTeam], L$1)</f>
        <v>3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3</v>
      </c>
      <c r="O175" s="145">
        <f>SUMIFS(Table2[NewPointsAway],Table2[GameDate], "&lt;=" &amp; $A175, Table2[AwayTeam], O$1)+SUMIFS(Table2[NewPointsHome],Table2[GameDate], "&lt;=" &amp; $A175, Table2[HomeTeam], O$1)</f>
        <v>4</v>
      </c>
      <c r="P175" s="145">
        <f>SUMIFS(Table2[NewPointsAway],Table2[GameDate], "&lt;=" &amp; $A175, Table2[AwayTeam], P$1)+SUMIFS(Table2[NewPointsHome],Table2[GameDate], "&lt;=" &amp; $A175, Table2[HomeTeam], P$1)</f>
        <v>4</v>
      </c>
      <c r="Q175" s="145">
        <f>SUMIFS(Table2[NewPointsAway],Table2[GameDate], "&lt;=" &amp; $A175, Table2[AwayTeam], Q$1)+SUMIFS(Table2[NewPointsHome],Table2[GameDate], "&lt;=" &amp; $A175, Table2[HomeTeam], Q$1)</f>
        <v>4</v>
      </c>
      <c r="R175" s="145">
        <f>SUMIFS(Table2[NewPointsAway],Table2[GameDate], "&lt;=" &amp; $A175, Table2[AwayTeam], R$1)+SUMIFS(Table2[NewPointsHome],Table2[GameDate], "&lt;=" &amp; $A175, Table2[HomeTeam], R$1)</f>
        <v>5</v>
      </c>
      <c r="S175" s="145">
        <f>SUMIFS(Table2[NewPointsAway],Table2[GameDate], "&lt;=" &amp; $A175, Table2[AwayTeam], S$1)+SUMIFS(Table2[NewPointsHome],Table2[GameDate], "&lt;=" &amp; $A175, Table2[HomeTeam], S$1)</f>
        <v>0</v>
      </c>
      <c r="T175" s="145">
        <f>SUMIFS(Table2[NewPointsAway],Table2[GameDate], "&lt;=" &amp; $A175, Table2[AwayTeam], T$1)+SUMIFS(Table2[NewPointsHome],Table2[GameDate], "&lt;=" &amp; $A175, Table2[HomeTeam], T$1)</f>
        <v>4</v>
      </c>
      <c r="U175" s="145">
        <f>SUMIFS(Table2[NewPointsAway],Table2[GameDate], "&lt;=" &amp; $A175, Table2[AwayTeam], U$1)+SUMIFS(Table2[NewPointsHome],Table2[GameDate], "&lt;=" &amp; $A175, Table2[HomeTeam], U$1)</f>
        <v>2</v>
      </c>
      <c r="V175" s="145">
        <f>SUMIFS(Table2[NewPointsAway],Table2[GameDate], "&lt;=" &amp; $A175, Table2[AwayTeam], V$1)+SUMIFS(Table2[NewPointsHome],Table2[GameDate], "&lt;=" &amp; $A175, Table2[HomeTeam], V$1)</f>
        <v>3</v>
      </c>
      <c r="W175" s="145">
        <f>SUMIFS(Table2[NewPointsAway],Table2[GameDate], "&lt;=" &amp; $A175, Table2[AwayTeam], W$1)+SUMIFS(Table2[NewPointsHome],Table2[GameDate], "&lt;=" &amp; $A175, Table2[HomeTeam], W$1)</f>
        <v>4</v>
      </c>
      <c r="X175" s="145">
        <f>SUMIFS(Table2[NewPointsAway],Table2[GameDate], "&lt;=" &amp; $A175, Table2[AwayTeam], X$1)+SUMIFS(Table2[NewPointsHome],Table2[GameDate], "&lt;=" &amp; $A175, Table2[HomeTeam], X$1)</f>
        <v>4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4</v>
      </c>
      <c r="AA175" s="145">
        <f>SUMIFS(Table2[NewPointsAway],Table2[GameDate], "&lt;=" &amp; $A175, Table2[AwayTeam], AA$1)+SUMIFS(Table2[NewPointsHome],Table2[GameDate], "&lt;=" &amp; $A175, Table2[HomeTeam], AA$1)</f>
        <v>2</v>
      </c>
      <c r="AB175" s="145">
        <f>SUMIFS(Table2[NewPointsAway],Table2[GameDate], "&lt;=" &amp; $A175, Table2[AwayTeam], AB$1)+SUMIFS(Table2[NewPointsHome],Table2[GameDate], "&lt;=" &amp; $A175, Table2[HomeTeam], AB$1)</f>
        <v>2</v>
      </c>
      <c r="AC175" s="145">
        <f>SUMIFS(Table2[NewPointsAway],Table2[GameDate], "&lt;=" &amp; $A175, Table2[AwayTeam], AC$1)+SUMIFS(Table2[NewPointsHome],Table2[GameDate], "&lt;=" &amp; $A175, Table2[HomeTeam], AC$1)</f>
        <v>2</v>
      </c>
      <c r="AD175" s="145">
        <f>SUMIFS(Table2[NewPointsAway],Table2[GameDate], "&lt;=" &amp; $A175, Table2[AwayTeam], AD$1)+SUMIFS(Table2[NewPointsHome],Table2[GameDate], "&lt;=" &amp; $A175, Table2[HomeTeam], AD$1)</f>
        <v>2</v>
      </c>
      <c r="AE175" s="145">
        <f>SUMIFS(Table2[NewPointsAway],Table2[GameDate], "&lt;=" &amp; $A175, Table2[AwayTeam], AE$1)+SUMIFS(Table2[NewPointsHome],Table2[GameDate], "&lt;=" &amp; $A175, Table2[HomeTeam], AE$1)</f>
        <v>4</v>
      </c>
      <c r="AF175" s="145">
        <f>SUMIFS(Table2[NewPointsAway],Table2[GameDate], "&lt;=" &amp; $A175, Table2[AwayTeam], AF$1)+SUMIFS(Table2[NewPointsHome],Table2[GameDate], "&lt;=" &amp; $A175, Table2[HomeTeam], AF$1)</f>
        <v>4</v>
      </c>
      <c r="AG175" s="145">
        <f>SUMIFS(Table2[NewPointsAway],Table2[GameDate], "&lt;=" &amp; $A175, Table2[AwayTeam], AG$1)+SUMIFS(Table2[NewPointsHome],Table2[GameDate], "&lt;=" &amp; $A175, Table2[HomeTeam], AG$1)</f>
        <v>4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2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0</v>
      </c>
      <c r="E176" s="145">
        <f>SUMIFS(Table2[NewPointsAway],Table2[GameDate], "&lt;=" &amp; $A176, Table2[AwayTeam], E$1)+SUMIFS(Table2[NewPointsHome],Table2[GameDate], "&lt;=" &amp; $A176, Table2[HomeTeam], E$1)</f>
        <v>4</v>
      </c>
      <c r="F176" s="145">
        <f>SUMIFS(Table2[NewPointsAway],Table2[GameDate], "&lt;=" &amp; $A176, Table2[AwayTeam], F$1)+SUMIFS(Table2[NewPointsHome],Table2[GameDate], "&lt;=" &amp; $A176, Table2[HomeTeam], F$1)</f>
        <v>2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3</v>
      </c>
      <c r="I176" s="145">
        <f>SUMIFS(Table2[NewPointsAway],Table2[GameDate], "&lt;=" &amp; $A176, Table2[AwayTeam], I$1)+SUMIFS(Table2[NewPointsHome],Table2[GameDate], "&lt;=" &amp; $A176, Table2[HomeTeam], I$1)</f>
        <v>7</v>
      </c>
      <c r="J176" s="145">
        <f>SUMIFS(Table2[NewPointsAway],Table2[GameDate], "&lt;=" &amp; $A176, Table2[AwayTeam], J$1)+SUMIFS(Table2[NewPointsHome],Table2[GameDate], "&lt;=" &amp; $A176, Table2[HomeTeam], J$1)</f>
        <v>4</v>
      </c>
      <c r="K176" s="145">
        <f>SUMIFS(Table2[NewPointsAway],Table2[GameDate], "&lt;=" &amp; $A176, Table2[AwayTeam], K$1)+SUMIFS(Table2[NewPointsHome],Table2[GameDate], "&lt;=" &amp; $A176, Table2[HomeTeam], K$1)</f>
        <v>4</v>
      </c>
      <c r="L176" s="145">
        <f>SUMIFS(Table2[NewPointsAway],Table2[GameDate], "&lt;=" &amp; $A176, Table2[AwayTeam], L$1)+SUMIFS(Table2[NewPointsHome],Table2[GameDate], "&lt;=" &amp; $A176, Table2[HomeTeam], L$1)</f>
        <v>3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3</v>
      </c>
      <c r="O176" s="145">
        <f>SUMIFS(Table2[NewPointsAway],Table2[GameDate], "&lt;=" &amp; $A176, Table2[AwayTeam], O$1)+SUMIFS(Table2[NewPointsHome],Table2[GameDate], "&lt;=" &amp; $A176, Table2[HomeTeam], O$1)</f>
        <v>4</v>
      </c>
      <c r="P176" s="145">
        <f>SUMIFS(Table2[NewPointsAway],Table2[GameDate], "&lt;=" &amp; $A176, Table2[AwayTeam], P$1)+SUMIFS(Table2[NewPointsHome],Table2[GameDate], "&lt;=" &amp; $A176, Table2[HomeTeam], P$1)</f>
        <v>4</v>
      </c>
      <c r="Q176" s="145">
        <f>SUMIFS(Table2[NewPointsAway],Table2[GameDate], "&lt;=" &amp; $A176, Table2[AwayTeam], Q$1)+SUMIFS(Table2[NewPointsHome],Table2[GameDate], "&lt;=" &amp; $A176, Table2[HomeTeam], Q$1)</f>
        <v>4</v>
      </c>
      <c r="R176" s="145">
        <f>SUMIFS(Table2[NewPointsAway],Table2[GameDate], "&lt;=" &amp; $A176, Table2[AwayTeam], R$1)+SUMIFS(Table2[NewPointsHome],Table2[GameDate], "&lt;=" &amp; $A176, Table2[HomeTeam], R$1)</f>
        <v>5</v>
      </c>
      <c r="S176" s="145">
        <f>SUMIFS(Table2[NewPointsAway],Table2[GameDate], "&lt;=" &amp; $A176, Table2[AwayTeam], S$1)+SUMIFS(Table2[NewPointsHome],Table2[GameDate], "&lt;=" &amp; $A176, Table2[HomeTeam], S$1)</f>
        <v>0</v>
      </c>
      <c r="T176" s="145">
        <f>SUMIFS(Table2[NewPointsAway],Table2[GameDate], "&lt;=" &amp; $A176, Table2[AwayTeam], T$1)+SUMIFS(Table2[NewPointsHome],Table2[GameDate], "&lt;=" &amp; $A176, Table2[HomeTeam], T$1)</f>
        <v>4</v>
      </c>
      <c r="U176" s="145">
        <f>SUMIFS(Table2[NewPointsAway],Table2[GameDate], "&lt;=" &amp; $A176, Table2[AwayTeam], U$1)+SUMIFS(Table2[NewPointsHome],Table2[GameDate], "&lt;=" &amp; $A176, Table2[HomeTeam], U$1)</f>
        <v>2</v>
      </c>
      <c r="V176" s="145">
        <f>SUMIFS(Table2[NewPointsAway],Table2[GameDate], "&lt;=" &amp; $A176, Table2[AwayTeam], V$1)+SUMIFS(Table2[NewPointsHome],Table2[GameDate], "&lt;=" &amp; $A176, Table2[HomeTeam], V$1)</f>
        <v>3</v>
      </c>
      <c r="W176" s="145">
        <f>SUMIFS(Table2[NewPointsAway],Table2[GameDate], "&lt;=" &amp; $A176, Table2[AwayTeam], W$1)+SUMIFS(Table2[NewPointsHome],Table2[GameDate], "&lt;=" &amp; $A176, Table2[HomeTeam], W$1)</f>
        <v>4</v>
      </c>
      <c r="X176" s="145">
        <f>SUMIFS(Table2[NewPointsAway],Table2[GameDate], "&lt;=" &amp; $A176, Table2[AwayTeam], X$1)+SUMIFS(Table2[NewPointsHome],Table2[GameDate], "&lt;=" &amp; $A176, Table2[HomeTeam], X$1)</f>
        <v>4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4</v>
      </c>
      <c r="AA176" s="145">
        <f>SUMIFS(Table2[NewPointsAway],Table2[GameDate], "&lt;=" &amp; $A176, Table2[AwayTeam], AA$1)+SUMIFS(Table2[NewPointsHome],Table2[GameDate], "&lt;=" &amp; $A176, Table2[HomeTeam], AA$1)</f>
        <v>2</v>
      </c>
      <c r="AB176" s="145">
        <f>SUMIFS(Table2[NewPointsAway],Table2[GameDate], "&lt;=" &amp; $A176, Table2[AwayTeam], AB$1)+SUMIFS(Table2[NewPointsHome],Table2[GameDate], "&lt;=" &amp; $A176, Table2[HomeTeam], AB$1)</f>
        <v>2</v>
      </c>
      <c r="AC176" s="145">
        <f>SUMIFS(Table2[NewPointsAway],Table2[GameDate], "&lt;=" &amp; $A176, Table2[AwayTeam], AC$1)+SUMIFS(Table2[NewPointsHome],Table2[GameDate], "&lt;=" &amp; $A176, Table2[HomeTeam], AC$1)</f>
        <v>2</v>
      </c>
      <c r="AD176" s="145">
        <f>SUMIFS(Table2[NewPointsAway],Table2[GameDate], "&lt;=" &amp; $A176, Table2[AwayTeam], AD$1)+SUMIFS(Table2[NewPointsHome],Table2[GameDate], "&lt;=" &amp; $A176, Table2[HomeTeam], AD$1)</f>
        <v>2</v>
      </c>
      <c r="AE176" s="145">
        <f>SUMIFS(Table2[NewPointsAway],Table2[GameDate], "&lt;=" &amp; $A176, Table2[AwayTeam], AE$1)+SUMIFS(Table2[NewPointsHome],Table2[GameDate], "&lt;=" &amp; $A176, Table2[HomeTeam], AE$1)</f>
        <v>4</v>
      </c>
      <c r="AF176" s="145">
        <f>SUMIFS(Table2[NewPointsAway],Table2[GameDate], "&lt;=" &amp; $A176, Table2[AwayTeam], AF$1)+SUMIFS(Table2[NewPointsHome],Table2[GameDate], "&lt;=" &amp; $A176, Table2[HomeTeam], AF$1)</f>
        <v>4</v>
      </c>
      <c r="AG176" s="145">
        <f>SUMIFS(Table2[NewPointsAway],Table2[GameDate], "&lt;=" &amp; $A176, Table2[AwayTeam], AG$1)+SUMIFS(Table2[NewPointsHome],Table2[GameDate], "&lt;=" &amp; $A176, Table2[HomeTeam], AG$1)</f>
        <v>4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2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0</v>
      </c>
      <c r="E177" s="145">
        <f>SUMIFS(Table2[NewPointsAway],Table2[GameDate], "&lt;=" &amp; $A177, Table2[AwayTeam], E$1)+SUMIFS(Table2[NewPointsHome],Table2[GameDate], "&lt;=" &amp; $A177, Table2[HomeTeam], E$1)</f>
        <v>4</v>
      </c>
      <c r="F177" s="145">
        <f>SUMIFS(Table2[NewPointsAway],Table2[GameDate], "&lt;=" &amp; $A177, Table2[AwayTeam], F$1)+SUMIFS(Table2[NewPointsHome],Table2[GameDate], "&lt;=" &amp; $A177, Table2[HomeTeam], F$1)</f>
        <v>2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3</v>
      </c>
      <c r="I177" s="145">
        <f>SUMIFS(Table2[NewPointsAway],Table2[GameDate], "&lt;=" &amp; $A177, Table2[AwayTeam], I$1)+SUMIFS(Table2[NewPointsHome],Table2[GameDate], "&lt;=" &amp; $A177, Table2[HomeTeam], I$1)</f>
        <v>7</v>
      </c>
      <c r="J177" s="145">
        <f>SUMIFS(Table2[NewPointsAway],Table2[GameDate], "&lt;=" &amp; $A177, Table2[AwayTeam], J$1)+SUMIFS(Table2[NewPointsHome],Table2[GameDate], "&lt;=" &amp; $A177, Table2[HomeTeam], J$1)</f>
        <v>4</v>
      </c>
      <c r="K177" s="145">
        <f>SUMIFS(Table2[NewPointsAway],Table2[GameDate], "&lt;=" &amp; $A177, Table2[AwayTeam], K$1)+SUMIFS(Table2[NewPointsHome],Table2[GameDate], "&lt;=" &amp; $A177, Table2[HomeTeam], K$1)</f>
        <v>4</v>
      </c>
      <c r="L177" s="145">
        <f>SUMIFS(Table2[NewPointsAway],Table2[GameDate], "&lt;=" &amp; $A177, Table2[AwayTeam], L$1)+SUMIFS(Table2[NewPointsHome],Table2[GameDate], "&lt;=" &amp; $A177, Table2[HomeTeam], L$1)</f>
        <v>3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3</v>
      </c>
      <c r="O177" s="145">
        <f>SUMIFS(Table2[NewPointsAway],Table2[GameDate], "&lt;=" &amp; $A177, Table2[AwayTeam], O$1)+SUMIFS(Table2[NewPointsHome],Table2[GameDate], "&lt;=" &amp; $A177, Table2[HomeTeam], O$1)</f>
        <v>4</v>
      </c>
      <c r="P177" s="145">
        <f>SUMIFS(Table2[NewPointsAway],Table2[GameDate], "&lt;=" &amp; $A177, Table2[AwayTeam], P$1)+SUMIFS(Table2[NewPointsHome],Table2[GameDate], "&lt;=" &amp; $A177, Table2[HomeTeam], P$1)</f>
        <v>4</v>
      </c>
      <c r="Q177" s="145">
        <f>SUMIFS(Table2[NewPointsAway],Table2[GameDate], "&lt;=" &amp; $A177, Table2[AwayTeam], Q$1)+SUMIFS(Table2[NewPointsHome],Table2[GameDate], "&lt;=" &amp; $A177, Table2[HomeTeam], Q$1)</f>
        <v>4</v>
      </c>
      <c r="R177" s="145">
        <f>SUMIFS(Table2[NewPointsAway],Table2[GameDate], "&lt;=" &amp; $A177, Table2[AwayTeam], R$1)+SUMIFS(Table2[NewPointsHome],Table2[GameDate], "&lt;=" &amp; $A177, Table2[HomeTeam], R$1)</f>
        <v>5</v>
      </c>
      <c r="S177" s="145">
        <f>SUMIFS(Table2[NewPointsAway],Table2[GameDate], "&lt;=" &amp; $A177, Table2[AwayTeam], S$1)+SUMIFS(Table2[NewPointsHome],Table2[GameDate], "&lt;=" &amp; $A177, Table2[HomeTeam], S$1)</f>
        <v>0</v>
      </c>
      <c r="T177" s="145">
        <f>SUMIFS(Table2[NewPointsAway],Table2[GameDate], "&lt;=" &amp; $A177, Table2[AwayTeam], T$1)+SUMIFS(Table2[NewPointsHome],Table2[GameDate], "&lt;=" &amp; $A177, Table2[HomeTeam], T$1)</f>
        <v>4</v>
      </c>
      <c r="U177" s="145">
        <f>SUMIFS(Table2[NewPointsAway],Table2[GameDate], "&lt;=" &amp; $A177, Table2[AwayTeam], U$1)+SUMIFS(Table2[NewPointsHome],Table2[GameDate], "&lt;=" &amp; $A177, Table2[HomeTeam], U$1)</f>
        <v>2</v>
      </c>
      <c r="V177" s="145">
        <f>SUMIFS(Table2[NewPointsAway],Table2[GameDate], "&lt;=" &amp; $A177, Table2[AwayTeam], V$1)+SUMIFS(Table2[NewPointsHome],Table2[GameDate], "&lt;=" &amp; $A177, Table2[HomeTeam], V$1)</f>
        <v>3</v>
      </c>
      <c r="W177" s="145">
        <f>SUMIFS(Table2[NewPointsAway],Table2[GameDate], "&lt;=" &amp; $A177, Table2[AwayTeam], W$1)+SUMIFS(Table2[NewPointsHome],Table2[GameDate], "&lt;=" &amp; $A177, Table2[HomeTeam], W$1)</f>
        <v>4</v>
      </c>
      <c r="X177" s="145">
        <f>SUMIFS(Table2[NewPointsAway],Table2[GameDate], "&lt;=" &amp; $A177, Table2[AwayTeam], X$1)+SUMIFS(Table2[NewPointsHome],Table2[GameDate], "&lt;=" &amp; $A177, Table2[HomeTeam], X$1)</f>
        <v>4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4</v>
      </c>
      <c r="AA177" s="145">
        <f>SUMIFS(Table2[NewPointsAway],Table2[GameDate], "&lt;=" &amp; $A177, Table2[AwayTeam], AA$1)+SUMIFS(Table2[NewPointsHome],Table2[GameDate], "&lt;=" &amp; $A177, Table2[HomeTeam], AA$1)</f>
        <v>2</v>
      </c>
      <c r="AB177" s="145">
        <f>SUMIFS(Table2[NewPointsAway],Table2[GameDate], "&lt;=" &amp; $A177, Table2[AwayTeam], AB$1)+SUMIFS(Table2[NewPointsHome],Table2[GameDate], "&lt;=" &amp; $A177, Table2[HomeTeam], AB$1)</f>
        <v>2</v>
      </c>
      <c r="AC177" s="145">
        <f>SUMIFS(Table2[NewPointsAway],Table2[GameDate], "&lt;=" &amp; $A177, Table2[AwayTeam], AC$1)+SUMIFS(Table2[NewPointsHome],Table2[GameDate], "&lt;=" &amp; $A177, Table2[HomeTeam], AC$1)</f>
        <v>2</v>
      </c>
      <c r="AD177" s="145">
        <f>SUMIFS(Table2[NewPointsAway],Table2[GameDate], "&lt;=" &amp; $A177, Table2[AwayTeam], AD$1)+SUMIFS(Table2[NewPointsHome],Table2[GameDate], "&lt;=" &amp; $A177, Table2[HomeTeam], AD$1)</f>
        <v>2</v>
      </c>
      <c r="AE177" s="145">
        <f>SUMIFS(Table2[NewPointsAway],Table2[GameDate], "&lt;=" &amp; $A177, Table2[AwayTeam], AE$1)+SUMIFS(Table2[NewPointsHome],Table2[GameDate], "&lt;=" &amp; $A177, Table2[HomeTeam], AE$1)</f>
        <v>4</v>
      </c>
      <c r="AF177" s="145">
        <f>SUMIFS(Table2[NewPointsAway],Table2[GameDate], "&lt;=" &amp; $A177, Table2[AwayTeam], AF$1)+SUMIFS(Table2[NewPointsHome],Table2[GameDate], "&lt;=" &amp; $A177, Table2[HomeTeam], AF$1)</f>
        <v>4</v>
      </c>
      <c r="AG177" s="145">
        <f>SUMIFS(Table2[NewPointsAway],Table2[GameDate], "&lt;=" &amp; $A177, Table2[AwayTeam], AG$1)+SUMIFS(Table2[NewPointsHome],Table2[GameDate], "&lt;=" &amp; $A177, Table2[HomeTeam], AG$1)</f>
        <v>4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2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0</v>
      </c>
      <c r="E178" s="145">
        <f>SUMIFS(Table2[NewPointsAway],Table2[GameDate], "&lt;=" &amp; $A178, Table2[AwayTeam], E$1)+SUMIFS(Table2[NewPointsHome],Table2[GameDate], "&lt;=" &amp; $A178, Table2[HomeTeam], E$1)</f>
        <v>4</v>
      </c>
      <c r="F178" s="145">
        <f>SUMIFS(Table2[NewPointsAway],Table2[GameDate], "&lt;=" &amp; $A178, Table2[AwayTeam], F$1)+SUMIFS(Table2[NewPointsHome],Table2[GameDate], "&lt;=" &amp; $A178, Table2[HomeTeam], F$1)</f>
        <v>2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3</v>
      </c>
      <c r="I178" s="145">
        <f>SUMIFS(Table2[NewPointsAway],Table2[GameDate], "&lt;=" &amp; $A178, Table2[AwayTeam], I$1)+SUMIFS(Table2[NewPointsHome],Table2[GameDate], "&lt;=" &amp; $A178, Table2[HomeTeam], I$1)</f>
        <v>7</v>
      </c>
      <c r="J178" s="145">
        <f>SUMIFS(Table2[NewPointsAway],Table2[GameDate], "&lt;=" &amp; $A178, Table2[AwayTeam], J$1)+SUMIFS(Table2[NewPointsHome],Table2[GameDate], "&lt;=" &amp; $A178, Table2[HomeTeam], J$1)</f>
        <v>4</v>
      </c>
      <c r="K178" s="145">
        <f>SUMIFS(Table2[NewPointsAway],Table2[GameDate], "&lt;=" &amp; $A178, Table2[AwayTeam], K$1)+SUMIFS(Table2[NewPointsHome],Table2[GameDate], "&lt;=" &amp; $A178, Table2[HomeTeam], K$1)</f>
        <v>4</v>
      </c>
      <c r="L178" s="145">
        <f>SUMIFS(Table2[NewPointsAway],Table2[GameDate], "&lt;=" &amp; $A178, Table2[AwayTeam], L$1)+SUMIFS(Table2[NewPointsHome],Table2[GameDate], "&lt;=" &amp; $A178, Table2[HomeTeam], L$1)</f>
        <v>3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3</v>
      </c>
      <c r="O178" s="145">
        <f>SUMIFS(Table2[NewPointsAway],Table2[GameDate], "&lt;=" &amp; $A178, Table2[AwayTeam], O$1)+SUMIFS(Table2[NewPointsHome],Table2[GameDate], "&lt;=" &amp; $A178, Table2[HomeTeam], O$1)</f>
        <v>4</v>
      </c>
      <c r="P178" s="145">
        <f>SUMIFS(Table2[NewPointsAway],Table2[GameDate], "&lt;=" &amp; $A178, Table2[AwayTeam], P$1)+SUMIFS(Table2[NewPointsHome],Table2[GameDate], "&lt;=" &amp; $A178, Table2[HomeTeam], P$1)</f>
        <v>4</v>
      </c>
      <c r="Q178" s="145">
        <f>SUMIFS(Table2[NewPointsAway],Table2[GameDate], "&lt;=" &amp; $A178, Table2[AwayTeam], Q$1)+SUMIFS(Table2[NewPointsHome],Table2[GameDate], "&lt;=" &amp; $A178, Table2[HomeTeam], Q$1)</f>
        <v>4</v>
      </c>
      <c r="R178" s="145">
        <f>SUMIFS(Table2[NewPointsAway],Table2[GameDate], "&lt;=" &amp; $A178, Table2[AwayTeam], R$1)+SUMIFS(Table2[NewPointsHome],Table2[GameDate], "&lt;=" &amp; $A178, Table2[HomeTeam], R$1)</f>
        <v>5</v>
      </c>
      <c r="S178" s="145">
        <f>SUMIFS(Table2[NewPointsAway],Table2[GameDate], "&lt;=" &amp; $A178, Table2[AwayTeam], S$1)+SUMIFS(Table2[NewPointsHome],Table2[GameDate], "&lt;=" &amp; $A178, Table2[HomeTeam], S$1)</f>
        <v>0</v>
      </c>
      <c r="T178" s="145">
        <f>SUMIFS(Table2[NewPointsAway],Table2[GameDate], "&lt;=" &amp; $A178, Table2[AwayTeam], T$1)+SUMIFS(Table2[NewPointsHome],Table2[GameDate], "&lt;=" &amp; $A178, Table2[HomeTeam], T$1)</f>
        <v>4</v>
      </c>
      <c r="U178" s="145">
        <f>SUMIFS(Table2[NewPointsAway],Table2[GameDate], "&lt;=" &amp; $A178, Table2[AwayTeam], U$1)+SUMIFS(Table2[NewPointsHome],Table2[GameDate], "&lt;=" &amp; $A178, Table2[HomeTeam], U$1)</f>
        <v>2</v>
      </c>
      <c r="V178" s="145">
        <f>SUMIFS(Table2[NewPointsAway],Table2[GameDate], "&lt;=" &amp; $A178, Table2[AwayTeam], V$1)+SUMIFS(Table2[NewPointsHome],Table2[GameDate], "&lt;=" &amp; $A178, Table2[HomeTeam], V$1)</f>
        <v>3</v>
      </c>
      <c r="W178" s="145">
        <f>SUMIFS(Table2[NewPointsAway],Table2[GameDate], "&lt;=" &amp; $A178, Table2[AwayTeam], W$1)+SUMIFS(Table2[NewPointsHome],Table2[GameDate], "&lt;=" &amp; $A178, Table2[HomeTeam], W$1)</f>
        <v>4</v>
      </c>
      <c r="X178" s="145">
        <f>SUMIFS(Table2[NewPointsAway],Table2[GameDate], "&lt;=" &amp; $A178, Table2[AwayTeam], X$1)+SUMIFS(Table2[NewPointsHome],Table2[GameDate], "&lt;=" &amp; $A178, Table2[HomeTeam], X$1)</f>
        <v>4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4</v>
      </c>
      <c r="AA178" s="145">
        <f>SUMIFS(Table2[NewPointsAway],Table2[GameDate], "&lt;=" &amp; $A178, Table2[AwayTeam], AA$1)+SUMIFS(Table2[NewPointsHome],Table2[GameDate], "&lt;=" &amp; $A178, Table2[HomeTeam], AA$1)</f>
        <v>2</v>
      </c>
      <c r="AB178" s="145">
        <f>SUMIFS(Table2[NewPointsAway],Table2[GameDate], "&lt;=" &amp; $A178, Table2[AwayTeam], AB$1)+SUMIFS(Table2[NewPointsHome],Table2[GameDate], "&lt;=" &amp; $A178, Table2[HomeTeam], AB$1)</f>
        <v>2</v>
      </c>
      <c r="AC178" s="145">
        <f>SUMIFS(Table2[NewPointsAway],Table2[GameDate], "&lt;=" &amp; $A178, Table2[AwayTeam], AC$1)+SUMIFS(Table2[NewPointsHome],Table2[GameDate], "&lt;=" &amp; $A178, Table2[HomeTeam], AC$1)</f>
        <v>2</v>
      </c>
      <c r="AD178" s="145">
        <f>SUMIFS(Table2[NewPointsAway],Table2[GameDate], "&lt;=" &amp; $A178, Table2[AwayTeam], AD$1)+SUMIFS(Table2[NewPointsHome],Table2[GameDate], "&lt;=" &amp; $A178, Table2[HomeTeam], AD$1)</f>
        <v>2</v>
      </c>
      <c r="AE178" s="145">
        <f>SUMIFS(Table2[NewPointsAway],Table2[GameDate], "&lt;=" &amp; $A178, Table2[AwayTeam], AE$1)+SUMIFS(Table2[NewPointsHome],Table2[GameDate], "&lt;=" &amp; $A178, Table2[HomeTeam], AE$1)</f>
        <v>4</v>
      </c>
      <c r="AF178" s="145">
        <f>SUMIFS(Table2[NewPointsAway],Table2[GameDate], "&lt;=" &amp; $A178, Table2[AwayTeam], AF$1)+SUMIFS(Table2[NewPointsHome],Table2[GameDate], "&lt;=" &amp; $A178, Table2[HomeTeam], AF$1)</f>
        <v>4</v>
      </c>
      <c r="AG178" s="145">
        <f>SUMIFS(Table2[NewPointsAway],Table2[GameDate], "&lt;=" &amp; $A178, Table2[AwayTeam], AG$1)+SUMIFS(Table2[NewPointsHome],Table2[GameDate], "&lt;=" &amp; $A178, Table2[HomeTeam], AG$1)</f>
        <v>4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2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0</v>
      </c>
      <c r="E179" s="145">
        <f>SUMIFS(Table2[NewPointsAway],Table2[GameDate], "&lt;=" &amp; $A179, Table2[AwayTeam], E$1)+SUMIFS(Table2[NewPointsHome],Table2[GameDate], "&lt;=" &amp; $A179, Table2[HomeTeam], E$1)</f>
        <v>4</v>
      </c>
      <c r="F179" s="145">
        <f>SUMIFS(Table2[NewPointsAway],Table2[GameDate], "&lt;=" &amp; $A179, Table2[AwayTeam], F$1)+SUMIFS(Table2[NewPointsHome],Table2[GameDate], "&lt;=" &amp; $A179, Table2[HomeTeam], F$1)</f>
        <v>2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3</v>
      </c>
      <c r="I179" s="145">
        <f>SUMIFS(Table2[NewPointsAway],Table2[GameDate], "&lt;=" &amp; $A179, Table2[AwayTeam], I$1)+SUMIFS(Table2[NewPointsHome],Table2[GameDate], "&lt;=" &amp; $A179, Table2[HomeTeam], I$1)</f>
        <v>7</v>
      </c>
      <c r="J179" s="145">
        <f>SUMIFS(Table2[NewPointsAway],Table2[GameDate], "&lt;=" &amp; $A179, Table2[AwayTeam], J$1)+SUMIFS(Table2[NewPointsHome],Table2[GameDate], "&lt;=" &amp; $A179, Table2[HomeTeam], J$1)</f>
        <v>4</v>
      </c>
      <c r="K179" s="145">
        <f>SUMIFS(Table2[NewPointsAway],Table2[GameDate], "&lt;=" &amp; $A179, Table2[AwayTeam], K$1)+SUMIFS(Table2[NewPointsHome],Table2[GameDate], "&lt;=" &amp; $A179, Table2[HomeTeam], K$1)</f>
        <v>4</v>
      </c>
      <c r="L179" s="145">
        <f>SUMIFS(Table2[NewPointsAway],Table2[GameDate], "&lt;=" &amp; $A179, Table2[AwayTeam], L$1)+SUMIFS(Table2[NewPointsHome],Table2[GameDate], "&lt;=" &amp; $A179, Table2[HomeTeam], L$1)</f>
        <v>3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3</v>
      </c>
      <c r="O179" s="145">
        <f>SUMIFS(Table2[NewPointsAway],Table2[GameDate], "&lt;=" &amp; $A179, Table2[AwayTeam], O$1)+SUMIFS(Table2[NewPointsHome],Table2[GameDate], "&lt;=" &amp; $A179, Table2[HomeTeam], O$1)</f>
        <v>4</v>
      </c>
      <c r="P179" s="145">
        <f>SUMIFS(Table2[NewPointsAway],Table2[GameDate], "&lt;=" &amp; $A179, Table2[AwayTeam], P$1)+SUMIFS(Table2[NewPointsHome],Table2[GameDate], "&lt;=" &amp; $A179, Table2[HomeTeam], P$1)</f>
        <v>4</v>
      </c>
      <c r="Q179" s="145">
        <f>SUMIFS(Table2[NewPointsAway],Table2[GameDate], "&lt;=" &amp; $A179, Table2[AwayTeam], Q$1)+SUMIFS(Table2[NewPointsHome],Table2[GameDate], "&lt;=" &amp; $A179, Table2[HomeTeam], Q$1)</f>
        <v>4</v>
      </c>
      <c r="R179" s="145">
        <f>SUMIFS(Table2[NewPointsAway],Table2[GameDate], "&lt;=" &amp; $A179, Table2[AwayTeam], R$1)+SUMIFS(Table2[NewPointsHome],Table2[GameDate], "&lt;=" &amp; $A179, Table2[HomeTeam], R$1)</f>
        <v>5</v>
      </c>
      <c r="S179" s="145">
        <f>SUMIFS(Table2[NewPointsAway],Table2[GameDate], "&lt;=" &amp; $A179, Table2[AwayTeam], S$1)+SUMIFS(Table2[NewPointsHome],Table2[GameDate], "&lt;=" &amp; $A179, Table2[HomeTeam], S$1)</f>
        <v>0</v>
      </c>
      <c r="T179" s="145">
        <f>SUMIFS(Table2[NewPointsAway],Table2[GameDate], "&lt;=" &amp; $A179, Table2[AwayTeam], T$1)+SUMIFS(Table2[NewPointsHome],Table2[GameDate], "&lt;=" &amp; $A179, Table2[HomeTeam], T$1)</f>
        <v>4</v>
      </c>
      <c r="U179" s="145">
        <f>SUMIFS(Table2[NewPointsAway],Table2[GameDate], "&lt;=" &amp; $A179, Table2[AwayTeam], U$1)+SUMIFS(Table2[NewPointsHome],Table2[GameDate], "&lt;=" &amp; $A179, Table2[HomeTeam], U$1)</f>
        <v>2</v>
      </c>
      <c r="V179" s="145">
        <f>SUMIFS(Table2[NewPointsAway],Table2[GameDate], "&lt;=" &amp; $A179, Table2[AwayTeam], V$1)+SUMIFS(Table2[NewPointsHome],Table2[GameDate], "&lt;=" &amp; $A179, Table2[HomeTeam], V$1)</f>
        <v>3</v>
      </c>
      <c r="W179" s="145">
        <f>SUMIFS(Table2[NewPointsAway],Table2[GameDate], "&lt;=" &amp; $A179, Table2[AwayTeam], W$1)+SUMIFS(Table2[NewPointsHome],Table2[GameDate], "&lt;=" &amp; $A179, Table2[HomeTeam], W$1)</f>
        <v>4</v>
      </c>
      <c r="X179" s="145">
        <f>SUMIFS(Table2[NewPointsAway],Table2[GameDate], "&lt;=" &amp; $A179, Table2[AwayTeam], X$1)+SUMIFS(Table2[NewPointsHome],Table2[GameDate], "&lt;=" &amp; $A179, Table2[HomeTeam], X$1)</f>
        <v>4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4</v>
      </c>
      <c r="AA179" s="145">
        <f>SUMIFS(Table2[NewPointsAway],Table2[GameDate], "&lt;=" &amp; $A179, Table2[AwayTeam], AA$1)+SUMIFS(Table2[NewPointsHome],Table2[GameDate], "&lt;=" &amp; $A179, Table2[HomeTeam], AA$1)</f>
        <v>2</v>
      </c>
      <c r="AB179" s="145">
        <f>SUMIFS(Table2[NewPointsAway],Table2[GameDate], "&lt;=" &amp; $A179, Table2[AwayTeam], AB$1)+SUMIFS(Table2[NewPointsHome],Table2[GameDate], "&lt;=" &amp; $A179, Table2[HomeTeam], AB$1)</f>
        <v>2</v>
      </c>
      <c r="AC179" s="145">
        <f>SUMIFS(Table2[NewPointsAway],Table2[GameDate], "&lt;=" &amp; $A179, Table2[AwayTeam], AC$1)+SUMIFS(Table2[NewPointsHome],Table2[GameDate], "&lt;=" &amp; $A179, Table2[HomeTeam], AC$1)</f>
        <v>2</v>
      </c>
      <c r="AD179" s="145">
        <f>SUMIFS(Table2[NewPointsAway],Table2[GameDate], "&lt;=" &amp; $A179, Table2[AwayTeam], AD$1)+SUMIFS(Table2[NewPointsHome],Table2[GameDate], "&lt;=" &amp; $A179, Table2[HomeTeam], AD$1)</f>
        <v>2</v>
      </c>
      <c r="AE179" s="145">
        <f>SUMIFS(Table2[NewPointsAway],Table2[GameDate], "&lt;=" &amp; $A179, Table2[AwayTeam], AE$1)+SUMIFS(Table2[NewPointsHome],Table2[GameDate], "&lt;=" &amp; $A179, Table2[HomeTeam], AE$1)</f>
        <v>4</v>
      </c>
      <c r="AF179" s="145">
        <f>SUMIFS(Table2[NewPointsAway],Table2[GameDate], "&lt;=" &amp; $A179, Table2[AwayTeam], AF$1)+SUMIFS(Table2[NewPointsHome],Table2[GameDate], "&lt;=" &amp; $A179, Table2[HomeTeam], AF$1)</f>
        <v>4</v>
      </c>
      <c r="AG179" s="145">
        <f>SUMIFS(Table2[NewPointsAway],Table2[GameDate], "&lt;=" &amp; $A179, Table2[AwayTeam], AG$1)+SUMIFS(Table2[NewPointsHome],Table2[GameDate], "&lt;=" &amp; $A179, Table2[HomeTeam], AG$1)</f>
        <v>4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2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0</v>
      </c>
      <c r="E180" s="145">
        <f>SUMIFS(Table2[NewPointsAway],Table2[GameDate], "&lt;=" &amp; $A180, Table2[AwayTeam], E$1)+SUMIFS(Table2[NewPointsHome],Table2[GameDate], "&lt;=" &amp; $A180, Table2[HomeTeam], E$1)</f>
        <v>4</v>
      </c>
      <c r="F180" s="145">
        <f>SUMIFS(Table2[NewPointsAway],Table2[GameDate], "&lt;=" &amp; $A180, Table2[AwayTeam], F$1)+SUMIFS(Table2[NewPointsHome],Table2[GameDate], "&lt;=" &amp; $A180, Table2[HomeTeam], F$1)</f>
        <v>2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3</v>
      </c>
      <c r="I180" s="145">
        <f>SUMIFS(Table2[NewPointsAway],Table2[GameDate], "&lt;=" &amp; $A180, Table2[AwayTeam], I$1)+SUMIFS(Table2[NewPointsHome],Table2[GameDate], "&lt;=" &amp; $A180, Table2[HomeTeam], I$1)</f>
        <v>7</v>
      </c>
      <c r="J180" s="145">
        <f>SUMIFS(Table2[NewPointsAway],Table2[GameDate], "&lt;=" &amp; $A180, Table2[AwayTeam], J$1)+SUMIFS(Table2[NewPointsHome],Table2[GameDate], "&lt;=" &amp; $A180, Table2[HomeTeam], J$1)</f>
        <v>4</v>
      </c>
      <c r="K180" s="145">
        <f>SUMIFS(Table2[NewPointsAway],Table2[GameDate], "&lt;=" &amp; $A180, Table2[AwayTeam], K$1)+SUMIFS(Table2[NewPointsHome],Table2[GameDate], "&lt;=" &amp; $A180, Table2[HomeTeam], K$1)</f>
        <v>4</v>
      </c>
      <c r="L180" s="145">
        <f>SUMIFS(Table2[NewPointsAway],Table2[GameDate], "&lt;=" &amp; $A180, Table2[AwayTeam], L$1)+SUMIFS(Table2[NewPointsHome],Table2[GameDate], "&lt;=" &amp; $A180, Table2[HomeTeam], L$1)</f>
        <v>3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3</v>
      </c>
      <c r="O180" s="145">
        <f>SUMIFS(Table2[NewPointsAway],Table2[GameDate], "&lt;=" &amp; $A180, Table2[AwayTeam], O$1)+SUMIFS(Table2[NewPointsHome],Table2[GameDate], "&lt;=" &amp; $A180, Table2[HomeTeam], O$1)</f>
        <v>4</v>
      </c>
      <c r="P180" s="145">
        <f>SUMIFS(Table2[NewPointsAway],Table2[GameDate], "&lt;=" &amp; $A180, Table2[AwayTeam], P$1)+SUMIFS(Table2[NewPointsHome],Table2[GameDate], "&lt;=" &amp; $A180, Table2[HomeTeam], P$1)</f>
        <v>4</v>
      </c>
      <c r="Q180" s="145">
        <f>SUMIFS(Table2[NewPointsAway],Table2[GameDate], "&lt;=" &amp; $A180, Table2[AwayTeam], Q$1)+SUMIFS(Table2[NewPointsHome],Table2[GameDate], "&lt;=" &amp; $A180, Table2[HomeTeam], Q$1)</f>
        <v>4</v>
      </c>
      <c r="R180" s="145">
        <f>SUMIFS(Table2[NewPointsAway],Table2[GameDate], "&lt;=" &amp; $A180, Table2[AwayTeam], R$1)+SUMIFS(Table2[NewPointsHome],Table2[GameDate], "&lt;=" &amp; $A180, Table2[HomeTeam], R$1)</f>
        <v>5</v>
      </c>
      <c r="S180" s="145">
        <f>SUMIFS(Table2[NewPointsAway],Table2[GameDate], "&lt;=" &amp; $A180, Table2[AwayTeam], S$1)+SUMIFS(Table2[NewPointsHome],Table2[GameDate], "&lt;=" &amp; $A180, Table2[HomeTeam], S$1)</f>
        <v>0</v>
      </c>
      <c r="T180" s="145">
        <f>SUMIFS(Table2[NewPointsAway],Table2[GameDate], "&lt;=" &amp; $A180, Table2[AwayTeam], T$1)+SUMIFS(Table2[NewPointsHome],Table2[GameDate], "&lt;=" &amp; $A180, Table2[HomeTeam], T$1)</f>
        <v>4</v>
      </c>
      <c r="U180" s="145">
        <f>SUMIFS(Table2[NewPointsAway],Table2[GameDate], "&lt;=" &amp; $A180, Table2[AwayTeam], U$1)+SUMIFS(Table2[NewPointsHome],Table2[GameDate], "&lt;=" &amp; $A180, Table2[HomeTeam], U$1)</f>
        <v>2</v>
      </c>
      <c r="V180" s="145">
        <f>SUMIFS(Table2[NewPointsAway],Table2[GameDate], "&lt;=" &amp; $A180, Table2[AwayTeam], V$1)+SUMIFS(Table2[NewPointsHome],Table2[GameDate], "&lt;=" &amp; $A180, Table2[HomeTeam], V$1)</f>
        <v>3</v>
      </c>
      <c r="W180" s="145">
        <f>SUMIFS(Table2[NewPointsAway],Table2[GameDate], "&lt;=" &amp; $A180, Table2[AwayTeam], W$1)+SUMIFS(Table2[NewPointsHome],Table2[GameDate], "&lt;=" &amp; $A180, Table2[HomeTeam], W$1)</f>
        <v>4</v>
      </c>
      <c r="X180" s="145">
        <f>SUMIFS(Table2[NewPointsAway],Table2[GameDate], "&lt;=" &amp; $A180, Table2[AwayTeam], X$1)+SUMIFS(Table2[NewPointsHome],Table2[GameDate], "&lt;=" &amp; $A180, Table2[HomeTeam], X$1)</f>
        <v>4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4</v>
      </c>
      <c r="AA180" s="145">
        <f>SUMIFS(Table2[NewPointsAway],Table2[GameDate], "&lt;=" &amp; $A180, Table2[AwayTeam], AA$1)+SUMIFS(Table2[NewPointsHome],Table2[GameDate], "&lt;=" &amp; $A180, Table2[HomeTeam], AA$1)</f>
        <v>2</v>
      </c>
      <c r="AB180" s="145">
        <f>SUMIFS(Table2[NewPointsAway],Table2[GameDate], "&lt;=" &amp; $A180, Table2[AwayTeam], AB$1)+SUMIFS(Table2[NewPointsHome],Table2[GameDate], "&lt;=" &amp; $A180, Table2[HomeTeam], AB$1)</f>
        <v>2</v>
      </c>
      <c r="AC180" s="145">
        <f>SUMIFS(Table2[NewPointsAway],Table2[GameDate], "&lt;=" &amp; $A180, Table2[AwayTeam], AC$1)+SUMIFS(Table2[NewPointsHome],Table2[GameDate], "&lt;=" &amp; $A180, Table2[HomeTeam], AC$1)</f>
        <v>2</v>
      </c>
      <c r="AD180" s="145">
        <f>SUMIFS(Table2[NewPointsAway],Table2[GameDate], "&lt;=" &amp; $A180, Table2[AwayTeam], AD$1)+SUMIFS(Table2[NewPointsHome],Table2[GameDate], "&lt;=" &amp; $A180, Table2[HomeTeam], AD$1)</f>
        <v>2</v>
      </c>
      <c r="AE180" s="145">
        <f>SUMIFS(Table2[NewPointsAway],Table2[GameDate], "&lt;=" &amp; $A180, Table2[AwayTeam], AE$1)+SUMIFS(Table2[NewPointsHome],Table2[GameDate], "&lt;=" &amp; $A180, Table2[HomeTeam], AE$1)</f>
        <v>4</v>
      </c>
      <c r="AF180" s="145">
        <f>SUMIFS(Table2[NewPointsAway],Table2[GameDate], "&lt;=" &amp; $A180, Table2[AwayTeam], AF$1)+SUMIFS(Table2[NewPointsHome],Table2[GameDate], "&lt;=" &amp; $A180, Table2[HomeTeam], AF$1)</f>
        <v>4</v>
      </c>
      <c r="AG180" s="145">
        <f>SUMIFS(Table2[NewPointsAway],Table2[GameDate], "&lt;=" &amp; $A180, Table2[AwayTeam], AG$1)+SUMIFS(Table2[NewPointsHome],Table2[GameDate], "&lt;=" &amp; $A180, Table2[HomeTeam], AG$1)</f>
        <v>4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2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0</v>
      </c>
      <c r="E181" s="145">
        <f>SUMIFS(Table2[NewPointsAway],Table2[GameDate], "&lt;=" &amp; $A181, Table2[AwayTeam], E$1)+SUMIFS(Table2[NewPointsHome],Table2[GameDate], "&lt;=" &amp; $A181, Table2[HomeTeam], E$1)</f>
        <v>4</v>
      </c>
      <c r="F181" s="145">
        <f>SUMIFS(Table2[NewPointsAway],Table2[GameDate], "&lt;=" &amp; $A181, Table2[AwayTeam], F$1)+SUMIFS(Table2[NewPointsHome],Table2[GameDate], "&lt;=" &amp; $A181, Table2[HomeTeam], F$1)</f>
        <v>2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3</v>
      </c>
      <c r="I181" s="145">
        <f>SUMIFS(Table2[NewPointsAway],Table2[GameDate], "&lt;=" &amp; $A181, Table2[AwayTeam], I$1)+SUMIFS(Table2[NewPointsHome],Table2[GameDate], "&lt;=" &amp; $A181, Table2[HomeTeam], I$1)</f>
        <v>7</v>
      </c>
      <c r="J181" s="145">
        <f>SUMIFS(Table2[NewPointsAway],Table2[GameDate], "&lt;=" &amp; $A181, Table2[AwayTeam], J$1)+SUMIFS(Table2[NewPointsHome],Table2[GameDate], "&lt;=" &amp; $A181, Table2[HomeTeam], J$1)</f>
        <v>4</v>
      </c>
      <c r="K181" s="145">
        <f>SUMIFS(Table2[NewPointsAway],Table2[GameDate], "&lt;=" &amp; $A181, Table2[AwayTeam], K$1)+SUMIFS(Table2[NewPointsHome],Table2[GameDate], "&lt;=" &amp; $A181, Table2[HomeTeam], K$1)</f>
        <v>4</v>
      </c>
      <c r="L181" s="145">
        <f>SUMIFS(Table2[NewPointsAway],Table2[GameDate], "&lt;=" &amp; $A181, Table2[AwayTeam], L$1)+SUMIFS(Table2[NewPointsHome],Table2[GameDate], "&lt;=" &amp; $A181, Table2[HomeTeam], L$1)</f>
        <v>3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3</v>
      </c>
      <c r="O181" s="145">
        <f>SUMIFS(Table2[NewPointsAway],Table2[GameDate], "&lt;=" &amp; $A181, Table2[AwayTeam], O$1)+SUMIFS(Table2[NewPointsHome],Table2[GameDate], "&lt;=" &amp; $A181, Table2[HomeTeam], O$1)</f>
        <v>4</v>
      </c>
      <c r="P181" s="145">
        <f>SUMIFS(Table2[NewPointsAway],Table2[GameDate], "&lt;=" &amp; $A181, Table2[AwayTeam], P$1)+SUMIFS(Table2[NewPointsHome],Table2[GameDate], "&lt;=" &amp; $A181, Table2[HomeTeam], P$1)</f>
        <v>4</v>
      </c>
      <c r="Q181" s="145">
        <f>SUMIFS(Table2[NewPointsAway],Table2[GameDate], "&lt;=" &amp; $A181, Table2[AwayTeam], Q$1)+SUMIFS(Table2[NewPointsHome],Table2[GameDate], "&lt;=" &amp; $A181, Table2[HomeTeam], Q$1)</f>
        <v>4</v>
      </c>
      <c r="R181" s="145">
        <f>SUMIFS(Table2[NewPointsAway],Table2[GameDate], "&lt;=" &amp; $A181, Table2[AwayTeam], R$1)+SUMIFS(Table2[NewPointsHome],Table2[GameDate], "&lt;=" &amp; $A181, Table2[HomeTeam], R$1)</f>
        <v>5</v>
      </c>
      <c r="S181" s="145">
        <f>SUMIFS(Table2[NewPointsAway],Table2[GameDate], "&lt;=" &amp; $A181, Table2[AwayTeam], S$1)+SUMIFS(Table2[NewPointsHome],Table2[GameDate], "&lt;=" &amp; $A181, Table2[HomeTeam], S$1)</f>
        <v>0</v>
      </c>
      <c r="T181" s="145">
        <f>SUMIFS(Table2[NewPointsAway],Table2[GameDate], "&lt;=" &amp; $A181, Table2[AwayTeam], T$1)+SUMIFS(Table2[NewPointsHome],Table2[GameDate], "&lt;=" &amp; $A181, Table2[HomeTeam], T$1)</f>
        <v>4</v>
      </c>
      <c r="U181" s="145">
        <f>SUMIFS(Table2[NewPointsAway],Table2[GameDate], "&lt;=" &amp; $A181, Table2[AwayTeam], U$1)+SUMIFS(Table2[NewPointsHome],Table2[GameDate], "&lt;=" &amp; $A181, Table2[HomeTeam], U$1)</f>
        <v>2</v>
      </c>
      <c r="V181" s="145">
        <f>SUMIFS(Table2[NewPointsAway],Table2[GameDate], "&lt;=" &amp; $A181, Table2[AwayTeam], V$1)+SUMIFS(Table2[NewPointsHome],Table2[GameDate], "&lt;=" &amp; $A181, Table2[HomeTeam], V$1)</f>
        <v>3</v>
      </c>
      <c r="W181" s="145">
        <f>SUMIFS(Table2[NewPointsAway],Table2[GameDate], "&lt;=" &amp; $A181, Table2[AwayTeam], W$1)+SUMIFS(Table2[NewPointsHome],Table2[GameDate], "&lt;=" &amp; $A181, Table2[HomeTeam], W$1)</f>
        <v>4</v>
      </c>
      <c r="X181" s="145">
        <f>SUMIFS(Table2[NewPointsAway],Table2[GameDate], "&lt;=" &amp; $A181, Table2[AwayTeam], X$1)+SUMIFS(Table2[NewPointsHome],Table2[GameDate], "&lt;=" &amp; $A181, Table2[HomeTeam], X$1)</f>
        <v>4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4</v>
      </c>
      <c r="AA181" s="145">
        <f>SUMIFS(Table2[NewPointsAway],Table2[GameDate], "&lt;=" &amp; $A181, Table2[AwayTeam], AA$1)+SUMIFS(Table2[NewPointsHome],Table2[GameDate], "&lt;=" &amp; $A181, Table2[HomeTeam], AA$1)</f>
        <v>2</v>
      </c>
      <c r="AB181" s="145">
        <f>SUMIFS(Table2[NewPointsAway],Table2[GameDate], "&lt;=" &amp; $A181, Table2[AwayTeam], AB$1)+SUMIFS(Table2[NewPointsHome],Table2[GameDate], "&lt;=" &amp; $A181, Table2[HomeTeam], AB$1)</f>
        <v>2</v>
      </c>
      <c r="AC181" s="145">
        <f>SUMIFS(Table2[NewPointsAway],Table2[GameDate], "&lt;=" &amp; $A181, Table2[AwayTeam], AC$1)+SUMIFS(Table2[NewPointsHome],Table2[GameDate], "&lt;=" &amp; $A181, Table2[HomeTeam], AC$1)</f>
        <v>2</v>
      </c>
      <c r="AD181" s="145">
        <f>SUMIFS(Table2[NewPointsAway],Table2[GameDate], "&lt;=" &amp; $A181, Table2[AwayTeam], AD$1)+SUMIFS(Table2[NewPointsHome],Table2[GameDate], "&lt;=" &amp; $A181, Table2[HomeTeam], AD$1)</f>
        <v>2</v>
      </c>
      <c r="AE181" s="145">
        <f>SUMIFS(Table2[NewPointsAway],Table2[GameDate], "&lt;=" &amp; $A181, Table2[AwayTeam], AE$1)+SUMIFS(Table2[NewPointsHome],Table2[GameDate], "&lt;=" &amp; $A181, Table2[HomeTeam], AE$1)</f>
        <v>4</v>
      </c>
      <c r="AF181" s="145">
        <f>SUMIFS(Table2[NewPointsAway],Table2[GameDate], "&lt;=" &amp; $A181, Table2[AwayTeam], AF$1)+SUMIFS(Table2[NewPointsHome],Table2[GameDate], "&lt;=" &amp; $A181, Table2[HomeTeam], AF$1)</f>
        <v>4</v>
      </c>
      <c r="AG181" s="145">
        <f>SUMIFS(Table2[NewPointsAway],Table2[GameDate], "&lt;=" &amp; $A181, Table2[AwayTeam], AG$1)+SUMIFS(Table2[NewPointsHome],Table2[GameDate], "&lt;=" &amp; $A181, Table2[HomeTeam], AG$1)</f>
        <v>4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2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0</v>
      </c>
      <c r="E182" s="145">
        <f>SUMIFS(Table2[NewPointsAway],Table2[GameDate], "&lt;=" &amp; $A182, Table2[AwayTeam], E$1)+SUMIFS(Table2[NewPointsHome],Table2[GameDate], "&lt;=" &amp; $A182, Table2[HomeTeam], E$1)</f>
        <v>4</v>
      </c>
      <c r="F182" s="145">
        <f>SUMIFS(Table2[NewPointsAway],Table2[GameDate], "&lt;=" &amp; $A182, Table2[AwayTeam], F$1)+SUMIFS(Table2[NewPointsHome],Table2[GameDate], "&lt;=" &amp; $A182, Table2[HomeTeam], F$1)</f>
        <v>2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3</v>
      </c>
      <c r="I182" s="145">
        <f>SUMIFS(Table2[NewPointsAway],Table2[GameDate], "&lt;=" &amp; $A182, Table2[AwayTeam], I$1)+SUMIFS(Table2[NewPointsHome],Table2[GameDate], "&lt;=" &amp; $A182, Table2[HomeTeam], I$1)</f>
        <v>7</v>
      </c>
      <c r="J182" s="145">
        <f>SUMIFS(Table2[NewPointsAway],Table2[GameDate], "&lt;=" &amp; $A182, Table2[AwayTeam], J$1)+SUMIFS(Table2[NewPointsHome],Table2[GameDate], "&lt;=" &amp; $A182, Table2[HomeTeam], J$1)</f>
        <v>4</v>
      </c>
      <c r="K182" s="145">
        <f>SUMIFS(Table2[NewPointsAway],Table2[GameDate], "&lt;=" &amp; $A182, Table2[AwayTeam], K$1)+SUMIFS(Table2[NewPointsHome],Table2[GameDate], "&lt;=" &amp; $A182, Table2[HomeTeam], K$1)</f>
        <v>4</v>
      </c>
      <c r="L182" s="145">
        <f>SUMIFS(Table2[NewPointsAway],Table2[GameDate], "&lt;=" &amp; $A182, Table2[AwayTeam], L$1)+SUMIFS(Table2[NewPointsHome],Table2[GameDate], "&lt;=" &amp; $A182, Table2[HomeTeam], L$1)</f>
        <v>3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3</v>
      </c>
      <c r="O182" s="145">
        <f>SUMIFS(Table2[NewPointsAway],Table2[GameDate], "&lt;=" &amp; $A182, Table2[AwayTeam], O$1)+SUMIFS(Table2[NewPointsHome],Table2[GameDate], "&lt;=" &amp; $A182, Table2[HomeTeam], O$1)</f>
        <v>4</v>
      </c>
      <c r="P182" s="145">
        <f>SUMIFS(Table2[NewPointsAway],Table2[GameDate], "&lt;=" &amp; $A182, Table2[AwayTeam], P$1)+SUMIFS(Table2[NewPointsHome],Table2[GameDate], "&lt;=" &amp; $A182, Table2[HomeTeam], P$1)</f>
        <v>4</v>
      </c>
      <c r="Q182" s="145">
        <f>SUMIFS(Table2[NewPointsAway],Table2[GameDate], "&lt;=" &amp; $A182, Table2[AwayTeam], Q$1)+SUMIFS(Table2[NewPointsHome],Table2[GameDate], "&lt;=" &amp; $A182, Table2[HomeTeam], Q$1)</f>
        <v>4</v>
      </c>
      <c r="R182" s="145">
        <f>SUMIFS(Table2[NewPointsAway],Table2[GameDate], "&lt;=" &amp; $A182, Table2[AwayTeam], R$1)+SUMIFS(Table2[NewPointsHome],Table2[GameDate], "&lt;=" &amp; $A182, Table2[HomeTeam], R$1)</f>
        <v>5</v>
      </c>
      <c r="S182" s="145">
        <f>SUMIFS(Table2[NewPointsAway],Table2[GameDate], "&lt;=" &amp; $A182, Table2[AwayTeam], S$1)+SUMIFS(Table2[NewPointsHome],Table2[GameDate], "&lt;=" &amp; $A182, Table2[HomeTeam], S$1)</f>
        <v>0</v>
      </c>
      <c r="T182" s="145">
        <f>SUMIFS(Table2[NewPointsAway],Table2[GameDate], "&lt;=" &amp; $A182, Table2[AwayTeam], T$1)+SUMIFS(Table2[NewPointsHome],Table2[GameDate], "&lt;=" &amp; $A182, Table2[HomeTeam], T$1)</f>
        <v>4</v>
      </c>
      <c r="U182" s="145">
        <f>SUMIFS(Table2[NewPointsAway],Table2[GameDate], "&lt;=" &amp; $A182, Table2[AwayTeam], U$1)+SUMIFS(Table2[NewPointsHome],Table2[GameDate], "&lt;=" &amp; $A182, Table2[HomeTeam], U$1)</f>
        <v>2</v>
      </c>
      <c r="V182" s="145">
        <f>SUMIFS(Table2[NewPointsAway],Table2[GameDate], "&lt;=" &amp; $A182, Table2[AwayTeam], V$1)+SUMIFS(Table2[NewPointsHome],Table2[GameDate], "&lt;=" &amp; $A182, Table2[HomeTeam], V$1)</f>
        <v>3</v>
      </c>
      <c r="W182" s="145">
        <f>SUMIFS(Table2[NewPointsAway],Table2[GameDate], "&lt;=" &amp; $A182, Table2[AwayTeam], W$1)+SUMIFS(Table2[NewPointsHome],Table2[GameDate], "&lt;=" &amp; $A182, Table2[HomeTeam], W$1)</f>
        <v>4</v>
      </c>
      <c r="X182" s="145">
        <f>SUMIFS(Table2[NewPointsAway],Table2[GameDate], "&lt;=" &amp; $A182, Table2[AwayTeam], X$1)+SUMIFS(Table2[NewPointsHome],Table2[GameDate], "&lt;=" &amp; $A182, Table2[HomeTeam], X$1)</f>
        <v>4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4</v>
      </c>
      <c r="AA182" s="145">
        <f>SUMIFS(Table2[NewPointsAway],Table2[GameDate], "&lt;=" &amp; $A182, Table2[AwayTeam], AA$1)+SUMIFS(Table2[NewPointsHome],Table2[GameDate], "&lt;=" &amp; $A182, Table2[HomeTeam], AA$1)</f>
        <v>2</v>
      </c>
      <c r="AB182" s="145">
        <f>SUMIFS(Table2[NewPointsAway],Table2[GameDate], "&lt;=" &amp; $A182, Table2[AwayTeam], AB$1)+SUMIFS(Table2[NewPointsHome],Table2[GameDate], "&lt;=" &amp; $A182, Table2[HomeTeam], AB$1)</f>
        <v>2</v>
      </c>
      <c r="AC182" s="145">
        <f>SUMIFS(Table2[NewPointsAway],Table2[GameDate], "&lt;=" &amp; $A182, Table2[AwayTeam], AC$1)+SUMIFS(Table2[NewPointsHome],Table2[GameDate], "&lt;=" &amp; $A182, Table2[HomeTeam], AC$1)</f>
        <v>2</v>
      </c>
      <c r="AD182" s="145">
        <f>SUMIFS(Table2[NewPointsAway],Table2[GameDate], "&lt;=" &amp; $A182, Table2[AwayTeam], AD$1)+SUMIFS(Table2[NewPointsHome],Table2[GameDate], "&lt;=" &amp; $A182, Table2[HomeTeam], AD$1)</f>
        <v>2</v>
      </c>
      <c r="AE182" s="145">
        <f>SUMIFS(Table2[NewPointsAway],Table2[GameDate], "&lt;=" &amp; $A182, Table2[AwayTeam], AE$1)+SUMIFS(Table2[NewPointsHome],Table2[GameDate], "&lt;=" &amp; $A182, Table2[HomeTeam], AE$1)</f>
        <v>4</v>
      </c>
      <c r="AF182" s="145">
        <f>SUMIFS(Table2[NewPointsAway],Table2[GameDate], "&lt;=" &amp; $A182, Table2[AwayTeam], AF$1)+SUMIFS(Table2[NewPointsHome],Table2[GameDate], "&lt;=" &amp; $A182, Table2[HomeTeam], AF$1)</f>
        <v>4</v>
      </c>
      <c r="AG182" s="145">
        <f>SUMIFS(Table2[NewPointsAway],Table2[GameDate], "&lt;=" &amp; $A182, Table2[AwayTeam], AG$1)+SUMIFS(Table2[NewPointsHome],Table2[GameDate], "&lt;=" &amp; $A182, Table2[HomeTeam], AG$1)</f>
        <v>4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2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0</v>
      </c>
      <c r="E183" s="145">
        <f>SUMIFS(Table2[NewPointsAway],Table2[GameDate], "&lt;=" &amp; $A183, Table2[AwayTeam], E$1)+SUMIFS(Table2[NewPointsHome],Table2[GameDate], "&lt;=" &amp; $A183, Table2[HomeTeam], E$1)</f>
        <v>4</v>
      </c>
      <c r="F183" s="145">
        <f>SUMIFS(Table2[NewPointsAway],Table2[GameDate], "&lt;=" &amp; $A183, Table2[AwayTeam], F$1)+SUMIFS(Table2[NewPointsHome],Table2[GameDate], "&lt;=" &amp; $A183, Table2[HomeTeam], F$1)</f>
        <v>2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3</v>
      </c>
      <c r="I183" s="145">
        <f>SUMIFS(Table2[NewPointsAway],Table2[GameDate], "&lt;=" &amp; $A183, Table2[AwayTeam], I$1)+SUMIFS(Table2[NewPointsHome],Table2[GameDate], "&lt;=" &amp; $A183, Table2[HomeTeam], I$1)</f>
        <v>7</v>
      </c>
      <c r="J183" s="145">
        <f>SUMIFS(Table2[NewPointsAway],Table2[GameDate], "&lt;=" &amp; $A183, Table2[AwayTeam], J$1)+SUMIFS(Table2[NewPointsHome],Table2[GameDate], "&lt;=" &amp; $A183, Table2[HomeTeam], J$1)</f>
        <v>4</v>
      </c>
      <c r="K183" s="145">
        <f>SUMIFS(Table2[NewPointsAway],Table2[GameDate], "&lt;=" &amp; $A183, Table2[AwayTeam], K$1)+SUMIFS(Table2[NewPointsHome],Table2[GameDate], "&lt;=" &amp; $A183, Table2[HomeTeam], K$1)</f>
        <v>4</v>
      </c>
      <c r="L183" s="145">
        <f>SUMIFS(Table2[NewPointsAway],Table2[GameDate], "&lt;=" &amp; $A183, Table2[AwayTeam], L$1)+SUMIFS(Table2[NewPointsHome],Table2[GameDate], "&lt;=" &amp; $A183, Table2[HomeTeam], L$1)</f>
        <v>3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3</v>
      </c>
      <c r="O183" s="145">
        <f>SUMIFS(Table2[NewPointsAway],Table2[GameDate], "&lt;=" &amp; $A183, Table2[AwayTeam], O$1)+SUMIFS(Table2[NewPointsHome],Table2[GameDate], "&lt;=" &amp; $A183, Table2[HomeTeam], O$1)</f>
        <v>4</v>
      </c>
      <c r="P183" s="145">
        <f>SUMIFS(Table2[NewPointsAway],Table2[GameDate], "&lt;=" &amp; $A183, Table2[AwayTeam], P$1)+SUMIFS(Table2[NewPointsHome],Table2[GameDate], "&lt;=" &amp; $A183, Table2[HomeTeam], P$1)</f>
        <v>4</v>
      </c>
      <c r="Q183" s="145">
        <f>SUMIFS(Table2[NewPointsAway],Table2[GameDate], "&lt;=" &amp; $A183, Table2[AwayTeam], Q$1)+SUMIFS(Table2[NewPointsHome],Table2[GameDate], "&lt;=" &amp; $A183, Table2[HomeTeam], Q$1)</f>
        <v>4</v>
      </c>
      <c r="R183" s="145">
        <f>SUMIFS(Table2[NewPointsAway],Table2[GameDate], "&lt;=" &amp; $A183, Table2[AwayTeam], R$1)+SUMIFS(Table2[NewPointsHome],Table2[GameDate], "&lt;=" &amp; $A183, Table2[HomeTeam], R$1)</f>
        <v>5</v>
      </c>
      <c r="S183" s="145">
        <f>SUMIFS(Table2[NewPointsAway],Table2[GameDate], "&lt;=" &amp; $A183, Table2[AwayTeam], S$1)+SUMIFS(Table2[NewPointsHome],Table2[GameDate], "&lt;=" &amp; $A183, Table2[HomeTeam], S$1)</f>
        <v>0</v>
      </c>
      <c r="T183" s="145">
        <f>SUMIFS(Table2[NewPointsAway],Table2[GameDate], "&lt;=" &amp; $A183, Table2[AwayTeam], T$1)+SUMIFS(Table2[NewPointsHome],Table2[GameDate], "&lt;=" &amp; $A183, Table2[HomeTeam], T$1)</f>
        <v>4</v>
      </c>
      <c r="U183" s="145">
        <f>SUMIFS(Table2[NewPointsAway],Table2[GameDate], "&lt;=" &amp; $A183, Table2[AwayTeam], U$1)+SUMIFS(Table2[NewPointsHome],Table2[GameDate], "&lt;=" &amp; $A183, Table2[HomeTeam], U$1)</f>
        <v>2</v>
      </c>
      <c r="V183" s="145">
        <f>SUMIFS(Table2[NewPointsAway],Table2[GameDate], "&lt;=" &amp; $A183, Table2[AwayTeam], V$1)+SUMIFS(Table2[NewPointsHome],Table2[GameDate], "&lt;=" &amp; $A183, Table2[HomeTeam], V$1)</f>
        <v>3</v>
      </c>
      <c r="W183" s="145">
        <f>SUMIFS(Table2[NewPointsAway],Table2[GameDate], "&lt;=" &amp; $A183, Table2[AwayTeam], W$1)+SUMIFS(Table2[NewPointsHome],Table2[GameDate], "&lt;=" &amp; $A183, Table2[HomeTeam], W$1)</f>
        <v>4</v>
      </c>
      <c r="X183" s="145">
        <f>SUMIFS(Table2[NewPointsAway],Table2[GameDate], "&lt;=" &amp; $A183, Table2[AwayTeam], X$1)+SUMIFS(Table2[NewPointsHome],Table2[GameDate], "&lt;=" &amp; $A183, Table2[HomeTeam], X$1)</f>
        <v>4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4</v>
      </c>
      <c r="AA183" s="145">
        <f>SUMIFS(Table2[NewPointsAway],Table2[GameDate], "&lt;=" &amp; $A183, Table2[AwayTeam], AA$1)+SUMIFS(Table2[NewPointsHome],Table2[GameDate], "&lt;=" &amp; $A183, Table2[HomeTeam], AA$1)</f>
        <v>2</v>
      </c>
      <c r="AB183" s="145">
        <f>SUMIFS(Table2[NewPointsAway],Table2[GameDate], "&lt;=" &amp; $A183, Table2[AwayTeam], AB$1)+SUMIFS(Table2[NewPointsHome],Table2[GameDate], "&lt;=" &amp; $A183, Table2[HomeTeam], AB$1)</f>
        <v>2</v>
      </c>
      <c r="AC183" s="145">
        <f>SUMIFS(Table2[NewPointsAway],Table2[GameDate], "&lt;=" &amp; $A183, Table2[AwayTeam], AC$1)+SUMIFS(Table2[NewPointsHome],Table2[GameDate], "&lt;=" &amp; $A183, Table2[HomeTeam], AC$1)</f>
        <v>2</v>
      </c>
      <c r="AD183" s="145">
        <f>SUMIFS(Table2[NewPointsAway],Table2[GameDate], "&lt;=" &amp; $A183, Table2[AwayTeam], AD$1)+SUMIFS(Table2[NewPointsHome],Table2[GameDate], "&lt;=" &amp; $A183, Table2[HomeTeam], AD$1)</f>
        <v>2</v>
      </c>
      <c r="AE183" s="145">
        <f>SUMIFS(Table2[NewPointsAway],Table2[GameDate], "&lt;=" &amp; $A183, Table2[AwayTeam], AE$1)+SUMIFS(Table2[NewPointsHome],Table2[GameDate], "&lt;=" &amp; $A183, Table2[HomeTeam], AE$1)</f>
        <v>4</v>
      </c>
      <c r="AF183" s="145">
        <f>SUMIFS(Table2[NewPointsAway],Table2[GameDate], "&lt;=" &amp; $A183, Table2[AwayTeam], AF$1)+SUMIFS(Table2[NewPointsHome],Table2[GameDate], "&lt;=" &amp; $A183, Table2[HomeTeam], AF$1)</f>
        <v>4</v>
      </c>
      <c r="AG183" s="145">
        <f>SUMIFS(Table2[NewPointsAway],Table2[GameDate], "&lt;=" &amp; $A183, Table2[AwayTeam], AG$1)+SUMIFS(Table2[NewPointsHome],Table2[GameDate], "&lt;=" &amp; $A183, Table2[HomeTeam], AG$1)</f>
        <v>4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2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0</v>
      </c>
      <c r="E184" s="145">
        <f>SUMIFS(Table2[NewPointsAway],Table2[GameDate], "&lt;=" &amp; $A184, Table2[AwayTeam], E$1)+SUMIFS(Table2[NewPointsHome],Table2[GameDate], "&lt;=" &amp; $A184, Table2[HomeTeam], E$1)</f>
        <v>4</v>
      </c>
      <c r="F184" s="145">
        <f>SUMIFS(Table2[NewPointsAway],Table2[GameDate], "&lt;=" &amp; $A184, Table2[AwayTeam], F$1)+SUMIFS(Table2[NewPointsHome],Table2[GameDate], "&lt;=" &amp; $A184, Table2[HomeTeam], F$1)</f>
        <v>2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3</v>
      </c>
      <c r="I184" s="145">
        <f>SUMIFS(Table2[NewPointsAway],Table2[GameDate], "&lt;=" &amp; $A184, Table2[AwayTeam], I$1)+SUMIFS(Table2[NewPointsHome],Table2[GameDate], "&lt;=" &amp; $A184, Table2[HomeTeam], I$1)</f>
        <v>7</v>
      </c>
      <c r="J184" s="145">
        <f>SUMIFS(Table2[NewPointsAway],Table2[GameDate], "&lt;=" &amp; $A184, Table2[AwayTeam], J$1)+SUMIFS(Table2[NewPointsHome],Table2[GameDate], "&lt;=" &amp; $A184, Table2[HomeTeam], J$1)</f>
        <v>4</v>
      </c>
      <c r="K184" s="145">
        <f>SUMIFS(Table2[NewPointsAway],Table2[GameDate], "&lt;=" &amp; $A184, Table2[AwayTeam], K$1)+SUMIFS(Table2[NewPointsHome],Table2[GameDate], "&lt;=" &amp; $A184, Table2[HomeTeam], K$1)</f>
        <v>4</v>
      </c>
      <c r="L184" s="145">
        <f>SUMIFS(Table2[NewPointsAway],Table2[GameDate], "&lt;=" &amp; $A184, Table2[AwayTeam], L$1)+SUMIFS(Table2[NewPointsHome],Table2[GameDate], "&lt;=" &amp; $A184, Table2[HomeTeam], L$1)</f>
        <v>3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3</v>
      </c>
      <c r="O184" s="145">
        <f>SUMIFS(Table2[NewPointsAway],Table2[GameDate], "&lt;=" &amp; $A184, Table2[AwayTeam], O$1)+SUMIFS(Table2[NewPointsHome],Table2[GameDate], "&lt;=" &amp; $A184, Table2[HomeTeam], O$1)</f>
        <v>4</v>
      </c>
      <c r="P184" s="145">
        <f>SUMIFS(Table2[NewPointsAway],Table2[GameDate], "&lt;=" &amp; $A184, Table2[AwayTeam], P$1)+SUMIFS(Table2[NewPointsHome],Table2[GameDate], "&lt;=" &amp; $A184, Table2[HomeTeam], P$1)</f>
        <v>4</v>
      </c>
      <c r="Q184" s="145">
        <f>SUMIFS(Table2[NewPointsAway],Table2[GameDate], "&lt;=" &amp; $A184, Table2[AwayTeam], Q$1)+SUMIFS(Table2[NewPointsHome],Table2[GameDate], "&lt;=" &amp; $A184, Table2[HomeTeam], Q$1)</f>
        <v>4</v>
      </c>
      <c r="R184" s="145">
        <f>SUMIFS(Table2[NewPointsAway],Table2[GameDate], "&lt;=" &amp; $A184, Table2[AwayTeam], R$1)+SUMIFS(Table2[NewPointsHome],Table2[GameDate], "&lt;=" &amp; $A184, Table2[HomeTeam], R$1)</f>
        <v>5</v>
      </c>
      <c r="S184" s="145">
        <f>SUMIFS(Table2[NewPointsAway],Table2[GameDate], "&lt;=" &amp; $A184, Table2[AwayTeam], S$1)+SUMIFS(Table2[NewPointsHome],Table2[GameDate], "&lt;=" &amp; $A184, Table2[HomeTeam], S$1)</f>
        <v>0</v>
      </c>
      <c r="T184" s="145">
        <f>SUMIFS(Table2[NewPointsAway],Table2[GameDate], "&lt;=" &amp; $A184, Table2[AwayTeam], T$1)+SUMIFS(Table2[NewPointsHome],Table2[GameDate], "&lt;=" &amp; $A184, Table2[HomeTeam], T$1)</f>
        <v>4</v>
      </c>
      <c r="U184" s="145">
        <f>SUMIFS(Table2[NewPointsAway],Table2[GameDate], "&lt;=" &amp; $A184, Table2[AwayTeam], U$1)+SUMIFS(Table2[NewPointsHome],Table2[GameDate], "&lt;=" &amp; $A184, Table2[HomeTeam], U$1)</f>
        <v>2</v>
      </c>
      <c r="V184" s="145">
        <f>SUMIFS(Table2[NewPointsAway],Table2[GameDate], "&lt;=" &amp; $A184, Table2[AwayTeam], V$1)+SUMIFS(Table2[NewPointsHome],Table2[GameDate], "&lt;=" &amp; $A184, Table2[HomeTeam], V$1)</f>
        <v>3</v>
      </c>
      <c r="W184" s="145">
        <f>SUMIFS(Table2[NewPointsAway],Table2[GameDate], "&lt;=" &amp; $A184, Table2[AwayTeam], W$1)+SUMIFS(Table2[NewPointsHome],Table2[GameDate], "&lt;=" &amp; $A184, Table2[HomeTeam], W$1)</f>
        <v>4</v>
      </c>
      <c r="X184" s="145">
        <f>SUMIFS(Table2[NewPointsAway],Table2[GameDate], "&lt;=" &amp; $A184, Table2[AwayTeam], X$1)+SUMIFS(Table2[NewPointsHome],Table2[GameDate], "&lt;=" &amp; $A184, Table2[HomeTeam], X$1)</f>
        <v>4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4</v>
      </c>
      <c r="AA184" s="145">
        <f>SUMIFS(Table2[NewPointsAway],Table2[GameDate], "&lt;=" &amp; $A184, Table2[AwayTeam], AA$1)+SUMIFS(Table2[NewPointsHome],Table2[GameDate], "&lt;=" &amp; $A184, Table2[HomeTeam], AA$1)</f>
        <v>2</v>
      </c>
      <c r="AB184" s="145">
        <f>SUMIFS(Table2[NewPointsAway],Table2[GameDate], "&lt;=" &amp; $A184, Table2[AwayTeam], AB$1)+SUMIFS(Table2[NewPointsHome],Table2[GameDate], "&lt;=" &amp; $A184, Table2[HomeTeam], AB$1)</f>
        <v>2</v>
      </c>
      <c r="AC184" s="145">
        <f>SUMIFS(Table2[NewPointsAway],Table2[GameDate], "&lt;=" &amp; $A184, Table2[AwayTeam], AC$1)+SUMIFS(Table2[NewPointsHome],Table2[GameDate], "&lt;=" &amp; $A184, Table2[HomeTeam], AC$1)</f>
        <v>2</v>
      </c>
      <c r="AD184" s="145">
        <f>SUMIFS(Table2[NewPointsAway],Table2[GameDate], "&lt;=" &amp; $A184, Table2[AwayTeam], AD$1)+SUMIFS(Table2[NewPointsHome],Table2[GameDate], "&lt;=" &amp; $A184, Table2[HomeTeam], AD$1)</f>
        <v>2</v>
      </c>
      <c r="AE184" s="145">
        <f>SUMIFS(Table2[NewPointsAway],Table2[GameDate], "&lt;=" &amp; $A184, Table2[AwayTeam], AE$1)+SUMIFS(Table2[NewPointsHome],Table2[GameDate], "&lt;=" &amp; $A184, Table2[HomeTeam], AE$1)</f>
        <v>4</v>
      </c>
      <c r="AF184" s="145">
        <f>SUMIFS(Table2[NewPointsAway],Table2[GameDate], "&lt;=" &amp; $A184, Table2[AwayTeam], AF$1)+SUMIFS(Table2[NewPointsHome],Table2[GameDate], "&lt;=" &amp; $A184, Table2[HomeTeam], AF$1)</f>
        <v>4</v>
      </c>
      <c r="AG184" s="145">
        <f>SUMIFS(Table2[NewPointsAway],Table2[GameDate], "&lt;=" &amp; $A184, Table2[AwayTeam], AG$1)+SUMIFS(Table2[NewPointsHome],Table2[GameDate], "&lt;=" &amp; $A184, Table2[HomeTeam], AG$1)</f>
        <v>4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2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0</v>
      </c>
      <c r="E185" s="145">
        <f>SUMIFS(Table2[NewPointsAway],Table2[GameDate], "&lt;=" &amp; $A185, Table2[AwayTeam], E$1)+SUMIFS(Table2[NewPointsHome],Table2[GameDate], "&lt;=" &amp; $A185, Table2[HomeTeam], E$1)</f>
        <v>4</v>
      </c>
      <c r="F185" s="145">
        <f>SUMIFS(Table2[NewPointsAway],Table2[GameDate], "&lt;=" &amp; $A185, Table2[AwayTeam], F$1)+SUMIFS(Table2[NewPointsHome],Table2[GameDate], "&lt;=" &amp; $A185, Table2[HomeTeam], F$1)</f>
        <v>2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3</v>
      </c>
      <c r="I185" s="145">
        <f>SUMIFS(Table2[NewPointsAway],Table2[GameDate], "&lt;=" &amp; $A185, Table2[AwayTeam], I$1)+SUMIFS(Table2[NewPointsHome],Table2[GameDate], "&lt;=" &amp; $A185, Table2[HomeTeam], I$1)</f>
        <v>7</v>
      </c>
      <c r="J185" s="145">
        <f>SUMIFS(Table2[NewPointsAway],Table2[GameDate], "&lt;=" &amp; $A185, Table2[AwayTeam], J$1)+SUMIFS(Table2[NewPointsHome],Table2[GameDate], "&lt;=" &amp; $A185, Table2[HomeTeam], J$1)</f>
        <v>4</v>
      </c>
      <c r="K185" s="145">
        <f>SUMIFS(Table2[NewPointsAway],Table2[GameDate], "&lt;=" &amp; $A185, Table2[AwayTeam], K$1)+SUMIFS(Table2[NewPointsHome],Table2[GameDate], "&lt;=" &amp; $A185, Table2[HomeTeam], K$1)</f>
        <v>4</v>
      </c>
      <c r="L185" s="145">
        <f>SUMIFS(Table2[NewPointsAway],Table2[GameDate], "&lt;=" &amp; $A185, Table2[AwayTeam], L$1)+SUMIFS(Table2[NewPointsHome],Table2[GameDate], "&lt;=" &amp; $A185, Table2[HomeTeam], L$1)</f>
        <v>3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3</v>
      </c>
      <c r="O185" s="145">
        <f>SUMIFS(Table2[NewPointsAway],Table2[GameDate], "&lt;=" &amp; $A185, Table2[AwayTeam], O$1)+SUMIFS(Table2[NewPointsHome],Table2[GameDate], "&lt;=" &amp; $A185, Table2[HomeTeam], O$1)</f>
        <v>4</v>
      </c>
      <c r="P185" s="145">
        <f>SUMIFS(Table2[NewPointsAway],Table2[GameDate], "&lt;=" &amp; $A185, Table2[AwayTeam], P$1)+SUMIFS(Table2[NewPointsHome],Table2[GameDate], "&lt;=" &amp; $A185, Table2[HomeTeam], P$1)</f>
        <v>4</v>
      </c>
      <c r="Q185" s="145">
        <f>SUMIFS(Table2[NewPointsAway],Table2[GameDate], "&lt;=" &amp; $A185, Table2[AwayTeam], Q$1)+SUMIFS(Table2[NewPointsHome],Table2[GameDate], "&lt;=" &amp; $A185, Table2[HomeTeam], Q$1)</f>
        <v>4</v>
      </c>
      <c r="R185" s="145">
        <f>SUMIFS(Table2[NewPointsAway],Table2[GameDate], "&lt;=" &amp; $A185, Table2[AwayTeam], R$1)+SUMIFS(Table2[NewPointsHome],Table2[GameDate], "&lt;=" &amp; $A185, Table2[HomeTeam], R$1)</f>
        <v>5</v>
      </c>
      <c r="S185" s="145">
        <f>SUMIFS(Table2[NewPointsAway],Table2[GameDate], "&lt;=" &amp; $A185, Table2[AwayTeam], S$1)+SUMIFS(Table2[NewPointsHome],Table2[GameDate], "&lt;=" &amp; $A185, Table2[HomeTeam], S$1)</f>
        <v>0</v>
      </c>
      <c r="T185" s="145">
        <f>SUMIFS(Table2[NewPointsAway],Table2[GameDate], "&lt;=" &amp; $A185, Table2[AwayTeam], T$1)+SUMIFS(Table2[NewPointsHome],Table2[GameDate], "&lt;=" &amp; $A185, Table2[HomeTeam], T$1)</f>
        <v>4</v>
      </c>
      <c r="U185" s="145">
        <f>SUMIFS(Table2[NewPointsAway],Table2[GameDate], "&lt;=" &amp; $A185, Table2[AwayTeam], U$1)+SUMIFS(Table2[NewPointsHome],Table2[GameDate], "&lt;=" &amp; $A185, Table2[HomeTeam], U$1)</f>
        <v>2</v>
      </c>
      <c r="V185" s="145">
        <f>SUMIFS(Table2[NewPointsAway],Table2[GameDate], "&lt;=" &amp; $A185, Table2[AwayTeam], V$1)+SUMIFS(Table2[NewPointsHome],Table2[GameDate], "&lt;=" &amp; $A185, Table2[HomeTeam], V$1)</f>
        <v>3</v>
      </c>
      <c r="W185" s="145">
        <f>SUMIFS(Table2[NewPointsAway],Table2[GameDate], "&lt;=" &amp; $A185, Table2[AwayTeam], W$1)+SUMIFS(Table2[NewPointsHome],Table2[GameDate], "&lt;=" &amp; $A185, Table2[HomeTeam], W$1)</f>
        <v>4</v>
      </c>
      <c r="X185" s="145">
        <f>SUMIFS(Table2[NewPointsAway],Table2[GameDate], "&lt;=" &amp; $A185, Table2[AwayTeam], X$1)+SUMIFS(Table2[NewPointsHome],Table2[GameDate], "&lt;=" &amp; $A185, Table2[HomeTeam], X$1)</f>
        <v>4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4</v>
      </c>
      <c r="AA185" s="145">
        <f>SUMIFS(Table2[NewPointsAway],Table2[GameDate], "&lt;=" &amp; $A185, Table2[AwayTeam], AA$1)+SUMIFS(Table2[NewPointsHome],Table2[GameDate], "&lt;=" &amp; $A185, Table2[HomeTeam], AA$1)</f>
        <v>2</v>
      </c>
      <c r="AB185" s="145">
        <f>SUMIFS(Table2[NewPointsAway],Table2[GameDate], "&lt;=" &amp; $A185, Table2[AwayTeam], AB$1)+SUMIFS(Table2[NewPointsHome],Table2[GameDate], "&lt;=" &amp; $A185, Table2[HomeTeam], AB$1)</f>
        <v>2</v>
      </c>
      <c r="AC185" s="145">
        <f>SUMIFS(Table2[NewPointsAway],Table2[GameDate], "&lt;=" &amp; $A185, Table2[AwayTeam], AC$1)+SUMIFS(Table2[NewPointsHome],Table2[GameDate], "&lt;=" &amp; $A185, Table2[HomeTeam], AC$1)</f>
        <v>2</v>
      </c>
      <c r="AD185" s="145">
        <f>SUMIFS(Table2[NewPointsAway],Table2[GameDate], "&lt;=" &amp; $A185, Table2[AwayTeam], AD$1)+SUMIFS(Table2[NewPointsHome],Table2[GameDate], "&lt;=" &amp; $A185, Table2[HomeTeam], AD$1)</f>
        <v>2</v>
      </c>
      <c r="AE185" s="145">
        <f>SUMIFS(Table2[NewPointsAway],Table2[GameDate], "&lt;=" &amp; $A185, Table2[AwayTeam], AE$1)+SUMIFS(Table2[NewPointsHome],Table2[GameDate], "&lt;=" &amp; $A185, Table2[HomeTeam], AE$1)</f>
        <v>4</v>
      </c>
      <c r="AF185" s="145">
        <f>SUMIFS(Table2[NewPointsAway],Table2[GameDate], "&lt;=" &amp; $A185, Table2[AwayTeam], AF$1)+SUMIFS(Table2[NewPointsHome],Table2[GameDate], "&lt;=" &amp; $A185, Table2[HomeTeam], AF$1)</f>
        <v>4</v>
      </c>
      <c r="AG185" s="145">
        <f>SUMIFS(Table2[NewPointsAway],Table2[GameDate], "&lt;=" &amp; $A185, Table2[AwayTeam], AG$1)+SUMIFS(Table2[NewPointsHome],Table2[GameDate], "&lt;=" &amp; $A185, Table2[HomeTeam], AG$1)</f>
        <v>4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2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0</v>
      </c>
      <c r="E186" s="145">
        <f>SUMIFS(Table2[NewPointsAway],Table2[GameDate], "&lt;=" &amp; $A186, Table2[AwayTeam], E$1)+SUMIFS(Table2[NewPointsHome],Table2[GameDate], "&lt;=" &amp; $A186, Table2[HomeTeam], E$1)</f>
        <v>4</v>
      </c>
      <c r="F186" s="145">
        <f>SUMIFS(Table2[NewPointsAway],Table2[GameDate], "&lt;=" &amp; $A186, Table2[AwayTeam], F$1)+SUMIFS(Table2[NewPointsHome],Table2[GameDate], "&lt;=" &amp; $A186, Table2[HomeTeam], F$1)</f>
        <v>2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3</v>
      </c>
      <c r="I186" s="145">
        <f>SUMIFS(Table2[NewPointsAway],Table2[GameDate], "&lt;=" &amp; $A186, Table2[AwayTeam], I$1)+SUMIFS(Table2[NewPointsHome],Table2[GameDate], "&lt;=" &amp; $A186, Table2[HomeTeam], I$1)</f>
        <v>7</v>
      </c>
      <c r="J186" s="145">
        <f>SUMIFS(Table2[NewPointsAway],Table2[GameDate], "&lt;=" &amp; $A186, Table2[AwayTeam], J$1)+SUMIFS(Table2[NewPointsHome],Table2[GameDate], "&lt;=" &amp; $A186, Table2[HomeTeam], J$1)</f>
        <v>4</v>
      </c>
      <c r="K186" s="145">
        <f>SUMIFS(Table2[NewPointsAway],Table2[GameDate], "&lt;=" &amp; $A186, Table2[AwayTeam], K$1)+SUMIFS(Table2[NewPointsHome],Table2[GameDate], "&lt;=" &amp; $A186, Table2[HomeTeam], K$1)</f>
        <v>4</v>
      </c>
      <c r="L186" s="145">
        <f>SUMIFS(Table2[NewPointsAway],Table2[GameDate], "&lt;=" &amp; $A186, Table2[AwayTeam], L$1)+SUMIFS(Table2[NewPointsHome],Table2[GameDate], "&lt;=" &amp; $A186, Table2[HomeTeam], L$1)</f>
        <v>3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3</v>
      </c>
      <c r="O186" s="145">
        <f>SUMIFS(Table2[NewPointsAway],Table2[GameDate], "&lt;=" &amp; $A186, Table2[AwayTeam], O$1)+SUMIFS(Table2[NewPointsHome],Table2[GameDate], "&lt;=" &amp; $A186, Table2[HomeTeam], O$1)</f>
        <v>4</v>
      </c>
      <c r="P186" s="145">
        <f>SUMIFS(Table2[NewPointsAway],Table2[GameDate], "&lt;=" &amp; $A186, Table2[AwayTeam], P$1)+SUMIFS(Table2[NewPointsHome],Table2[GameDate], "&lt;=" &amp; $A186, Table2[HomeTeam], P$1)</f>
        <v>4</v>
      </c>
      <c r="Q186" s="145">
        <f>SUMIFS(Table2[NewPointsAway],Table2[GameDate], "&lt;=" &amp; $A186, Table2[AwayTeam], Q$1)+SUMIFS(Table2[NewPointsHome],Table2[GameDate], "&lt;=" &amp; $A186, Table2[HomeTeam], Q$1)</f>
        <v>4</v>
      </c>
      <c r="R186" s="145">
        <f>SUMIFS(Table2[NewPointsAway],Table2[GameDate], "&lt;=" &amp; $A186, Table2[AwayTeam], R$1)+SUMIFS(Table2[NewPointsHome],Table2[GameDate], "&lt;=" &amp; $A186, Table2[HomeTeam], R$1)</f>
        <v>5</v>
      </c>
      <c r="S186" s="145">
        <f>SUMIFS(Table2[NewPointsAway],Table2[GameDate], "&lt;=" &amp; $A186, Table2[AwayTeam], S$1)+SUMIFS(Table2[NewPointsHome],Table2[GameDate], "&lt;=" &amp; $A186, Table2[HomeTeam], S$1)</f>
        <v>0</v>
      </c>
      <c r="T186" s="145">
        <f>SUMIFS(Table2[NewPointsAway],Table2[GameDate], "&lt;=" &amp; $A186, Table2[AwayTeam], T$1)+SUMIFS(Table2[NewPointsHome],Table2[GameDate], "&lt;=" &amp; $A186, Table2[HomeTeam], T$1)</f>
        <v>4</v>
      </c>
      <c r="U186" s="145">
        <f>SUMIFS(Table2[NewPointsAway],Table2[GameDate], "&lt;=" &amp; $A186, Table2[AwayTeam], U$1)+SUMIFS(Table2[NewPointsHome],Table2[GameDate], "&lt;=" &amp; $A186, Table2[HomeTeam], U$1)</f>
        <v>2</v>
      </c>
      <c r="V186" s="145">
        <f>SUMIFS(Table2[NewPointsAway],Table2[GameDate], "&lt;=" &amp; $A186, Table2[AwayTeam], V$1)+SUMIFS(Table2[NewPointsHome],Table2[GameDate], "&lt;=" &amp; $A186, Table2[HomeTeam], V$1)</f>
        <v>3</v>
      </c>
      <c r="W186" s="145">
        <f>SUMIFS(Table2[NewPointsAway],Table2[GameDate], "&lt;=" &amp; $A186, Table2[AwayTeam], W$1)+SUMIFS(Table2[NewPointsHome],Table2[GameDate], "&lt;=" &amp; $A186, Table2[HomeTeam], W$1)</f>
        <v>4</v>
      </c>
      <c r="X186" s="145">
        <f>SUMIFS(Table2[NewPointsAway],Table2[GameDate], "&lt;=" &amp; $A186, Table2[AwayTeam], X$1)+SUMIFS(Table2[NewPointsHome],Table2[GameDate], "&lt;=" &amp; $A186, Table2[HomeTeam], X$1)</f>
        <v>4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4</v>
      </c>
      <c r="AA186" s="145">
        <f>SUMIFS(Table2[NewPointsAway],Table2[GameDate], "&lt;=" &amp; $A186, Table2[AwayTeam], AA$1)+SUMIFS(Table2[NewPointsHome],Table2[GameDate], "&lt;=" &amp; $A186, Table2[HomeTeam], AA$1)</f>
        <v>2</v>
      </c>
      <c r="AB186" s="145">
        <f>SUMIFS(Table2[NewPointsAway],Table2[GameDate], "&lt;=" &amp; $A186, Table2[AwayTeam], AB$1)+SUMIFS(Table2[NewPointsHome],Table2[GameDate], "&lt;=" &amp; $A186, Table2[HomeTeam], AB$1)</f>
        <v>2</v>
      </c>
      <c r="AC186" s="145">
        <f>SUMIFS(Table2[NewPointsAway],Table2[GameDate], "&lt;=" &amp; $A186, Table2[AwayTeam], AC$1)+SUMIFS(Table2[NewPointsHome],Table2[GameDate], "&lt;=" &amp; $A186, Table2[HomeTeam], AC$1)</f>
        <v>2</v>
      </c>
      <c r="AD186" s="145">
        <f>SUMIFS(Table2[NewPointsAway],Table2[GameDate], "&lt;=" &amp; $A186, Table2[AwayTeam], AD$1)+SUMIFS(Table2[NewPointsHome],Table2[GameDate], "&lt;=" &amp; $A186, Table2[HomeTeam], AD$1)</f>
        <v>2</v>
      </c>
      <c r="AE186" s="145">
        <f>SUMIFS(Table2[NewPointsAway],Table2[GameDate], "&lt;=" &amp; $A186, Table2[AwayTeam], AE$1)+SUMIFS(Table2[NewPointsHome],Table2[GameDate], "&lt;=" &amp; $A186, Table2[HomeTeam], AE$1)</f>
        <v>4</v>
      </c>
      <c r="AF186" s="145">
        <f>SUMIFS(Table2[NewPointsAway],Table2[GameDate], "&lt;=" &amp; $A186, Table2[AwayTeam], AF$1)+SUMIFS(Table2[NewPointsHome],Table2[GameDate], "&lt;=" &amp; $A186, Table2[HomeTeam], AF$1)</f>
        <v>4</v>
      </c>
      <c r="AG186" s="145">
        <f>SUMIFS(Table2[NewPointsAway],Table2[GameDate], "&lt;=" &amp; $A186, Table2[AwayTeam], AG$1)+SUMIFS(Table2[NewPointsHome],Table2[GameDate], "&lt;=" &amp; $A186, Table2[HomeTeam], AG$1)</f>
        <v>4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2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0</v>
      </c>
      <c r="E187" s="145">
        <f>SUMIFS(Table2[NewPointsAway],Table2[GameDate], "&lt;=" &amp; $A187, Table2[AwayTeam], E$1)+SUMIFS(Table2[NewPointsHome],Table2[GameDate], "&lt;=" &amp; $A187, Table2[HomeTeam], E$1)</f>
        <v>4</v>
      </c>
      <c r="F187" s="145">
        <f>SUMIFS(Table2[NewPointsAway],Table2[GameDate], "&lt;=" &amp; $A187, Table2[AwayTeam], F$1)+SUMIFS(Table2[NewPointsHome],Table2[GameDate], "&lt;=" &amp; $A187, Table2[HomeTeam], F$1)</f>
        <v>2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3</v>
      </c>
      <c r="I187" s="145">
        <f>SUMIFS(Table2[NewPointsAway],Table2[GameDate], "&lt;=" &amp; $A187, Table2[AwayTeam], I$1)+SUMIFS(Table2[NewPointsHome],Table2[GameDate], "&lt;=" &amp; $A187, Table2[HomeTeam], I$1)</f>
        <v>7</v>
      </c>
      <c r="J187" s="145">
        <f>SUMIFS(Table2[NewPointsAway],Table2[GameDate], "&lt;=" &amp; $A187, Table2[AwayTeam], J$1)+SUMIFS(Table2[NewPointsHome],Table2[GameDate], "&lt;=" &amp; $A187, Table2[HomeTeam], J$1)</f>
        <v>4</v>
      </c>
      <c r="K187" s="145">
        <f>SUMIFS(Table2[NewPointsAway],Table2[GameDate], "&lt;=" &amp; $A187, Table2[AwayTeam], K$1)+SUMIFS(Table2[NewPointsHome],Table2[GameDate], "&lt;=" &amp; $A187, Table2[HomeTeam], K$1)</f>
        <v>4</v>
      </c>
      <c r="L187" s="145">
        <f>SUMIFS(Table2[NewPointsAway],Table2[GameDate], "&lt;=" &amp; $A187, Table2[AwayTeam], L$1)+SUMIFS(Table2[NewPointsHome],Table2[GameDate], "&lt;=" &amp; $A187, Table2[HomeTeam], L$1)</f>
        <v>3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3</v>
      </c>
      <c r="O187" s="145">
        <f>SUMIFS(Table2[NewPointsAway],Table2[GameDate], "&lt;=" &amp; $A187, Table2[AwayTeam], O$1)+SUMIFS(Table2[NewPointsHome],Table2[GameDate], "&lt;=" &amp; $A187, Table2[HomeTeam], O$1)</f>
        <v>4</v>
      </c>
      <c r="P187" s="145">
        <f>SUMIFS(Table2[NewPointsAway],Table2[GameDate], "&lt;=" &amp; $A187, Table2[AwayTeam], P$1)+SUMIFS(Table2[NewPointsHome],Table2[GameDate], "&lt;=" &amp; $A187, Table2[HomeTeam], P$1)</f>
        <v>4</v>
      </c>
      <c r="Q187" s="145">
        <f>SUMIFS(Table2[NewPointsAway],Table2[GameDate], "&lt;=" &amp; $A187, Table2[AwayTeam], Q$1)+SUMIFS(Table2[NewPointsHome],Table2[GameDate], "&lt;=" &amp; $A187, Table2[HomeTeam], Q$1)</f>
        <v>4</v>
      </c>
      <c r="R187" s="145">
        <f>SUMIFS(Table2[NewPointsAway],Table2[GameDate], "&lt;=" &amp; $A187, Table2[AwayTeam], R$1)+SUMIFS(Table2[NewPointsHome],Table2[GameDate], "&lt;=" &amp; $A187, Table2[HomeTeam], R$1)</f>
        <v>5</v>
      </c>
      <c r="S187" s="145">
        <f>SUMIFS(Table2[NewPointsAway],Table2[GameDate], "&lt;=" &amp; $A187, Table2[AwayTeam], S$1)+SUMIFS(Table2[NewPointsHome],Table2[GameDate], "&lt;=" &amp; $A187, Table2[HomeTeam], S$1)</f>
        <v>0</v>
      </c>
      <c r="T187" s="145">
        <f>SUMIFS(Table2[NewPointsAway],Table2[GameDate], "&lt;=" &amp; $A187, Table2[AwayTeam], T$1)+SUMIFS(Table2[NewPointsHome],Table2[GameDate], "&lt;=" &amp; $A187, Table2[HomeTeam], T$1)</f>
        <v>4</v>
      </c>
      <c r="U187" s="145">
        <f>SUMIFS(Table2[NewPointsAway],Table2[GameDate], "&lt;=" &amp; $A187, Table2[AwayTeam], U$1)+SUMIFS(Table2[NewPointsHome],Table2[GameDate], "&lt;=" &amp; $A187, Table2[HomeTeam], U$1)</f>
        <v>2</v>
      </c>
      <c r="V187" s="145">
        <f>SUMIFS(Table2[NewPointsAway],Table2[GameDate], "&lt;=" &amp; $A187, Table2[AwayTeam], V$1)+SUMIFS(Table2[NewPointsHome],Table2[GameDate], "&lt;=" &amp; $A187, Table2[HomeTeam], V$1)</f>
        <v>3</v>
      </c>
      <c r="W187" s="145">
        <f>SUMIFS(Table2[NewPointsAway],Table2[GameDate], "&lt;=" &amp; $A187, Table2[AwayTeam], W$1)+SUMIFS(Table2[NewPointsHome],Table2[GameDate], "&lt;=" &amp; $A187, Table2[HomeTeam], W$1)</f>
        <v>4</v>
      </c>
      <c r="X187" s="145">
        <f>SUMIFS(Table2[NewPointsAway],Table2[GameDate], "&lt;=" &amp; $A187, Table2[AwayTeam], X$1)+SUMIFS(Table2[NewPointsHome],Table2[GameDate], "&lt;=" &amp; $A187, Table2[HomeTeam], X$1)</f>
        <v>4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4</v>
      </c>
      <c r="AA187" s="145">
        <f>SUMIFS(Table2[NewPointsAway],Table2[GameDate], "&lt;=" &amp; $A187, Table2[AwayTeam], AA$1)+SUMIFS(Table2[NewPointsHome],Table2[GameDate], "&lt;=" &amp; $A187, Table2[HomeTeam], AA$1)</f>
        <v>2</v>
      </c>
      <c r="AB187" s="145">
        <f>SUMIFS(Table2[NewPointsAway],Table2[GameDate], "&lt;=" &amp; $A187, Table2[AwayTeam], AB$1)+SUMIFS(Table2[NewPointsHome],Table2[GameDate], "&lt;=" &amp; $A187, Table2[HomeTeam], AB$1)</f>
        <v>2</v>
      </c>
      <c r="AC187" s="145">
        <f>SUMIFS(Table2[NewPointsAway],Table2[GameDate], "&lt;=" &amp; $A187, Table2[AwayTeam], AC$1)+SUMIFS(Table2[NewPointsHome],Table2[GameDate], "&lt;=" &amp; $A187, Table2[HomeTeam], AC$1)</f>
        <v>2</v>
      </c>
      <c r="AD187" s="145">
        <f>SUMIFS(Table2[NewPointsAway],Table2[GameDate], "&lt;=" &amp; $A187, Table2[AwayTeam], AD$1)+SUMIFS(Table2[NewPointsHome],Table2[GameDate], "&lt;=" &amp; $A187, Table2[HomeTeam], AD$1)</f>
        <v>2</v>
      </c>
      <c r="AE187" s="145">
        <f>SUMIFS(Table2[NewPointsAway],Table2[GameDate], "&lt;=" &amp; $A187, Table2[AwayTeam], AE$1)+SUMIFS(Table2[NewPointsHome],Table2[GameDate], "&lt;=" &amp; $A187, Table2[HomeTeam], AE$1)</f>
        <v>4</v>
      </c>
      <c r="AF187" s="145">
        <f>SUMIFS(Table2[NewPointsAway],Table2[GameDate], "&lt;=" &amp; $A187, Table2[AwayTeam], AF$1)+SUMIFS(Table2[NewPointsHome],Table2[GameDate], "&lt;=" &amp; $A187, Table2[HomeTeam], AF$1)</f>
        <v>4</v>
      </c>
      <c r="AG187" s="145">
        <f>SUMIFS(Table2[NewPointsAway],Table2[GameDate], "&lt;=" &amp; $A187, Table2[AwayTeam], AG$1)+SUMIFS(Table2[NewPointsHome],Table2[GameDate], "&lt;=" &amp; $A187, Table2[HomeTeam], AG$1)</f>
        <v>4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2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0</v>
      </c>
      <c r="E188" s="145">
        <f>SUMIFS(Table2[NewPointsAway],Table2[GameDate], "&lt;=" &amp; $A188, Table2[AwayTeam], E$1)+SUMIFS(Table2[NewPointsHome],Table2[GameDate], "&lt;=" &amp; $A188, Table2[HomeTeam], E$1)</f>
        <v>4</v>
      </c>
      <c r="F188" s="145">
        <f>SUMIFS(Table2[NewPointsAway],Table2[GameDate], "&lt;=" &amp; $A188, Table2[AwayTeam], F$1)+SUMIFS(Table2[NewPointsHome],Table2[GameDate], "&lt;=" &amp; $A188, Table2[HomeTeam], F$1)</f>
        <v>2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3</v>
      </c>
      <c r="I188" s="145">
        <f>SUMIFS(Table2[NewPointsAway],Table2[GameDate], "&lt;=" &amp; $A188, Table2[AwayTeam], I$1)+SUMIFS(Table2[NewPointsHome],Table2[GameDate], "&lt;=" &amp; $A188, Table2[HomeTeam], I$1)</f>
        <v>7</v>
      </c>
      <c r="J188" s="145">
        <f>SUMIFS(Table2[NewPointsAway],Table2[GameDate], "&lt;=" &amp; $A188, Table2[AwayTeam], J$1)+SUMIFS(Table2[NewPointsHome],Table2[GameDate], "&lt;=" &amp; $A188, Table2[HomeTeam], J$1)</f>
        <v>4</v>
      </c>
      <c r="K188" s="145">
        <f>SUMIFS(Table2[NewPointsAway],Table2[GameDate], "&lt;=" &amp; $A188, Table2[AwayTeam], K$1)+SUMIFS(Table2[NewPointsHome],Table2[GameDate], "&lt;=" &amp; $A188, Table2[HomeTeam], K$1)</f>
        <v>4</v>
      </c>
      <c r="L188" s="145">
        <f>SUMIFS(Table2[NewPointsAway],Table2[GameDate], "&lt;=" &amp; $A188, Table2[AwayTeam], L$1)+SUMIFS(Table2[NewPointsHome],Table2[GameDate], "&lt;=" &amp; $A188, Table2[HomeTeam], L$1)</f>
        <v>3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3</v>
      </c>
      <c r="O188" s="145">
        <f>SUMIFS(Table2[NewPointsAway],Table2[GameDate], "&lt;=" &amp; $A188, Table2[AwayTeam], O$1)+SUMIFS(Table2[NewPointsHome],Table2[GameDate], "&lt;=" &amp; $A188, Table2[HomeTeam], O$1)</f>
        <v>4</v>
      </c>
      <c r="P188" s="145">
        <f>SUMIFS(Table2[NewPointsAway],Table2[GameDate], "&lt;=" &amp; $A188, Table2[AwayTeam], P$1)+SUMIFS(Table2[NewPointsHome],Table2[GameDate], "&lt;=" &amp; $A188, Table2[HomeTeam], P$1)</f>
        <v>4</v>
      </c>
      <c r="Q188" s="145">
        <f>SUMIFS(Table2[NewPointsAway],Table2[GameDate], "&lt;=" &amp; $A188, Table2[AwayTeam], Q$1)+SUMIFS(Table2[NewPointsHome],Table2[GameDate], "&lt;=" &amp; $A188, Table2[HomeTeam], Q$1)</f>
        <v>4</v>
      </c>
      <c r="R188" s="145">
        <f>SUMIFS(Table2[NewPointsAway],Table2[GameDate], "&lt;=" &amp; $A188, Table2[AwayTeam], R$1)+SUMIFS(Table2[NewPointsHome],Table2[GameDate], "&lt;=" &amp; $A188, Table2[HomeTeam], R$1)</f>
        <v>5</v>
      </c>
      <c r="S188" s="145">
        <f>SUMIFS(Table2[NewPointsAway],Table2[GameDate], "&lt;=" &amp; $A188, Table2[AwayTeam], S$1)+SUMIFS(Table2[NewPointsHome],Table2[GameDate], "&lt;=" &amp; $A188, Table2[HomeTeam], S$1)</f>
        <v>0</v>
      </c>
      <c r="T188" s="145">
        <f>SUMIFS(Table2[NewPointsAway],Table2[GameDate], "&lt;=" &amp; $A188, Table2[AwayTeam], T$1)+SUMIFS(Table2[NewPointsHome],Table2[GameDate], "&lt;=" &amp; $A188, Table2[HomeTeam], T$1)</f>
        <v>4</v>
      </c>
      <c r="U188" s="145">
        <f>SUMIFS(Table2[NewPointsAway],Table2[GameDate], "&lt;=" &amp; $A188, Table2[AwayTeam], U$1)+SUMIFS(Table2[NewPointsHome],Table2[GameDate], "&lt;=" &amp; $A188, Table2[HomeTeam], U$1)</f>
        <v>2</v>
      </c>
      <c r="V188" s="145">
        <f>SUMIFS(Table2[NewPointsAway],Table2[GameDate], "&lt;=" &amp; $A188, Table2[AwayTeam], V$1)+SUMIFS(Table2[NewPointsHome],Table2[GameDate], "&lt;=" &amp; $A188, Table2[HomeTeam], V$1)</f>
        <v>3</v>
      </c>
      <c r="W188" s="145">
        <f>SUMIFS(Table2[NewPointsAway],Table2[GameDate], "&lt;=" &amp; $A188, Table2[AwayTeam], W$1)+SUMIFS(Table2[NewPointsHome],Table2[GameDate], "&lt;=" &amp; $A188, Table2[HomeTeam], W$1)</f>
        <v>4</v>
      </c>
      <c r="X188" s="145">
        <f>SUMIFS(Table2[NewPointsAway],Table2[GameDate], "&lt;=" &amp; $A188, Table2[AwayTeam], X$1)+SUMIFS(Table2[NewPointsHome],Table2[GameDate], "&lt;=" &amp; $A188, Table2[HomeTeam], X$1)</f>
        <v>4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4</v>
      </c>
      <c r="AA188" s="145">
        <f>SUMIFS(Table2[NewPointsAway],Table2[GameDate], "&lt;=" &amp; $A188, Table2[AwayTeam], AA$1)+SUMIFS(Table2[NewPointsHome],Table2[GameDate], "&lt;=" &amp; $A188, Table2[HomeTeam], AA$1)</f>
        <v>2</v>
      </c>
      <c r="AB188" s="145">
        <f>SUMIFS(Table2[NewPointsAway],Table2[GameDate], "&lt;=" &amp; $A188, Table2[AwayTeam], AB$1)+SUMIFS(Table2[NewPointsHome],Table2[GameDate], "&lt;=" &amp; $A188, Table2[HomeTeam], AB$1)</f>
        <v>2</v>
      </c>
      <c r="AC188" s="145">
        <f>SUMIFS(Table2[NewPointsAway],Table2[GameDate], "&lt;=" &amp; $A188, Table2[AwayTeam], AC$1)+SUMIFS(Table2[NewPointsHome],Table2[GameDate], "&lt;=" &amp; $A188, Table2[HomeTeam], AC$1)</f>
        <v>2</v>
      </c>
      <c r="AD188" s="145">
        <f>SUMIFS(Table2[NewPointsAway],Table2[GameDate], "&lt;=" &amp; $A188, Table2[AwayTeam], AD$1)+SUMIFS(Table2[NewPointsHome],Table2[GameDate], "&lt;=" &amp; $A188, Table2[HomeTeam], AD$1)</f>
        <v>2</v>
      </c>
      <c r="AE188" s="145">
        <f>SUMIFS(Table2[NewPointsAway],Table2[GameDate], "&lt;=" &amp; $A188, Table2[AwayTeam], AE$1)+SUMIFS(Table2[NewPointsHome],Table2[GameDate], "&lt;=" &amp; $A188, Table2[HomeTeam], AE$1)</f>
        <v>4</v>
      </c>
      <c r="AF188" s="145">
        <f>SUMIFS(Table2[NewPointsAway],Table2[GameDate], "&lt;=" &amp; $A188, Table2[AwayTeam], AF$1)+SUMIFS(Table2[NewPointsHome],Table2[GameDate], "&lt;=" &amp; $A188, Table2[HomeTeam], AF$1)</f>
        <v>4</v>
      </c>
      <c r="AG188" s="145">
        <f>SUMIFS(Table2[NewPointsAway],Table2[GameDate], "&lt;=" &amp; $A188, Table2[AwayTeam], AG$1)+SUMIFS(Table2[NewPointsHome],Table2[GameDate], "&lt;=" &amp; $A188, Table2[HomeTeam], AG$1)</f>
        <v>4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2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0</v>
      </c>
      <c r="E189" s="145">
        <f>SUMIFS(Table2[NewPointsAway],Table2[GameDate], "&lt;=" &amp; $A189, Table2[AwayTeam], E$1)+SUMIFS(Table2[NewPointsHome],Table2[GameDate], "&lt;=" &amp; $A189, Table2[HomeTeam], E$1)</f>
        <v>4</v>
      </c>
      <c r="F189" s="145">
        <f>SUMIFS(Table2[NewPointsAway],Table2[GameDate], "&lt;=" &amp; $A189, Table2[AwayTeam], F$1)+SUMIFS(Table2[NewPointsHome],Table2[GameDate], "&lt;=" &amp; $A189, Table2[HomeTeam], F$1)</f>
        <v>2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3</v>
      </c>
      <c r="I189" s="145">
        <f>SUMIFS(Table2[NewPointsAway],Table2[GameDate], "&lt;=" &amp; $A189, Table2[AwayTeam], I$1)+SUMIFS(Table2[NewPointsHome],Table2[GameDate], "&lt;=" &amp; $A189, Table2[HomeTeam], I$1)</f>
        <v>7</v>
      </c>
      <c r="J189" s="145">
        <f>SUMIFS(Table2[NewPointsAway],Table2[GameDate], "&lt;=" &amp; $A189, Table2[AwayTeam], J$1)+SUMIFS(Table2[NewPointsHome],Table2[GameDate], "&lt;=" &amp; $A189, Table2[HomeTeam], J$1)</f>
        <v>4</v>
      </c>
      <c r="K189" s="145">
        <f>SUMIFS(Table2[NewPointsAway],Table2[GameDate], "&lt;=" &amp; $A189, Table2[AwayTeam], K$1)+SUMIFS(Table2[NewPointsHome],Table2[GameDate], "&lt;=" &amp; $A189, Table2[HomeTeam], K$1)</f>
        <v>4</v>
      </c>
      <c r="L189" s="145">
        <f>SUMIFS(Table2[NewPointsAway],Table2[GameDate], "&lt;=" &amp; $A189, Table2[AwayTeam], L$1)+SUMIFS(Table2[NewPointsHome],Table2[GameDate], "&lt;=" &amp; $A189, Table2[HomeTeam], L$1)</f>
        <v>3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3</v>
      </c>
      <c r="O189" s="145">
        <f>SUMIFS(Table2[NewPointsAway],Table2[GameDate], "&lt;=" &amp; $A189, Table2[AwayTeam], O$1)+SUMIFS(Table2[NewPointsHome],Table2[GameDate], "&lt;=" &amp; $A189, Table2[HomeTeam], O$1)</f>
        <v>4</v>
      </c>
      <c r="P189" s="145">
        <f>SUMIFS(Table2[NewPointsAway],Table2[GameDate], "&lt;=" &amp; $A189, Table2[AwayTeam], P$1)+SUMIFS(Table2[NewPointsHome],Table2[GameDate], "&lt;=" &amp; $A189, Table2[HomeTeam], P$1)</f>
        <v>4</v>
      </c>
      <c r="Q189" s="145">
        <f>SUMIFS(Table2[NewPointsAway],Table2[GameDate], "&lt;=" &amp; $A189, Table2[AwayTeam], Q$1)+SUMIFS(Table2[NewPointsHome],Table2[GameDate], "&lt;=" &amp; $A189, Table2[HomeTeam], Q$1)</f>
        <v>4</v>
      </c>
      <c r="R189" s="145">
        <f>SUMIFS(Table2[NewPointsAway],Table2[GameDate], "&lt;=" &amp; $A189, Table2[AwayTeam], R$1)+SUMIFS(Table2[NewPointsHome],Table2[GameDate], "&lt;=" &amp; $A189, Table2[HomeTeam], R$1)</f>
        <v>5</v>
      </c>
      <c r="S189" s="145">
        <f>SUMIFS(Table2[NewPointsAway],Table2[GameDate], "&lt;=" &amp; $A189, Table2[AwayTeam], S$1)+SUMIFS(Table2[NewPointsHome],Table2[GameDate], "&lt;=" &amp; $A189, Table2[HomeTeam], S$1)</f>
        <v>0</v>
      </c>
      <c r="T189" s="145">
        <f>SUMIFS(Table2[NewPointsAway],Table2[GameDate], "&lt;=" &amp; $A189, Table2[AwayTeam], T$1)+SUMIFS(Table2[NewPointsHome],Table2[GameDate], "&lt;=" &amp; $A189, Table2[HomeTeam], T$1)</f>
        <v>4</v>
      </c>
      <c r="U189" s="145">
        <f>SUMIFS(Table2[NewPointsAway],Table2[GameDate], "&lt;=" &amp; $A189, Table2[AwayTeam], U$1)+SUMIFS(Table2[NewPointsHome],Table2[GameDate], "&lt;=" &amp; $A189, Table2[HomeTeam], U$1)</f>
        <v>2</v>
      </c>
      <c r="V189" s="145">
        <f>SUMIFS(Table2[NewPointsAway],Table2[GameDate], "&lt;=" &amp; $A189, Table2[AwayTeam], V$1)+SUMIFS(Table2[NewPointsHome],Table2[GameDate], "&lt;=" &amp; $A189, Table2[HomeTeam], V$1)</f>
        <v>3</v>
      </c>
      <c r="W189" s="145">
        <f>SUMIFS(Table2[NewPointsAway],Table2[GameDate], "&lt;=" &amp; $A189, Table2[AwayTeam], W$1)+SUMIFS(Table2[NewPointsHome],Table2[GameDate], "&lt;=" &amp; $A189, Table2[HomeTeam], W$1)</f>
        <v>4</v>
      </c>
      <c r="X189" s="145">
        <f>SUMIFS(Table2[NewPointsAway],Table2[GameDate], "&lt;=" &amp; $A189, Table2[AwayTeam], X$1)+SUMIFS(Table2[NewPointsHome],Table2[GameDate], "&lt;=" &amp; $A189, Table2[HomeTeam], X$1)</f>
        <v>4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4</v>
      </c>
      <c r="AA189" s="145">
        <f>SUMIFS(Table2[NewPointsAway],Table2[GameDate], "&lt;=" &amp; $A189, Table2[AwayTeam], AA$1)+SUMIFS(Table2[NewPointsHome],Table2[GameDate], "&lt;=" &amp; $A189, Table2[HomeTeam], AA$1)</f>
        <v>2</v>
      </c>
      <c r="AB189" s="145">
        <f>SUMIFS(Table2[NewPointsAway],Table2[GameDate], "&lt;=" &amp; $A189, Table2[AwayTeam], AB$1)+SUMIFS(Table2[NewPointsHome],Table2[GameDate], "&lt;=" &amp; $A189, Table2[HomeTeam], AB$1)</f>
        <v>2</v>
      </c>
      <c r="AC189" s="145">
        <f>SUMIFS(Table2[NewPointsAway],Table2[GameDate], "&lt;=" &amp; $A189, Table2[AwayTeam], AC$1)+SUMIFS(Table2[NewPointsHome],Table2[GameDate], "&lt;=" &amp; $A189, Table2[HomeTeam], AC$1)</f>
        <v>2</v>
      </c>
      <c r="AD189" s="145">
        <f>SUMIFS(Table2[NewPointsAway],Table2[GameDate], "&lt;=" &amp; $A189, Table2[AwayTeam], AD$1)+SUMIFS(Table2[NewPointsHome],Table2[GameDate], "&lt;=" &amp; $A189, Table2[HomeTeam], AD$1)</f>
        <v>2</v>
      </c>
      <c r="AE189" s="145">
        <f>SUMIFS(Table2[NewPointsAway],Table2[GameDate], "&lt;=" &amp; $A189, Table2[AwayTeam], AE$1)+SUMIFS(Table2[NewPointsHome],Table2[GameDate], "&lt;=" &amp; $A189, Table2[HomeTeam], AE$1)</f>
        <v>4</v>
      </c>
      <c r="AF189" s="145">
        <f>SUMIFS(Table2[NewPointsAway],Table2[GameDate], "&lt;=" &amp; $A189, Table2[AwayTeam], AF$1)+SUMIFS(Table2[NewPointsHome],Table2[GameDate], "&lt;=" &amp; $A189, Table2[HomeTeam], AF$1)</f>
        <v>4</v>
      </c>
      <c r="AG189" s="145">
        <f>SUMIFS(Table2[NewPointsAway],Table2[GameDate], "&lt;=" &amp; $A189, Table2[AwayTeam], AG$1)+SUMIFS(Table2[NewPointsHome],Table2[GameDate], "&lt;=" &amp; $A189, Table2[HomeTeam], AG$1)</f>
        <v>4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2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0</v>
      </c>
      <c r="E190" s="145">
        <f>SUMIFS(Table2[NewPointsAway],Table2[GameDate], "&lt;=" &amp; $A190, Table2[AwayTeam], E$1)+SUMIFS(Table2[NewPointsHome],Table2[GameDate], "&lt;=" &amp; $A190, Table2[HomeTeam], E$1)</f>
        <v>4</v>
      </c>
      <c r="F190" s="145">
        <f>SUMIFS(Table2[NewPointsAway],Table2[GameDate], "&lt;=" &amp; $A190, Table2[AwayTeam], F$1)+SUMIFS(Table2[NewPointsHome],Table2[GameDate], "&lt;=" &amp; $A190, Table2[HomeTeam], F$1)</f>
        <v>2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3</v>
      </c>
      <c r="I190" s="145">
        <f>SUMIFS(Table2[NewPointsAway],Table2[GameDate], "&lt;=" &amp; $A190, Table2[AwayTeam], I$1)+SUMIFS(Table2[NewPointsHome],Table2[GameDate], "&lt;=" &amp; $A190, Table2[HomeTeam], I$1)</f>
        <v>7</v>
      </c>
      <c r="J190" s="145">
        <f>SUMIFS(Table2[NewPointsAway],Table2[GameDate], "&lt;=" &amp; $A190, Table2[AwayTeam], J$1)+SUMIFS(Table2[NewPointsHome],Table2[GameDate], "&lt;=" &amp; $A190, Table2[HomeTeam], J$1)</f>
        <v>4</v>
      </c>
      <c r="K190" s="145">
        <f>SUMIFS(Table2[NewPointsAway],Table2[GameDate], "&lt;=" &amp; $A190, Table2[AwayTeam], K$1)+SUMIFS(Table2[NewPointsHome],Table2[GameDate], "&lt;=" &amp; $A190, Table2[HomeTeam], K$1)</f>
        <v>4</v>
      </c>
      <c r="L190" s="145">
        <f>SUMIFS(Table2[NewPointsAway],Table2[GameDate], "&lt;=" &amp; $A190, Table2[AwayTeam], L$1)+SUMIFS(Table2[NewPointsHome],Table2[GameDate], "&lt;=" &amp; $A190, Table2[HomeTeam], L$1)</f>
        <v>3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3</v>
      </c>
      <c r="O190" s="145">
        <f>SUMIFS(Table2[NewPointsAway],Table2[GameDate], "&lt;=" &amp; $A190, Table2[AwayTeam], O$1)+SUMIFS(Table2[NewPointsHome],Table2[GameDate], "&lt;=" &amp; $A190, Table2[HomeTeam], O$1)</f>
        <v>4</v>
      </c>
      <c r="P190" s="145">
        <f>SUMIFS(Table2[NewPointsAway],Table2[GameDate], "&lt;=" &amp; $A190, Table2[AwayTeam], P$1)+SUMIFS(Table2[NewPointsHome],Table2[GameDate], "&lt;=" &amp; $A190, Table2[HomeTeam], P$1)</f>
        <v>4</v>
      </c>
      <c r="Q190" s="145">
        <f>SUMIFS(Table2[NewPointsAway],Table2[GameDate], "&lt;=" &amp; $A190, Table2[AwayTeam], Q$1)+SUMIFS(Table2[NewPointsHome],Table2[GameDate], "&lt;=" &amp; $A190, Table2[HomeTeam], Q$1)</f>
        <v>4</v>
      </c>
      <c r="R190" s="145">
        <f>SUMIFS(Table2[NewPointsAway],Table2[GameDate], "&lt;=" &amp; $A190, Table2[AwayTeam], R$1)+SUMIFS(Table2[NewPointsHome],Table2[GameDate], "&lt;=" &amp; $A190, Table2[HomeTeam], R$1)</f>
        <v>5</v>
      </c>
      <c r="S190" s="145">
        <f>SUMIFS(Table2[NewPointsAway],Table2[GameDate], "&lt;=" &amp; $A190, Table2[AwayTeam], S$1)+SUMIFS(Table2[NewPointsHome],Table2[GameDate], "&lt;=" &amp; $A190, Table2[HomeTeam], S$1)</f>
        <v>0</v>
      </c>
      <c r="T190" s="145">
        <f>SUMIFS(Table2[NewPointsAway],Table2[GameDate], "&lt;=" &amp; $A190, Table2[AwayTeam], T$1)+SUMIFS(Table2[NewPointsHome],Table2[GameDate], "&lt;=" &amp; $A190, Table2[HomeTeam], T$1)</f>
        <v>4</v>
      </c>
      <c r="U190" s="145">
        <f>SUMIFS(Table2[NewPointsAway],Table2[GameDate], "&lt;=" &amp; $A190, Table2[AwayTeam], U$1)+SUMIFS(Table2[NewPointsHome],Table2[GameDate], "&lt;=" &amp; $A190, Table2[HomeTeam], U$1)</f>
        <v>2</v>
      </c>
      <c r="V190" s="145">
        <f>SUMIFS(Table2[NewPointsAway],Table2[GameDate], "&lt;=" &amp; $A190, Table2[AwayTeam], V$1)+SUMIFS(Table2[NewPointsHome],Table2[GameDate], "&lt;=" &amp; $A190, Table2[HomeTeam], V$1)</f>
        <v>3</v>
      </c>
      <c r="W190" s="145">
        <f>SUMIFS(Table2[NewPointsAway],Table2[GameDate], "&lt;=" &amp; $A190, Table2[AwayTeam], W$1)+SUMIFS(Table2[NewPointsHome],Table2[GameDate], "&lt;=" &amp; $A190, Table2[HomeTeam], W$1)</f>
        <v>4</v>
      </c>
      <c r="X190" s="145">
        <f>SUMIFS(Table2[NewPointsAway],Table2[GameDate], "&lt;=" &amp; $A190, Table2[AwayTeam], X$1)+SUMIFS(Table2[NewPointsHome],Table2[GameDate], "&lt;=" &amp; $A190, Table2[HomeTeam], X$1)</f>
        <v>4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4</v>
      </c>
      <c r="AA190" s="145">
        <f>SUMIFS(Table2[NewPointsAway],Table2[GameDate], "&lt;=" &amp; $A190, Table2[AwayTeam], AA$1)+SUMIFS(Table2[NewPointsHome],Table2[GameDate], "&lt;=" &amp; $A190, Table2[HomeTeam], AA$1)</f>
        <v>2</v>
      </c>
      <c r="AB190" s="145">
        <f>SUMIFS(Table2[NewPointsAway],Table2[GameDate], "&lt;=" &amp; $A190, Table2[AwayTeam], AB$1)+SUMIFS(Table2[NewPointsHome],Table2[GameDate], "&lt;=" &amp; $A190, Table2[HomeTeam], AB$1)</f>
        <v>2</v>
      </c>
      <c r="AC190" s="145">
        <f>SUMIFS(Table2[NewPointsAway],Table2[GameDate], "&lt;=" &amp; $A190, Table2[AwayTeam], AC$1)+SUMIFS(Table2[NewPointsHome],Table2[GameDate], "&lt;=" &amp; $A190, Table2[HomeTeam], AC$1)</f>
        <v>2</v>
      </c>
      <c r="AD190" s="145">
        <f>SUMIFS(Table2[NewPointsAway],Table2[GameDate], "&lt;=" &amp; $A190, Table2[AwayTeam], AD$1)+SUMIFS(Table2[NewPointsHome],Table2[GameDate], "&lt;=" &amp; $A190, Table2[HomeTeam], AD$1)</f>
        <v>2</v>
      </c>
      <c r="AE190" s="145">
        <f>SUMIFS(Table2[NewPointsAway],Table2[GameDate], "&lt;=" &amp; $A190, Table2[AwayTeam], AE$1)+SUMIFS(Table2[NewPointsHome],Table2[GameDate], "&lt;=" &amp; $A190, Table2[HomeTeam], AE$1)</f>
        <v>4</v>
      </c>
      <c r="AF190" s="145">
        <f>SUMIFS(Table2[NewPointsAway],Table2[GameDate], "&lt;=" &amp; $A190, Table2[AwayTeam], AF$1)+SUMIFS(Table2[NewPointsHome],Table2[GameDate], "&lt;=" &amp; $A190, Table2[HomeTeam], AF$1)</f>
        <v>4</v>
      </c>
      <c r="AG190" s="145">
        <f>SUMIFS(Table2[NewPointsAway],Table2[GameDate], "&lt;=" &amp; $A190, Table2[AwayTeam], AG$1)+SUMIFS(Table2[NewPointsHome],Table2[GameDate], "&lt;=" &amp; $A190, Table2[HomeTeam], AG$1)</f>
        <v>4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2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0</v>
      </c>
      <c r="E191" s="145">
        <f>SUMIFS(Table2[NewPointsAway],Table2[GameDate], "&lt;=" &amp; $A191, Table2[AwayTeam], E$1)+SUMIFS(Table2[NewPointsHome],Table2[GameDate], "&lt;=" &amp; $A191, Table2[HomeTeam], E$1)</f>
        <v>4</v>
      </c>
      <c r="F191" s="145">
        <f>SUMIFS(Table2[NewPointsAway],Table2[GameDate], "&lt;=" &amp; $A191, Table2[AwayTeam], F$1)+SUMIFS(Table2[NewPointsHome],Table2[GameDate], "&lt;=" &amp; $A191, Table2[HomeTeam], F$1)</f>
        <v>2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3</v>
      </c>
      <c r="I191" s="145">
        <f>SUMIFS(Table2[NewPointsAway],Table2[GameDate], "&lt;=" &amp; $A191, Table2[AwayTeam], I$1)+SUMIFS(Table2[NewPointsHome],Table2[GameDate], "&lt;=" &amp; $A191, Table2[HomeTeam], I$1)</f>
        <v>7</v>
      </c>
      <c r="J191" s="145">
        <f>SUMIFS(Table2[NewPointsAway],Table2[GameDate], "&lt;=" &amp; $A191, Table2[AwayTeam], J$1)+SUMIFS(Table2[NewPointsHome],Table2[GameDate], "&lt;=" &amp; $A191, Table2[HomeTeam], J$1)</f>
        <v>4</v>
      </c>
      <c r="K191" s="145">
        <f>SUMIFS(Table2[NewPointsAway],Table2[GameDate], "&lt;=" &amp; $A191, Table2[AwayTeam], K$1)+SUMIFS(Table2[NewPointsHome],Table2[GameDate], "&lt;=" &amp; $A191, Table2[HomeTeam], K$1)</f>
        <v>4</v>
      </c>
      <c r="L191" s="145">
        <f>SUMIFS(Table2[NewPointsAway],Table2[GameDate], "&lt;=" &amp; $A191, Table2[AwayTeam], L$1)+SUMIFS(Table2[NewPointsHome],Table2[GameDate], "&lt;=" &amp; $A191, Table2[HomeTeam], L$1)</f>
        <v>3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3</v>
      </c>
      <c r="O191" s="145">
        <f>SUMIFS(Table2[NewPointsAway],Table2[GameDate], "&lt;=" &amp; $A191, Table2[AwayTeam], O$1)+SUMIFS(Table2[NewPointsHome],Table2[GameDate], "&lt;=" &amp; $A191, Table2[HomeTeam], O$1)</f>
        <v>4</v>
      </c>
      <c r="P191" s="145">
        <f>SUMIFS(Table2[NewPointsAway],Table2[GameDate], "&lt;=" &amp; $A191, Table2[AwayTeam], P$1)+SUMIFS(Table2[NewPointsHome],Table2[GameDate], "&lt;=" &amp; $A191, Table2[HomeTeam], P$1)</f>
        <v>4</v>
      </c>
      <c r="Q191" s="145">
        <f>SUMIFS(Table2[NewPointsAway],Table2[GameDate], "&lt;=" &amp; $A191, Table2[AwayTeam], Q$1)+SUMIFS(Table2[NewPointsHome],Table2[GameDate], "&lt;=" &amp; $A191, Table2[HomeTeam], Q$1)</f>
        <v>4</v>
      </c>
      <c r="R191" s="145">
        <f>SUMIFS(Table2[NewPointsAway],Table2[GameDate], "&lt;=" &amp; $A191, Table2[AwayTeam], R$1)+SUMIFS(Table2[NewPointsHome],Table2[GameDate], "&lt;=" &amp; $A191, Table2[HomeTeam], R$1)</f>
        <v>5</v>
      </c>
      <c r="S191" s="145">
        <f>SUMIFS(Table2[NewPointsAway],Table2[GameDate], "&lt;=" &amp; $A191, Table2[AwayTeam], S$1)+SUMIFS(Table2[NewPointsHome],Table2[GameDate], "&lt;=" &amp; $A191, Table2[HomeTeam], S$1)</f>
        <v>0</v>
      </c>
      <c r="T191" s="145">
        <f>SUMIFS(Table2[NewPointsAway],Table2[GameDate], "&lt;=" &amp; $A191, Table2[AwayTeam], T$1)+SUMIFS(Table2[NewPointsHome],Table2[GameDate], "&lt;=" &amp; $A191, Table2[HomeTeam], T$1)</f>
        <v>4</v>
      </c>
      <c r="U191" s="145">
        <f>SUMIFS(Table2[NewPointsAway],Table2[GameDate], "&lt;=" &amp; $A191, Table2[AwayTeam], U$1)+SUMIFS(Table2[NewPointsHome],Table2[GameDate], "&lt;=" &amp; $A191, Table2[HomeTeam], U$1)</f>
        <v>2</v>
      </c>
      <c r="V191" s="145">
        <f>SUMIFS(Table2[NewPointsAway],Table2[GameDate], "&lt;=" &amp; $A191, Table2[AwayTeam], V$1)+SUMIFS(Table2[NewPointsHome],Table2[GameDate], "&lt;=" &amp; $A191, Table2[HomeTeam], V$1)</f>
        <v>3</v>
      </c>
      <c r="W191" s="145">
        <f>SUMIFS(Table2[NewPointsAway],Table2[GameDate], "&lt;=" &amp; $A191, Table2[AwayTeam], W$1)+SUMIFS(Table2[NewPointsHome],Table2[GameDate], "&lt;=" &amp; $A191, Table2[HomeTeam], W$1)</f>
        <v>4</v>
      </c>
      <c r="X191" s="145">
        <f>SUMIFS(Table2[NewPointsAway],Table2[GameDate], "&lt;=" &amp; $A191, Table2[AwayTeam], X$1)+SUMIFS(Table2[NewPointsHome],Table2[GameDate], "&lt;=" &amp; $A191, Table2[HomeTeam], X$1)</f>
        <v>4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4</v>
      </c>
      <c r="AA191" s="145">
        <f>SUMIFS(Table2[NewPointsAway],Table2[GameDate], "&lt;=" &amp; $A191, Table2[AwayTeam], AA$1)+SUMIFS(Table2[NewPointsHome],Table2[GameDate], "&lt;=" &amp; $A191, Table2[HomeTeam], AA$1)</f>
        <v>2</v>
      </c>
      <c r="AB191" s="145">
        <f>SUMIFS(Table2[NewPointsAway],Table2[GameDate], "&lt;=" &amp; $A191, Table2[AwayTeam], AB$1)+SUMIFS(Table2[NewPointsHome],Table2[GameDate], "&lt;=" &amp; $A191, Table2[HomeTeam], AB$1)</f>
        <v>2</v>
      </c>
      <c r="AC191" s="145">
        <f>SUMIFS(Table2[NewPointsAway],Table2[GameDate], "&lt;=" &amp; $A191, Table2[AwayTeam], AC$1)+SUMIFS(Table2[NewPointsHome],Table2[GameDate], "&lt;=" &amp; $A191, Table2[HomeTeam], AC$1)</f>
        <v>2</v>
      </c>
      <c r="AD191" s="145">
        <f>SUMIFS(Table2[NewPointsAway],Table2[GameDate], "&lt;=" &amp; $A191, Table2[AwayTeam], AD$1)+SUMIFS(Table2[NewPointsHome],Table2[GameDate], "&lt;=" &amp; $A191, Table2[HomeTeam], AD$1)</f>
        <v>2</v>
      </c>
      <c r="AE191" s="145">
        <f>SUMIFS(Table2[NewPointsAway],Table2[GameDate], "&lt;=" &amp; $A191, Table2[AwayTeam], AE$1)+SUMIFS(Table2[NewPointsHome],Table2[GameDate], "&lt;=" &amp; $A191, Table2[HomeTeam], AE$1)</f>
        <v>4</v>
      </c>
      <c r="AF191" s="145">
        <f>SUMIFS(Table2[NewPointsAway],Table2[GameDate], "&lt;=" &amp; $A191, Table2[AwayTeam], AF$1)+SUMIFS(Table2[NewPointsHome],Table2[GameDate], "&lt;=" &amp; $A191, Table2[HomeTeam], AF$1)</f>
        <v>4</v>
      </c>
      <c r="AG191" s="145">
        <f>SUMIFS(Table2[NewPointsAway],Table2[GameDate], "&lt;=" &amp; $A191, Table2[AwayTeam], AG$1)+SUMIFS(Table2[NewPointsHome],Table2[GameDate], "&lt;=" &amp; $A191, Table2[HomeTeam], AG$1)</f>
        <v>4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2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0</v>
      </c>
      <c r="E192" s="145">
        <f>SUMIFS(Table2[NewPointsAway],Table2[GameDate], "&lt;=" &amp; $A192, Table2[AwayTeam], E$1)+SUMIFS(Table2[NewPointsHome],Table2[GameDate], "&lt;=" &amp; $A192, Table2[HomeTeam], E$1)</f>
        <v>4</v>
      </c>
      <c r="F192" s="145">
        <f>SUMIFS(Table2[NewPointsAway],Table2[GameDate], "&lt;=" &amp; $A192, Table2[AwayTeam], F$1)+SUMIFS(Table2[NewPointsHome],Table2[GameDate], "&lt;=" &amp; $A192, Table2[HomeTeam], F$1)</f>
        <v>2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3</v>
      </c>
      <c r="I192" s="145">
        <f>SUMIFS(Table2[NewPointsAway],Table2[GameDate], "&lt;=" &amp; $A192, Table2[AwayTeam], I$1)+SUMIFS(Table2[NewPointsHome],Table2[GameDate], "&lt;=" &amp; $A192, Table2[HomeTeam], I$1)</f>
        <v>7</v>
      </c>
      <c r="J192" s="145">
        <f>SUMIFS(Table2[NewPointsAway],Table2[GameDate], "&lt;=" &amp; $A192, Table2[AwayTeam], J$1)+SUMIFS(Table2[NewPointsHome],Table2[GameDate], "&lt;=" &amp; $A192, Table2[HomeTeam], J$1)</f>
        <v>4</v>
      </c>
      <c r="K192" s="145">
        <f>SUMIFS(Table2[NewPointsAway],Table2[GameDate], "&lt;=" &amp; $A192, Table2[AwayTeam], K$1)+SUMIFS(Table2[NewPointsHome],Table2[GameDate], "&lt;=" &amp; $A192, Table2[HomeTeam], K$1)</f>
        <v>4</v>
      </c>
      <c r="L192" s="145">
        <f>SUMIFS(Table2[NewPointsAway],Table2[GameDate], "&lt;=" &amp; $A192, Table2[AwayTeam], L$1)+SUMIFS(Table2[NewPointsHome],Table2[GameDate], "&lt;=" &amp; $A192, Table2[HomeTeam], L$1)</f>
        <v>3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3</v>
      </c>
      <c r="O192" s="145">
        <f>SUMIFS(Table2[NewPointsAway],Table2[GameDate], "&lt;=" &amp; $A192, Table2[AwayTeam], O$1)+SUMIFS(Table2[NewPointsHome],Table2[GameDate], "&lt;=" &amp; $A192, Table2[HomeTeam], O$1)</f>
        <v>4</v>
      </c>
      <c r="P192" s="145">
        <f>SUMIFS(Table2[NewPointsAway],Table2[GameDate], "&lt;=" &amp; $A192, Table2[AwayTeam], P$1)+SUMIFS(Table2[NewPointsHome],Table2[GameDate], "&lt;=" &amp; $A192, Table2[HomeTeam], P$1)</f>
        <v>4</v>
      </c>
      <c r="Q192" s="145">
        <f>SUMIFS(Table2[NewPointsAway],Table2[GameDate], "&lt;=" &amp; $A192, Table2[AwayTeam], Q$1)+SUMIFS(Table2[NewPointsHome],Table2[GameDate], "&lt;=" &amp; $A192, Table2[HomeTeam], Q$1)</f>
        <v>4</v>
      </c>
      <c r="R192" s="145">
        <f>SUMIFS(Table2[NewPointsAway],Table2[GameDate], "&lt;=" &amp; $A192, Table2[AwayTeam], R$1)+SUMIFS(Table2[NewPointsHome],Table2[GameDate], "&lt;=" &amp; $A192, Table2[HomeTeam], R$1)</f>
        <v>5</v>
      </c>
      <c r="S192" s="145">
        <f>SUMIFS(Table2[NewPointsAway],Table2[GameDate], "&lt;=" &amp; $A192, Table2[AwayTeam], S$1)+SUMIFS(Table2[NewPointsHome],Table2[GameDate], "&lt;=" &amp; $A192, Table2[HomeTeam], S$1)</f>
        <v>0</v>
      </c>
      <c r="T192" s="145">
        <f>SUMIFS(Table2[NewPointsAway],Table2[GameDate], "&lt;=" &amp; $A192, Table2[AwayTeam], T$1)+SUMIFS(Table2[NewPointsHome],Table2[GameDate], "&lt;=" &amp; $A192, Table2[HomeTeam], T$1)</f>
        <v>4</v>
      </c>
      <c r="U192" s="145">
        <f>SUMIFS(Table2[NewPointsAway],Table2[GameDate], "&lt;=" &amp; $A192, Table2[AwayTeam], U$1)+SUMIFS(Table2[NewPointsHome],Table2[GameDate], "&lt;=" &amp; $A192, Table2[HomeTeam], U$1)</f>
        <v>2</v>
      </c>
      <c r="V192" s="145">
        <f>SUMIFS(Table2[NewPointsAway],Table2[GameDate], "&lt;=" &amp; $A192, Table2[AwayTeam], V$1)+SUMIFS(Table2[NewPointsHome],Table2[GameDate], "&lt;=" &amp; $A192, Table2[HomeTeam], V$1)</f>
        <v>3</v>
      </c>
      <c r="W192" s="145">
        <f>SUMIFS(Table2[NewPointsAway],Table2[GameDate], "&lt;=" &amp; $A192, Table2[AwayTeam], W$1)+SUMIFS(Table2[NewPointsHome],Table2[GameDate], "&lt;=" &amp; $A192, Table2[HomeTeam], W$1)</f>
        <v>4</v>
      </c>
      <c r="X192" s="145">
        <f>SUMIFS(Table2[NewPointsAway],Table2[GameDate], "&lt;=" &amp; $A192, Table2[AwayTeam], X$1)+SUMIFS(Table2[NewPointsHome],Table2[GameDate], "&lt;=" &amp; $A192, Table2[HomeTeam], X$1)</f>
        <v>4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4</v>
      </c>
      <c r="AA192" s="145">
        <f>SUMIFS(Table2[NewPointsAway],Table2[GameDate], "&lt;=" &amp; $A192, Table2[AwayTeam], AA$1)+SUMIFS(Table2[NewPointsHome],Table2[GameDate], "&lt;=" &amp; $A192, Table2[HomeTeam], AA$1)</f>
        <v>2</v>
      </c>
      <c r="AB192" s="145">
        <f>SUMIFS(Table2[NewPointsAway],Table2[GameDate], "&lt;=" &amp; $A192, Table2[AwayTeam], AB$1)+SUMIFS(Table2[NewPointsHome],Table2[GameDate], "&lt;=" &amp; $A192, Table2[HomeTeam], AB$1)</f>
        <v>2</v>
      </c>
      <c r="AC192" s="145">
        <f>SUMIFS(Table2[NewPointsAway],Table2[GameDate], "&lt;=" &amp; $A192, Table2[AwayTeam], AC$1)+SUMIFS(Table2[NewPointsHome],Table2[GameDate], "&lt;=" &amp; $A192, Table2[HomeTeam], AC$1)</f>
        <v>2</v>
      </c>
      <c r="AD192" s="145">
        <f>SUMIFS(Table2[NewPointsAway],Table2[GameDate], "&lt;=" &amp; $A192, Table2[AwayTeam], AD$1)+SUMIFS(Table2[NewPointsHome],Table2[GameDate], "&lt;=" &amp; $A192, Table2[HomeTeam], AD$1)</f>
        <v>2</v>
      </c>
      <c r="AE192" s="145">
        <f>SUMIFS(Table2[NewPointsAway],Table2[GameDate], "&lt;=" &amp; $A192, Table2[AwayTeam], AE$1)+SUMIFS(Table2[NewPointsHome],Table2[GameDate], "&lt;=" &amp; $A192, Table2[HomeTeam], AE$1)</f>
        <v>4</v>
      </c>
      <c r="AF192" s="145">
        <f>SUMIFS(Table2[NewPointsAway],Table2[GameDate], "&lt;=" &amp; $A192, Table2[AwayTeam], AF$1)+SUMIFS(Table2[NewPointsHome],Table2[GameDate], "&lt;=" &amp; $A192, Table2[HomeTeam], AF$1)</f>
        <v>4</v>
      </c>
      <c r="AG192" s="145">
        <f>SUMIFS(Table2[NewPointsAway],Table2[GameDate], "&lt;=" &amp; $A192, Table2[AwayTeam], AG$1)+SUMIFS(Table2[NewPointsHome],Table2[GameDate], "&lt;=" &amp; $A192, Table2[HomeTeam], AG$1)</f>
        <v>4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2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0</v>
      </c>
      <c r="E193" s="145">
        <f>SUMIFS(Table2[NewPointsAway],Table2[GameDate], "&lt;=" &amp; $A193, Table2[AwayTeam], E$1)+SUMIFS(Table2[NewPointsHome],Table2[GameDate], "&lt;=" &amp; $A193, Table2[HomeTeam], E$1)</f>
        <v>4</v>
      </c>
      <c r="F193" s="145">
        <f>SUMIFS(Table2[NewPointsAway],Table2[GameDate], "&lt;=" &amp; $A193, Table2[AwayTeam], F$1)+SUMIFS(Table2[NewPointsHome],Table2[GameDate], "&lt;=" &amp; $A193, Table2[HomeTeam], F$1)</f>
        <v>2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3</v>
      </c>
      <c r="I193" s="145">
        <f>SUMIFS(Table2[NewPointsAway],Table2[GameDate], "&lt;=" &amp; $A193, Table2[AwayTeam], I$1)+SUMIFS(Table2[NewPointsHome],Table2[GameDate], "&lt;=" &amp; $A193, Table2[HomeTeam], I$1)</f>
        <v>7</v>
      </c>
      <c r="J193" s="145">
        <f>SUMIFS(Table2[NewPointsAway],Table2[GameDate], "&lt;=" &amp; $A193, Table2[AwayTeam], J$1)+SUMIFS(Table2[NewPointsHome],Table2[GameDate], "&lt;=" &amp; $A193, Table2[HomeTeam], J$1)</f>
        <v>4</v>
      </c>
      <c r="K193" s="145">
        <f>SUMIFS(Table2[NewPointsAway],Table2[GameDate], "&lt;=" &amp; $A193, Table2[AwayTeam], K$1)+SUMIFS(Table2[NewPointsHome],Table2[GameDate], "&lt;=" &amp; $A193, Table2[HomeTeam], K$1)</f>
        <v>4</v>
      </c>
      <c r="L193" s="145">
        <f>SUMIFS(Table2[NewPointsAway],Table2[GameDate], "&lt;=" &amp; $A193, Table2[AwayTeam], L$1)+SUMIFS(Table2[NewPointsHome],Table2[GameDate], "&lt;=" &amp; $A193, Table2[HomeTeam], L$1)</f>
        <v>3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3</v>
      </c>
      <c r="O193" s="145">
        <f>SUMIFS(Table2[NewPointsAway],Table2[GameDate], "&lt;=" &amp; $A193, Table2[AwayTeam], O$1)+SUMIFS(Table2[NewPointsHome],Table2[GameDate], "&lt;=" &amp; $A193, Table2[HomeTeam], O$1)</f>
        <v>4</v>
      </c>
      <c r="P193" s="145">
        <f>SUMIFS(Table2[NewPointsAway],Table2[GameDate], "&lt;=" &amp; $A193, Table2[AwayTeam], P$1)+SUMIFS(Table2[NewPointsHome],Table2[GameDate], "&lt;=" &amp; $A193, Table2[HomeTeam], P$1)</f>
        <v>4</v>
      </c>
      <c r="Q193" s="145">
        <f>SUMIFS(Table2[NewPointsAway],Table2[GameDate], "&lt;=" &amp; $A193, Table2[AwayTeam], Q$1)+SUMIFS(Table2[NewPointsHome],Table2[GameDate], "&lt;=" &amp; $A193, Table2[HomeTeam], Q$1)</f>
        <v>4</v>
      </c>
      <c r="R193" s="145">
        <f>SUMIFS(Table2[NewPointsAway],Table2[GameDate], "&lt;=" &amp; $A193, Table2[AwayTeam], R$1)+SUMIFS(Table2[NewPointsHome],Table2[GameDate], "&lt;=" &amp; $A193, Table2[HomeTeam], R$1)</f>
        <v>5</v>
      </c>
      <c r="S193" s="145">
        <f>SUMIFS(Table2[NewPointsAway],Table2[GameDate], "&lt;=" &amp; $A193, Table2[AwayTeam], S$1)+SUMIFS(Table2[NewPointsHome],Table2[GameDate], "&lt;=" &amp; $A193, Table2[HomeTeam], S$1)</f>
        <v>0</v>
      </c>
      <c r="T193" s="145">
        <f>SUMIFS(Table2[NewPointsAway],Table2[GameDate], "&lt;=" &amp; $A193, Table2[AwayTeam], T$1)+SUMIFS(Table2[NewPointsHome],Table2[GameDate], "&lt;=" &amp; $A193, Table2[HomeTeam], T$1)</f>
        <v>4</v>
      </c>
      <c r="U193" s="145">
        <f>SUMIFS(Table2[NewPointsAway],Table2[GameDate], "&lt;=" &amp; $A193, Table2[AwayTeam], U$1)+SUMIFS(Table2[NewPointsHome],Table2[GameDate], "&lt;=" &amp; $A193, Table2[HomeTeam], U$1)</f>
        <v>2</v>
      </c>
      <c r="V193" s="145">
        <f>SUMIFS(Table2[NewPointsAway],Table2[GameDate], "&lt;=" &amp; $A193, Table2[AwayTeam], V$1)+SUMIFS(Table2[NewPointsHome],Table2[GameDate], "&lt;=" &amp; $A193, Table2[HomeTeam], V$1)</f>
        <v>3</v>
      </c>
      <c r="W193" s="145">
        <f>SUMIFS(Table2[NewPointsAway],Table2[GameDate], "&lt;=" &amp; $A193, Table2[AwayTeam], W$1)+SUMIFS(Table2[NewPointsHome],Table2[GameDate], "&lt;=" &amp; $A193, Table2[HomeTeam], W$1)</f>
        <v>4</v>
      </c>
      <c r="X193" s="145">
        <f>SUMIFS(Table2[NewPointsAway],Table2[GameDate], "&lt;=" &amp; $A193, Table2[AwayTeam], X$1)+SUMIFS(Table2[NewPointsHome],Table2[GameDate], "&lt;=" &amp; $A193, Table2[HomeTeam], X$1)</f>
        <v>4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4</v>
      </c>
      <c r="AA193" s="145">
        <f>SUMIFS(Table2[NewPointsAway],Table2[GameDate], "&lt;=" &amp; $A193, Table2[AwayTeam], AA$1)+SUMIFS(Table2[NewPointsHome],Table2[GameDate], "&lt;=" &amp; $A193, Table2[HomeTeam], AA$1)</f>
        <v>2</v>
      </c>
      <c r="AB193" s="145">
        <f>SUMIFS(Table2[NewPointsAway],Table2[GameDate], "&lt;=" &amp; $A193, Table2[AwayTeam], AB$1)+SUMIFS(Table2[NewPointsHome],Table2[GameDate], "&lt;=" &amp; $A193, Table2[HomeTeam], AB$1)</f>
        <v>2</v>
      </c>
      <c r="AC193" s="145">
        <f>SUMIFS(Table2[NewPointsAway],Table2[GameDate], "&lt;=" &amp; $A193, Table2[AwayTeam], AC$1)+SUMIFS(Table2[NewPointsHome],Table2[GameDate], "&lt;=" &amp; $A193, Table2[HomeTeam], AC$1)</f>
        <v>2</v>
      </c>
      <c r="AD193" s="145">
        <f>SUMIFS(Table2[NewPointsAway],Table2[GameDate], "&lt;=" &amp; $A193, Table2[AwayTeam], AD$1)+SUMIFS(Table2[NewPointsHome],Table2[GameDate], "&lt;=" &amp; $A193, Table2[HomeTeam], AD$1)</f>
        <v>2</v>
      </c>
      <c r="AE193" s="145">
        <f>SUMIFS(Table2[NewPointsAway],Table2[GameDate], "&lt;=" &amp; $A193, Table2[AwayTeam], AE$1)+SUMIFS(Table2[NewPointsHome],Table2[GameDate], "&lt;=" &amp; $A193, Table2[HomeTeam], AE$1)</f>
        <v>4</v>
      </c>
      <c r="AF193" s="145">
        <f>SUMIFS(Table2[NewPointsAway],Table2[GameDate], "&lt;=" &amp; $A193, Table2[AwayTeam], AF$1)+SUMIFS(Table2[NewPointsHome],Table2[GameDate], "&lt;=" &amp; $A193, Table2[HomeTeam], AF$1)</f>
        <v>4</v>
      </c>
      <c r="AG193" s="145">
        <f>SUMIFS(Table2[NewPointsAway],Table2[GameDate], "&lt;=" &amp; $A193, Table2[AwayTeam], AG$1)+SUMIFS(Table2[NewPointsHome],Table2[GameDate], "&lt;=" &amp; $A193, Table2[HomeTeam], AG$1)</f>
        <v>4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2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0</v>
      </c>
      <c r="E194" s="145">
        <f>SUMIFS(Table2[NewPointsAway],Table2[GameDate], "&lt;=" &amp; $A194, Table2[AwayTeam], E$1)+SUMIFS(Table2[NewPointsHome],Table2[GameDate], "&lt;=" &amp; $A194, Table2[HomeTeam], E$1)</f>
        <v>4</v>
      </c>
      <c r="F194" s="145">
        <f>SUMIFS(Table2[NewPointsAway],Table2[GameDate], "&lt;=" &amp; $A194, Table2[AwayTeam], F$1)+SUMIFS(Table2[NewPointsHome],Table2[GameDate], "&lt;=" &amp; $A194, Table2[HomeTeam], F$1)</f>
        <v>2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3</v>
      </c>
      <c r="I194" s="145">
        <f>SUMIFS(Table2[NewPointsAway],Table2[GameDate], "&lt;=" &amp; $A194, Table2[AwayTeam], I$1)+SUMIFS(Table2[NewPointsHome],Table2[GameDate], "&lt;=" &amp; $A194, Table2[HomeTeam], I$1)</f>
        <v>7</v>
      </c>
      <c r="J194" s="145">
        <f>SUMIFS(Table2[NewPointsAway],Table2[GameDate], "&lt;=" &amp; $A194, Table2[AwayTeam], J$1)+SUMIFS(Table2[NewPointsHome],Table2[GameDate], "&lt;=" &amp; $A194, Table2[HomeTeam], J$1)</f>
        <v>4</v>
      </c>
      <c r="K194" s="145">
        <f>SUMIFS(Table2[NewPointsAway],Table2[GameDate], "&lt;=" &amp; $A194, Table2[AwayTeam], K$1)+SUMIFS(Table2[NewPointsHome],Table2[GameDate], "&lt;=" &amp; $A194, Table2[HomeTeam], K$1)</f>
        <v>4</v>
      </c>
      <c r="L194" s="145">
        <f>SUMIFS(Table2[NewPointsAway],Table2[GameDate], "&lt;=" &amp; $A194, Table2[AwayTeam], L$1)+SUMIFS(Table2[NewPointsHome],Table2[GameDate], "&lt;=" &amp; $A194, Table2[HomeTeam], L$1)</f>
        <v>3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3</v>
      </c>
      <c r="O194" s="145">
        <f>SUMIFS(Table2[NewPointsAway],Table2[GameDate], "&lt;=" &amp; $A194, Table2[AwayTeam], O$1)+SUMIFS(Table2[NewPointsHome],Table2[GameDate], "&lt;=" &amp; $A194, Table2[HomeTeam], O$1)</f>
        <v>4</v>
      </c>
      <c r="P194" s="145">
        <f>SUMIFS(Table2[NewPointsAway],Table2[GameDate], "&lt;=" &amp; $A194, Table2[AwayTeam], P$1)+SUMIFS(Table2[NewPointsHome],Table2[GameDate], "&lt;=" &amp; $A194, Table2[HomeTeam], P$1)</f>
        <v>4</v>
      </c>
      <c r="Q194" s="145">
        <f>SUMIFS(Table2[NewPointsAway],Table2[GameDate], "&lt;=" &amp; $A194, Table2[AwayTeam], Q$1)+SUMIFS(Table2[NewPointsHome],Table2[GameDate], "&lt;=" &amp; $A194, Table2[HomeTeam], Q$1)</f>
        <v>4</v>
      </c>
      <c r="R194" s="145">
        <f>SUMIFS(Table2[NewPointsAway],Table2[GameDate], "&lt;=" &amp; $A194, Table2[AwayTeam], R$1)+SUMIFS(Table2[NewPointsHome],Table2[GameDate], "&lt;=" &amp; $A194, Table2[HomeTeam], R$1)</f>
        <v>5</v>
      </c>
      <c r="S194" s="145">
        <f>SUMIFS(Table2[NewPointsAway],Table2[GameDate], "&lt;=" &amp; $A194, Table2[AwayTeam], S$1)+SUMIFS(Table2[NewPointsHome],Table2[GameDate], "&lt;=" &amp; $A194, Table2[HomeTeam], S$1)</f>
        <v>0</v>
      </c>
      <c r="T194" s="145">
        <f>SUMIFS(Table2[NewPointsAway],Table2[GameDate], "&lt;=" &amp; $A194, Table2[AwayTeam], T$1)+SUMIFS(Table2[NewPointsHome],Table2[GameDate], "&lt;=" &amp; $A194, Table2[HomeTeam], T$1)</f>
        <v>4</v>
      </c>
      <c r="U194" s="145">
        <f>SUMIFS(Table2[NewPointsAway],Table2[GameDate], "&lt;=" &amp; $A194, Table2[AwayTeam], U$1)+SUMIFS(Table2[NewPointsHome],Table2[GameDate], "&lt;=" &amp; $A194, Table2[HomeTeam], U$1)</f>
        <v>2</v>
      </c>
      <c r="V194" s="145">
        <f>SUMIFS(Table2[NewPointsAway],Table2[GameDate], "&lt;=" &amp; $A194, Table2[AwayTeam], V$1)+SUMIFS(Table2[NewPointsHome],Table2[GameDate], "&lt;=" &amp; $A194, Table2[HomeTeam], V$1)</f>
        <v>3</v>
      </c>
      <c r="W194" s="145">
        <f>SUMIFS(Table2[NewPointsAway],Table2[GameDate], "&lt;=" &amp; $A194, Table2[AwayTeam], W$1)+SUMIFS(Table2[NewPointsHome],Table2[GameDate], "&lt;=" &amp; $A194, Table2[HomeTeam], W$1)</f>
        <v>4</v>
      </c>
      <c r="X194" s="145">
        <f>SUMIFS(Table2[NewPointsAway],Table2[GameDate], "&lt;=" &amp; $A194, Table2[AwayTeam], X$1)+SUMIFS(Table2[NewPointsHome],Table2[GameDate], "&lt;=" &amp; $A194, Table2[HomeTeam], X$1)</f>
        <v>4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4</v>
      </c>
      <c r="AA194" s="145">
        <f>SUMIFS(Table2[NewPointsAway],Table2[GameDate], "&lt;=" &amp; $A194, Table2[AwayTeam], AA$1)+SUMIFS(Table2[NewPointsHome],Table2[GameDate], "&lt;=" &amp; $A194, Table2[HomeTeam], AA$1)</f>
        <v>2</v>
      </c>
      <c r="AB194" s="145">
        <f>SUMIFS(Table2[NewPointsAway],Table2[GameDate], "&lt;=" &amp; $A194, Table2[AwayTeam], AB$1)+SUMIFS(Table2[NewPointsHome],Table2[GameDate], "&lt;=" &amp; $A194, Table2[HomeTeam], AB$1)</f>
        <v>2</v>
      </c>
      <c r="AC194" s="145">
        <f>SUMIFS(Table2[NewPointsAway],Table2[GameDate], "&lt;=" &amp; $A194, Table2[AwayTeam], AC$1)+SUMIFS(Table2[NewPointsHome],Table2[GameDate], "&lt;=" &amp; $A194, Table2[HomeTeam], AC$1)</f>
        <v>2</v>
      </c>
      <c r="AD194" s="145">
        <f>SUMIFS(Table2[NewPointsAway],Table2[GameDate], "&lt;=" &amp; $A194, Table2[AwayTeam], AD$1)+SUMIFS(Table2[NewPointsHome],Table2[GameDate], "&lt;=" &amp; $A194, Table2[HomeTeam], AD$1)</f>
        <v>2</v>
      </c>
      <c r="AE194" s="145">
        <f>SUMIFS(Table2[NewPointsAway],Table2[GameDate], "&lt;=" &amp; $A194, Table2[AwayTeam], AE$1)+SUMIFS(Table2[NewPointsHome],Table2[GameDate], "&lt;=" &amp; $A194, Table2[HomeTeam], AE$1)</f>
        <v>4</v>
      </c>
      <c r="AF194" s="145">
        <f>SUMIFS(Table2[NewPointsAway],Table2[GameDate], "&lt;=" &amp; $A194, Table2[AwayTeam], AF$1)+SUMIFS(Table2[NewPointsHome],Table2[GameDate], "&lt;=" &amp; $A194, Table2[HomeTeam], AF$1)</f>
        <v>4</v>
      </c>
      <c r="AG194" s="145">
        <f>SUMIFS(Table2[NewPointsAway],Table2[GameDate], "&lt;=" &amp; $A194, Table2[AwayTeam], AG$1)+SUMIFS(Table2[NewPointsHome],Table2[GameDate], "&lt;=" &amp; $A194, Table2[HomeTeam], AG$1)</f>
        <v>4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2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0</v>
      </c>
      <c r="E195" s="145">
        <f>SUMIFS(Table2[NewPointsAway],Table2[GameDate], "&lt;=" &amp; $A195, Table2[AwayTeam], E$1)+SUMIFS(Table2[NewPointsHome],Table2[GameDate], "&lt;=" &amp; $A195, Table2[HomeTeam], E$1)</f>
        <v>4</v>
      </c>
      <c r="F195" s="145">
        <f>SUMIFS(Table2[NewPointsAway],Table2[GameDate], "&lt;=" &amp; $A195, Table2[AwayTeam], F$1)+SUMIFS(Table2[NewPointsHome],Table2[GameDate], "&lt;=" &amp; $A195, Table2[HomeTeam], F$1)</f>
        <v>2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3</v>
      </c>
      <c r="I195" s="145">
        <f>SUMIFS(Table2[NewPointsAway],Table2[GameDate], "&lt;=" &amp; $A195, Table2[AwayTeam], I$1)+SUMIFS(Table2[NewPointsHome],Table2[GameDate], "&lt;=" &amp; $A195, Table2[HomeTeam], I$1)</f>
        <v>7</v>
      </c>
      <c r="J195" s="145">
        <f>SUMIFS(Table2[NewPointsAway],Table2[GameDate], "&lt;=" &amp; $A195, Table2[AwayTeam], J$1)+SUMIFS(Table2[NewPointsHome],Table2[GameDate], "&lt;=" &amp; $A195, Table2[HomeTeam], J$1)</f>
        <v>4</v>
      </c>
      <c r="K195" s="145">
        <f>SUMIFS(Table2[NewPointsAway],Table2[GameDate], "&lt;=" &amp; $A195, Table2[AwayTeam], K$1)+SUMIFS(Table2[NewPointsHome],Table2[GameDate], "&lt;=" &amp; $A195, Table2[HomeTeam], K$1)</f>
        <v>4</v>
      </c>
      <c r="L195" s="145">
        <f>SUMIFS(Table2[NewPointsAway],Table2[GameDate], "&lt;=" &amp; $A195, Table2[AwayTeam], L$1)+SUMIFS(Table2[NewPointsHome],Table2[GameDate], "&lt;=" &amp; $A195, Table2[HomeTeam], L$1)</f>
        <v>3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3</v>
      </c>
      <c r="O195" s="145">
        <f>SUMIFS(Table2[NewPointsAway],Table2[GameDate], "&lt;=" &amp; $A195, Table2[AwayTeam], O$1)+SUMIFS(Table2[NewPointsHome],Table2[GameDate], "&lt;=" &amp; $A195, Table2[HomeTeam], O$1)</f>
        <v>4</v>
      </c>
      <c r="P195" s="145">
        <f>SUMIFS(Table2[NewPointsAway],Table2[GameDate], "&lt;=" &amp; $A195, Table2[AwayTeam], P$1)+SUMIFS(Table2[NewPointsHome],Table2[GameDate], "&lt;=" &amp; $A195, Table2[HomeTeam], P$1)</f>
        <v>4</v>
      </c>
      <c r="Q195" s="145">
        <f>SUMIFS(Table2[NewPointsAway],Table2[GameDate], "&lt;=" &amp; $A195, Table2[AwayTeam], Q$1)+SUMIFS(Table2[NewPointsHome],Table2[GameDate], "&lt;=" &amp; $A195, Table2[HomeTeam], Q$1)</f>
        <v>4</v>
      </c>
      <c r="R195" s="145">
        <f>SUMIFS(Table2[NewPointsAway],Table2[GameDate], "&lt;=" &amp; $A195, Table2[AwayTeam], R$1)+SUMIFS(Table2[NewPointsHome],Table2[GameDate], "&lt;=" &amp; $A195, Table2[HomeTeam], R$1)</f>
        <v>5</v>
      </c>
      <c r="S195" s="145">
        <f>SUMIFS(Table2[NewPointsAway],Table2[GameDate], "&lt;=" &amp; $A195, Table2[AwayTeam], S$1)+SUMIFS(Table2[NewPointsHome],Table2[GameDate], "&lt;=" &amp; $A195, Table2[HomeTeam], S$1)</f>
        <v>0</v>
      </c>
      <c r="T195" s="145">
        <f>SUMIFS(Table2[NewPointsAway],Table2[GameDate], "&lt;=" &amp; $A195, Table2[AwayTeam], T$1)+SUMIFS(Table2[NewPointsHome],Table2[GameDate], "&lt;=" &amp; $A195, Table2[HomeTeam], T$1)</f>
        <v>4</v>
      </c>
      <c r="U195" s="145">
        <f>SUMIFS(Table2[NewPointsAway],Table2[GameDate], "&lt;=" &amp; $A195, Table2[AwayTeam], U$1)+SUMIFS(Table2[NewPointsHome],Table2[GameDate], "&lt;=" &amp; $A195, Table2[HomeTeam], U$1)</f>
        <v>2</v>
      </c>
      <c r="V195" s="145">
        <f>SUMIFS(Table2[NewPointsAway],Table2[GameDate], "&lt;=" &amp; $A195, Table2[AwayTeam], V$1)+SUMIFS(Table2[NewPointsHome],Table2[GameDate], "&lt;=" &amp; $A195, Table2[HomeTeam], V$1)</f>
        <v>3</v>
      </c>
      <c r="W195" s="145">
        <f>SUMIFS(Table2[NewPointsAway],Table2[GameDate], "&lt;=" &amp; $A195, Table2[AwayTeam], W$1)+SUMIFS(Table2[NewPointsHome],Table2[GameDate], "&lt;=" &amp; $A195, Table2[HomeTeam], W$1)</f>
        <v>4</v>
      </c>
      <c r="X195" s="145">
        <f>SUMIFS(Table2[NewPointsAway],Table2[GameDate], "&lt;=" &amp; $A195, Table2[AwayTeam], X$1)+SUMIFS(Table2[NewPointsHome],Table2[GameDate], "&lt;=" &amp; $A195, Table2[HomeTeam], X$1)</f>
        <v>4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4</v>
      </c>
      <c r="AA195" s="145">
        <f>SUMIFS(Table2[NewPointsAway],Table2[GameDate], "&lt;=" &amp; $A195, Table2[AwayTeam], AA$1)+SUMIFS(Table2[NewPointsHome],Table2[GameDate], "&lt;=" &amp; $A195, Table2[HomeTeam], AA$1)</f>
        <v>2</v>
      </c>
      <c r="AB195" s="145">
        <f>SUMIFS(Table2[NewPointsAway],Table2[GameDate], "&lt;=" &amp; $A195, Table2[AwayTeam], AB$1)+SUMIFS(Table2[NewPointsHome],Table2[GameDate], "&lt;=" &amp; $A195, Table2[HomeTeam], AB$1)</f>
        <v>2</v>
      </c>
      <c r="AC195" s="145">
        <f>SUMIFS(Table2[NewPointsAway],Table2[GameDate], "&lt;=" &amp; $A195, Table2[AwayTeam], AC$1)+SUMIFS(Table2[NewPointsHome],Table2[GameDate], "&lt;=" &amp; $A195, Table2[HomeTeam], AC$1)</f>
        <v>2</v>
      </c>
      <c r="AD195" s="145">
        <f>SUMIFS(Table2[NewPointsAway],Table2[GameDate], "&lt;=" &amp; $A195, Table2[AwayTeam], AD$1)+SUMIFS(Table2[NewPointsHome],Table2[GameDate], "&lt;=" &amp; $A195, Table2[HomeTeam], AD$1)</f>
        <v>2</v>
      </c>
      <c r="AE195" s="145">
        <f>SUMIFS(Table2[NewPointsAway],Table2[GameDate], "&lt;=" &amp; $A195, Table2[AwayTeam], AE$1)+SUMIFS(Table2[NewPointsHome],Table2[GameDate], "&lt;=" &amp; $A195, Table2[HomeTeam], AE$1)</f>
        <v>4</v>
      </c>
      <c r="AF195" s="145">
        <f>SUMIFS(Table2[NewPointsAway],Table2[GameDate], "&lt;=" &amp; $A195, Table2[AwayTeam], AF$1)+SUMIFS(Table2[NewPointsHome],Table2[GameDate], "&lt;=" &amp; $A195, Table2[HomeTeam], AF$1)</f>
        <v>4</v>
      </c>
      <c r="AG195" s="145">
        <f>SUMIFS(Table2[NewPointsAway],Table2[GameDate], "&lt;=" &amp; $A195, Table2[AwayTeam], AG$1)+SUMIFS(Table2[NewPointsHome],Table2[GameDate], "&lt;=" &amp; $A195, Table2[HomeTeam], AG$1)</f>
        <v>4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2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0</v>
      </c>
      <c r="E196" s="145">
        <f>SUMIFS(Table2[NewPointsAway],Table2[GameDate], "&lt;=" &amp; $A196, Table2[AwayTeam], E$1)+SUMIFS(Table2[NewPointsHome],Table2[GameDate], "&lt;=" &amp; $A196, Table2[HomeTeam], E$1)</f>
        <v>4</v>
      </c>
      <c r="F196" s="145">
        <f>SUMIFS(Table2[NewPointsAway],Table2[GameDate], "&lt;=" &amp; $A196, Table2[AwayTeam], F$1)+SUMIFS(Table2[NewPointsHome],Table2[GameDate], "&lt;=" &amp; $A196, Table2[HomeTeam], F$1)</f>
        <v>2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3</v>
      </c>
      <c r="I196" s="145">
        <f>SUMIFS(Table2[NewPointsAway],Table2[GameDate], "&lt;=" &amp; $A196, Table2[AwayTeam], I$1)+SUMIFS(Table2[NewPointsHome],Table2[GameDate], "&lt;=" &amp; $A196, Table2[HomeTeam], I$1)</f>
        <v>7</v>
      </c>
      <c r="J196" s="145">
        <f>SUMIFS(Table2[NewPointsAway],Table2[GameDate], "&lt;=" &amp; $A196, Table2[AwayTeam], J$1)+SUMIFS(Table2[NewPointsHome],Table2[GameDate], "&lt;=" &amp; $A196, Table2[HomeTeam], J$1)</f>
        <v>4</v>
      </c>
      <c r="K196" s="145">
        <f>SUMIFS(Table2[NewPointsAway],Table2[GameDate], "&lt;=" &amp; $A196, Table2[AwayTeam], K$1)+SUMIFS(Table2[NewPointsHome],Table2[GameDate], "&lt;=" &amp; $A196, Table2[HomeTeam], K$1)</f>
        <v>4</v>
      </c>
      <c r="L196" s="145">
        <f>SUMIFS(Table2[NewPointsAway],Table2[GameDate], "&lt;=" &amp; $A196, Table2[AwayTeam], L$1)+SUMIFS(Table2[NewPointsHome],Table2[GameDate], "&lt;=" &amp; $A196, Table2[HomeTeam], L$1)</f>
        <v>3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3</v>
      </c>
      <c r="O196" s="145">
        <f>SUMIFS(Table2[NewPointsAway],Table2[GameDate], "&lt;=" &amp; $A196, Table2[AwayTeam], O$1)+SUMIFS(Table2[NewPointsHome],Table2[GameDate], "&lt;=" &amp; $A196, Table2[HomeTeam], O$1)</f>
        <v>4</v>
      </c>
      <c r="P196" s="145">
        <f>SUMIFS(Table2[NewPointsAway],Table2[GameDate], "&lt;=" &amp; $A196, Table2[AwayTeam], P$1)+SUMIFS(Table2[NewPointsHome],Table2[GameDate], "&lt;=" &amp; $A196, Table2[HomeTeam], P$1)</f>
        <v>4</v>
      </c>
      <c r="Q196" s="145">
        <f>SUMIFS(Table2[NewPointsAway],Table2[GameDate], "&lt;=" &amp; $A196, Table2[AwayTeam], Q$1)+SUMIFS(Table2[NewPointsHome],Table2[GameDate], "&lt;=" &amp; $A196, Table2[HomeTeam], Q$1)</f>
        <v>4</v>
      </c>
      <c r="R196" s="145">
        <f>SUMIFS(Table2[NewPointsAway],Table2[GameDate], "&lt;=" &amp; $A196, Table2[AwayTeam], R$1)+SUMIFS(Table2[NewPointsHome],Table2[GameDate], "&lt;=" &amp; $A196, Table2[HomeTeam], R$1)</f>
        <v>5</v>
      </c>
      <c r="S196" s="145">
        <f>SUMIFS(Table2[NewPointsAway],Table2[GameDate], "&lt;=" &amp; $A196, Table2[AwayTeam], S$1)+SUMIFS(Table2[NewPointsHome],Table2[GameDate], "&lt;=" &amp; $A196, Table2[HomeTeam], S$1)</f>
        <v>0</v>
      </c>
      <c r="T196" s="145">
        <f>SUMIFS(Table2[NewPointsAway],Table2[GameDate], "&lt;=" &amp; $A196, Table2[AwayTeam], T$1)+SUMIFS(Table2[NewPointsHome],Table2[GameDate], "&lt;=" &amp; $A196, Table2[HomeTeam], T$1)</f>
        <v>4</v>
      </c>
      <c r="U196" s="145">
        <f>SUMIFS(Table2[NewPointsAway],Table2[GameDate], "&lt;=" &amp; $A196, Table2[AwayTeam], U$1)+SUMIFS(Table2[NewPointsHome],Table2[GameDate], "&lt;=" &amp; $A196, Table2[HomeTeam], U$1)</f>
        <v>2</v>
      </c>
      <c r="V196" s="145">
        <f>SUMIFS(Table2[NewPointsAway],Table2[GameDate], "&lt;=" &amp; $A196, Table2[AwayTeam], V$1)+SUMIFS(Table2[NewPointsHome],Table2[GameDate], "&lt;=" &amp; $A196, Table2[HomeTeam], V$1)</f>
        <v>3</v>
      </c>
      <c r="W196" s="145">
        <f>SUMIFS(Table2[NewPointsAway],Table2[GameDate], "&lt;=" &amp; $A196, Table2[AwayTeam], W$1)+SUMIFS(Table2[NewPointsHome],Table2[GameDate], "&lt;=" &amp; $A196, Table2[HomeTeam], W$1)</f>
        <v>4</v>
      </c>
      <c r="X196" s="145">
        <f>SUMIFS(Table2[NewPointsAway],Table2[GameDate], "&lt;=" &amp; $A196, Table2[AwayTeam], X$1)+SUMIFS(Table2[NewPointsHome],Table2[GameDate], "&lt;=" &amp; $A196, Table2[HomeTeam], X$1)</f>
        <v>4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4</v>
      </c>
      <c r="AA196" s="145">
        <f>SUMIFS(Table2[NewPointsAway],Table2[GameDate], "&lt;=" &amp; $A196, Table2[AwayTeam], AA$1)+SUMIFS(Table2[NewPointsHome],Table2[GameDate], "&lt;=" &amp; $A196, Table2[HomeTeam], AA$1)</f>
        <v>2</v>
      </c>
      <c r="AB196" s="145">
        <f>SUMIFS(Table2[NewPointsAway],Table2[GameDate], "&lt;=" &amp; $A196, Table2[AwayTeam], AB$1)+SUMIFS(Table2[NewPointsHome],Table2[GameDate], "&lt;=" &amp; $A196, Table2[HomeTeam], AB$1)</f>
        <v>2</v>
      </c>
      <c r="AC196" s="145">
        <f>SUMIFS(Table2[NewPointsAway],Table2[GameDate], "&lt;=" &amp; $A196, Table2[AwayTeam], AC$1)+SUMIFS(Table2[NewPointsHome],Table2[GameDate], "&lt;=" &amp; $A196, Table2[HomeTeam], AC$1)</f>
        <v>2</v>
      </c>
      <c r="AD196" s="145">
        <f>SUMIFS(Table2[NewPointsAway],Table2[GameDate], "&lt;=" &amp; $A196, Table2[AwayTeam], AD$1)+SUMIFS(Table2[NewPointsHome],Table2[GameDate], "&lt;=" &amp; $A196, Table2[HomeTeam], AD$1)</f>
        <v>2</v>
      </c>
      <c r="AE196" s="145">
        <f>SUMIFS(Table2[NewPointsAway],Table2[GameDate], "&lt;=" &amp; $A196, Table2[AwayTeam], AE$1)+SUMIFS(Table2[NewPointsHome],Table2[GameDate], "&lt;=" &amp; $A196, Table2[HomeTeam], AE$1)</f>
        <v>4</v>
      </c>
      <c r="AF196" s="145">
        <f>SUMIFS(Table2[NewPointsAway],Table2[GameDate], "&lt;=" &amp; $A196, Table2[AwayTeam], AF$1)+SUMIFS(Table2[NewPointsHome],Table2[GameDate], "&lt;=" &amp; $A196, Table2[HomeTeam], AF$1)</f>
        <v>4</v>
      </c>
      <c r="AG196" s="145">
        <f>SUMIFS(Table2[NewPointsAway],Table2[GameDate], "&lt;=" &amp; $A196, Table2[AwayTeam], AG$1)+SUMIFS(Table2[NewPointsHome],Table2[GameDate], "&lt;=" &amp; $A196, Table2[HomeTeam], AG$1)</f>
        <v>4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2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0</v>
      </c>
      <c r="E197" s="145">
        <f>SUMIFS(Table2[NewPointsAway],Table2[GameDate], "&lt;=" &amp; $A197, Table2[AwayTeam], E$1)+SUMIFS(Table2[NewPointsHome],Table2[GameDate], "&lt;=" &amp; $A197, Table2[HomeTeam], E$1)</f>
        <v>4</v>
      </c>
      <c r="F197" s="145">
        <f>SUMIFS(Table2[NewPointsAway],Table2[GameDate], "&lt;=" &amp; $A197, Table2[AwayTeam], F$1)+SUMIFS(Table2[NewPointsHome],Table2[GameDate], "&lt;=" &amp; $A197, Table2[HomeTeam], F$1)</f>
        <v>2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3</v>
      </c>
      <c r="I197" s="145">
        <f>SUMIFS(Table2[NewPointsAway],Table2[GameDate], "&lt;=" &amp; $A197, Table2[AwayTeam], I$1)+SUMIFS(Table2[NewPointsHome],Table2[GameDate], "&lt;=" &amp; $A197, Table2[HomeTeam], I$1)</f>
        <v>7</v>
      </c>
      <c r="J197" s="145">
        <f>SUMIFS(Table2[NewPointsAway],Table2[GameDate], "&lt;=" &amp; $A197, Table2[AwayTeam], J$1)+SUMIFS(Table2[NewPointsHome],Table2[GameDate], "&lt;=" &amp; $A197, Table2[HomeTeam], J$1)</f>
        <v>4</v>
      </c>
      <c r="K197" s="145">
        <f>SUMIFS(Table2[NewPointsAway],Table2[GameDate], "&lt;=" &amp; $A197, Table2[AwayTeam], K$1)+SUMIFS(Table2[NewPointsHome],Table2[GameDate], "&lt;=" &amp; $A197, Table2[HomeTeam], K$1)</f>
        <v>4</v>
      </c>
      <c r="L197" s="145">
        <f>SUMIFS(Table2[NewPointsAway],Table2[GameDate], "&lt;=" &amp; $A197, Table2[AwayTeam], L$1)+SUMIFS(Table2[NewPointsHome],Table2[GameDate], "&lt;=" &amp; $A197, Table2[HomeTeam], L$1)</f>
        <v>3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3</v>
      </c>
      <c r="O197" s="145">
        <f>SUMIFS(Table2[NewPointsAway],Table2[GameDate], "&lt;=" &amp; $A197, Table2[AwayTeam], O$1)+SUMIFS(Table2[NewPointsHome],Table2[GameDate], "&lt;=" &amp; $A197, Table2[HomeTeam], O$1)</f>
        <v>4</v>
      </c>
      <c r="P197" s="145">
        <f>SUMIFS(Table2[NewPointsAway],Table2[GameDate], "&lt;=" &amp; $A197, Table2[AwayTeam], P$1)+SUMIFS(Table2[NewPointsHome],Table2[GameDate], "&lt;=" &amp; $A197, Table2[HomeTeam], P$1)</f>
        <v>4</v>
      </c>
      <c r="Q197" s="145">
        <f>SUMIFS(Table2[NewPointsAway],Table2[GameDate], "&lt;=" &amp; $A197, Table2[AwayTeam], Q$1)+SUMIFS(Table2[NewPointsHome],Table2[GameDate], "&lt;=" &amp; $A197, Table2[HomeTeam], Q$1)</f>
        <v>4</v>
      </c>
      <c r="R197" s="145">
        <f>SUMIFS(Table2[NewPointsAway],Table2[GameDate], "&lt;=" &amp; $A197, Table2[AwayTeam], R$1)+SUMIFS(Table2[NewPointsHome],Table2[GameDate], "&lt;=" &amp; $A197, Table2[HomeTeam], R$1)</f>
        <v>5</v>
      </c>
      <c r="S197" s="145">
        <f>SUMIFS(Table2[NewPointsAway],Table2[GameDate], "&lt;=" &amp; $A197, Table2[AwayTeam], S$1)+SUMIFS(Table2[NewPointsHome],Table2[GameDate], "&lt;=" &amp; $A197, Table2[HomeTeam], S$1)</f>
        <v>0</v>
      </c>
      <c r="T197" s="145">
        <f>SUMIFS(Table2[NewPointsAway],Table2[GameDate], "&lt;=" &amp; $A197, Table2[AwayTeam], T$1)+SUMIFS(Table2[NewPointsHome],Table2[GameDate], "&lt;=" &amp; $A197, Table2[HomeTeam], T$1)</f>
        <v>4</v>
      </c>
      <c r="U197" s="145">
        <f>SUMIFS(Table2[NewPointsAway],Table2[GameDate], "&lt;=" &amp; $A197, Table2[AwayTeam], U$1)+SUMIFS(Table2[NewPointsHome],Table2[GameDate], "&lt;=" &amp; $A197, Table2[HomeTeam], U$1)</f>
        <v>2</v>
      </c>
      <c r="V197" s="145">
        <f>SUMIFS(Table2[NewPointsAway],Table2[GameDate], "&lt;=" &amp; $A197, Table2[AwayTeam], V$1)+SUMIFS(Table2[NewPointsHome],Table2[GameDate], "&lt;=" &amp; $A197, Table2[HomeTeam], V$1)</f>
        <v>3</v>
      </c>
      <c r="W197" s="145">
        <f>SUMIFS(Table2[NewPointsAway],Table2[GameDate], "&lt;=" &amp; $A197, Table2[AwayTeam], W$1)+SUMIFS(Table2[NewPointsHome],Table2[GameDate], "&lt;=" &amp; $A197, Table2[HomeTeam], W$1)</f>
        <v>4</v>
      </c>
      <c r="X197" s="145">
        <f>SUMIFS(Table2[NewPointsAway],Table2[GameDate], "&lt;=" &amp; $A197, Table2[AwayTeam], X$1)+SUMIFS(Table2[NewPointsHome],Table2[GameDate], "&lt;=" &amp; $A197, Table2[HomeTeam], X$1)</f>
        <v>4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4</v>
      </c>
      <c r="AA197" s="145">
        <f>SUMIFS(Table2[NewPointsAway],Table2[GameDate], "&lt;=" &amp; $A197, Table2[AwayTeam], AA$1)+SUMIFS(Table2[NewPointsHome],Table2[GameDate], "&lt;=" &amp; $A197, Table2[HomeTeam], AA$1)</f>
        <v>2</v>
      </c>
      <c r="AB197" s="145">
        <f>SUMIFS(Table2[NewPointsAway],Table2[GameDate], "&lt;=" &amp; $A197, Table2[AwayTeam], AB$1)+SUMIFS(Table2[NewPointsHome],Table2[GameDate], "&lt;=" &amp; $A197, Table2[HomeTeam], AB$1)</f>
        <v>2</v>
      </c>
      <c r="AC197" s="145">
        <f>SUMIFS(Table2[NewPointsAway],Table2[GameDate], "&lt;=" &amp; $A197, Table2[AwayTeam], AC$1)+SUMIFS(Table2[NewPointsHome],Table2[GameDate], "&lt;=" &amp; $A197, Table2[HomeTeam], AC$1)</f>
        <v>2</v>
      </c>
      <c r="AD197" s="145">
        <f>SUMIFS(Table2[NewPointsAway],Table2[GameDate], "&lt;=" &amp; $A197, Table2[AwayTeam], AD$1)+SUMIFS(Table2[NewPointsHome],Table2[GameDate], "&lt;=" &amp; $A197, Table2[HomeTeam], AD$1)</f>
        <v>2</v>
      </c>
      <c r="AE197" s="145">
        <f>SUMIFS(Table2[NewPointsAway],Table2[GameDate], "&lt;=" &amp; $A197, Table2[AwayTeam], AE$1)+SUMIFS(Table2[NewPointsHome],Table2[GameDate], "&lt;=" &amp; $A197, Table2[HomeTeam], AE$1)</f>
        <v>4</v>
      </c>
      <c r="AF197" s="145">
        <f>SUMIFS(Table2[NewPointsAway],Table2[GameDate], "&lt;=" &amp; $A197, Table2[AwayTeam], AF$1)+SUMIFS(Table2[NewPointsHome],Table2[GameDate], "&lt;=" &amp; $A197, Table2[HomeTeam], AF$1)</f>
        <v>4</v>
      </c>
      <c r="AG197" s="145">
        <f>SUMIFS(Table2[NewPointsAway],Table2[GameDate], "&lt;=" &amp; $A197, Table2[AwayTeam], AG$1)+SUMIFS(Table2[NewPointsHome],Table2[GameDate], "&lt;=" &amp; $A197, Table2[HomeTeam], AG$1)</f>
        <v>4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2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0</v>
      </c>
      <c r="E198" s="145">
        <f>SUMIFS(Table2[NewPointsAway],Table2[GameDate], "&lt;=" &amp; $A198, Table2[AwayTeam], E$1)+SUMIFS(Table2[NewPointsHome],Table2[GameDate], "&lt;=" &amp; $A198, Table2[HomeTeam], E$1)</f>
        <v>4</v>
      </c>
      <c r="F198" s="145">
        <f>SUMIFS(Table2[NewPointsAway],Table2[GameDate], "&lt;=" &amp; $A198, Table2[AwayTeam], F$1)+SUMIFS(Table2[NewPointsHome],Table2[GameDate], "&lt;=" &amp; $A198, Table2[HomeTeam], F$1)</f>
        <v>2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3</v>
      </c>
      <c r="I198" s="145">
        <f>SUMIFS(Table2[NewPointsAway],Table2[GameDate], "&lt;=" &amp; $A198, Table2[AwayTeam], I$1)+SUMIFS(Table2[NewPointsHome],Table2[GameDate], "&lt;=" &amp; $A198, Table2[HomeTeam], I$1)</f>
        <v>7</v>
      </c>
      <c r="J198" s="145">
        <f>SUMIFS(Table2[NewPointsAway],Table2[GameDate], "&lt;=" &amp; $A198, Table2[AwayTeam], J$1)+SUMIFS(Table2[NewPointsHome],Table2[GameDate], "&lt;=" &amp; $A198, Table2[HomeTeam], J$1)</f>
        <v>4</v>
      </c>
      <c r="K198" s="145">
        <f>SUMIFS(Table2[NewPointsAway],Table2[GameDate], "&lt;=" &amp; $A198, Table2[AwayTeam], K$1)+SUMIFS(Table2[NewPointsHome],Table2[GameDate], "&lt;=" &amp; $A198, Table2[HomeTeam], K$1)</f>
        <v>4</v>
      </c>
      <c r="L198" s="145">
        <f>SUMIFS(Table2[NewPointsAway],Table2[GameDate], "&lt;=" &amp; $A198, Table2[AwayTeam], L$1)+SUMIFS(Table2[NewPointsHome],Table2[GameDate], "&lt;=" &amp; $A198, Table2[HomeTeam], L$1)</f>
        <v>3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3</v>
      </c>
      <c r="O198" s="145">
        <f>SUMIFS(Table2[NewPointsAway],Table2[GameDate], "&lt;=" &amp; $A198, Table2[AwayTeam], O$1)+SUMIFS(Table2[NewPointsHome],Table2[GameDate], "&lt;=" &amp; $A198, Table2[HomeTeam], O$1)</f>
        <v>4</v>
      </c>
      <c r="P198" s="145">
        <f>SUMIFS(Table2[NewPointsAway],Table2[GameDate], "&lt;=" &amp; $A198, Table2[AwayTeam], P$1)+SUMIFS(Table2[NewPointsHome],Table2[GameDate], "&lt;=" &amp; $A198, Table2[HomeTeam], P$1)</f>
        <v>4</v>
      </c>
      <c r="Q198" s="145">
        <f>SUMIFS(Table2[NewPointsAway],Table2[GameDate], "&lt;=" &amp; $A198, Table2[AwayTeam], Q$1)+SUMIFS(Table2[NewPointsHome],Table2[GameDate], "&lt;=" &amp; $A198, Table2[HomeTeam], Q$1)</f>
        <v>4</v>
      </c>
      <c r="R198" s="145">
        <f>SUMIFS(Table2[NewPointsAway],Table2[GameDate], "&lt;=" &amp; $A198, Table2[AwayTeam], R$1)+SUMIFS(Table2[NewPointsHome],Table2[GameDate], "&lt;=" &amp; $A198, Table2[HomeTeam], R$1)</f>
        <v>5</v>
      </c>
      <c r="S198" s="145">
        <f>SUMIFS(Table2[NewPointsAway],Table2[GameDate], "&lt;=" &amp; $A198, Table2[AwayTeam], S$1)+SUMIFS(Table2[NewPointsHome],Table2[GameDate], "&lt;=" &amp; $A198, Table2[HomeTeam], S$1)</f>
        <v>0</v>
      </c>
      <c r="T198" s="145">
        <f>SUMIFS(Table2[NewPointsAway],Table2[GameDate], "&lt;=" &amp; $A198, Table2[AwayTeam], T$1)+SUMIFS(Table2[NewPointsHome],Table2[GameDate], "&lt;=" &amp; $A198, Table2[HomeTeam], T$1)</f>
        <v>4</v>
      </c>
      <c r="U198" s="145">
        <f>SUMIFS(Table2[NewPointsAway],Table2[GameDate], "&lt;=" &amp; $A198, Table2[AwayTeam], U$1)+SUMIFS(Table2[NewPointsHome],Table2[GameDate], "&lt;=" &amp; $A198, Table2[HomeTeam], U$1)</f>
        <v>2</v>
      </c>
      <c r="V198" s="145">
        <f>SUMIFS(Table2[NewPointsAway],Table2[GameDate], "&lt;=" &amp; $A198, Table2[AwayTeam], V$1)+SUMIFS(Table2[NewPointsHome],Table2[GameDate], "&lt;=" &amp; $A198, Table2[HomeTeam], V$1)</f>
        <v>3</v>
      </c>
      <c r="W198" s="145">
        <f>SUMIFS(Table2[NewPointsAway],Table2[GameDate], "&lt;=" &amp; $A198, Table2[AwayTeam], W$1)+SUMIFS(Table2[NewPointsHome],Table2[GameDate], "&lt;=" &amp; $A198, Table2[HomeTeam], W$1)</f>
        <v>4</v>
      </c>
      <c r="X198" s="145">
        <f>SUMIFS(Table2[NewPointsAway],Table2[GameDate], "&lt;=" &amp; $A198, Table2[AwayTeam], X$1)+SUMIFS(Table2[NewPointsHome],Table2[GameDate], "&lt;=" &amp; $A198, Table2[HomeTeam], X$1)</f>
        <v>4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4</v>
      </c>
      <c r="AA198" s="145">
        <f>SUMIFS(Table2[NewPointsAway],Table2[GameDate], "&lt;=" &amp; $A198, Table2[AwayTeam], AA$1)+SUMIFS(Table2[NewPointsHome],Table2[GameDate], "&lt;=" &amp; $A198, Table2[HomeTeam], AA$1)</f>
        <v>2</v>
      </c>
      <c r="AB198" s="145">
        <f>SUMIFS(Table2[NewPointsAway],Table2[GameDate], "&lt;=" &amp; $A198, Table2[AwayTeam], AB$1)+SUMIFS(Table2[NewPointsHome],Table2[GameDate], "&lt;=" &amp; $A198, Table2[HomeTeam], AB$1)</f>
        <v>2</v>
      </c>
      <c r="AC198" s="145">
        <f>SUMIFS(Table2[NewPointsAway],Table2[GameDate], "&lt;=" &amp; $A198, Table2[AwayTeam], AC$1)+SUMIFS(Table2[NewPointsHome],Table2[GameDate], "&lt;=" &amp; $A198, Table2[HomeTeam], AC$1)</f>
        <v>2</v>
      </c>
      <c r="AD198" s="145">
        <f>SUMIFS(Table2[NewPointsAway],Table2[GameDate], "&lt;=" &amp; $A198, Table2[AwayTeam], AD$1)+SUMIFS(Table2[NewPointsHome],Table2[GameDate], "&lt;=" &amp; $A198, Table2[HomeTeam], AD$1)</f>
        <v>2</v>
      </c>
      <c r="AE198" s="145">
        <f>SUMIFS(Table2[NewPointsAway],Table2[GameDate], "&lt;=" &amp; $A198, Table2[AwayTeam], AE$1)+SUMIFS(Table2[NewPointsHome],Table2[GameDate], "&lt;=" &amp; $A198, Table2[HomeTeam], AE$1)</f>
        <v>4</v>
      </c>
      <c r="AF198" s="145">
        <f>SUMIFS(Table2[NewPointsAway],Table2[GameDate], "&lt;=" &amp; $A198, Table2[AwayTeam], AF$1)+SUMIFS(Table2[NewPointsHome],Table2[GameDate], "&lt;=" &amp; $A198, Table2[HomeTeam], AF$1)</f>
        <v>4</v>
      </c>
      <c r="AG198" s="145">
        <f>SUMIFS(Table2[NewPointsAway],Table2[GameDate], "&lt;=" &amp; $A198, Table2[AwayTeam], AG$1)+SUMIFS(Table2[NewPointsHome],Table2[GameDate], "&lt;=" &amp; $A198, Table2[HomeTeam], AG$1)</f>
        <v>4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2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0</v>
      </c>
      <c r="E199" s="145">
        <f>SUMIFS(Table2[NewPointsAway],Table2[GameDate], "&lt;=" &amp; $A199, Table2[AwayTeam], E$1)+SUMIFS(Table2[NewPointsHome],Table2[GameDate], "&lt;=" &amp; $A199, Table2[HomeTeam], E$1)</f>
        <v>4</v>
      </c>
      <c r="F199" s="145">
        <f>SUMIFS(Table2[NewPointsAway],Table2[GameDate], "&lt;=" &amp; $A199, Table2[AwayTeam], F$1)+SUMIFS(Table2[NewPointsHome],Table2[GameDate], "&lt;=" &amp; $A199, Table2[HomeTeam], F$1)</f>
        <v>2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3</v>
      </c>
      <c r="I199" s="145">
        <f>SUMIFS(Table2[NewPointsAway],Table2[GameDate], "&lt;=" &amp; $A199, Table2[AwayTeam], I$1)+SUMIFS(Table2[NewPointsHome],Table2[GameDate], "&lt;=" &amp; $A199, Table2[HomeTeam], I$1)</f>
        <v>7</v>
      </c>
      <c r="J199" s="145">
        <f>SUMIFS(Table2[NewPointsAway],Table2[GameDate], "&lt;=" &amp; $A199, Table2[AwayTeam], J$1)+SUMIFS(Table2[NewPointsHome],Table2[GameDate], "&lt;=" &amp; $A199, Table2[HomeTeam], J$1)</f>
        <v>4</v>
      </c>
      <c r="K199" s="145">
        <f>SUMIFS(Table2[NewPointsAway],Table2[GameDate], "&lt;=" &amp; $A199, Table2[AwayTeam], K$1)+SUMIFS(Table2[NewPointsHome],Table2[GameDate], "&lt;=" &amp; $A199, Table2[HomeTeam], K$1)</f>
        <v>4</v>
      </c>
      <c r="L199" s="145">
        <f>SUMIFS(Table2[NewPointsAway],Table2[GameDate], "&lt;=" &amp; $A199, Table2[AwayTeam], L$1)+SUMIFS(Table2[NewPointsHome],Table2[GameDate], "&lt;=" &amp; $A199, Table2[HomeTeam], L$1)</f>
        <v>3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3</v>
      </c>
      <c r="O199" s="145">
        <f>SUMIFS(Table2[NewPointsAway],Table2[GameDate], "&lt;=" &amp; $A199, Table2[AwayTeam], O$1)+SUMIFS(Table2[NewPointsHome],Table2[GameDate], "&lt;=" &amp; $A199, Table2[HomeTeam], O$1)</f>
        <v>4</v>
      </c>
      <c r="P199" s="145">
        <f>SUMIFS(Table2[NewPointsAway],Table2[GameDate], "&lt;=" &amp; $A199, Table2[AwayTeam], P$1)+SUMIFS(Table2[NewPointsHome],Table2[GameDate], "&lt;=" &amp; $A199, Table2[HomeTeam], P$1)</f>
        <v>4</v>
      </c>
      <c r="Q199" s="145">
        <f>SUMIFS(Table2[NewPointsAway],Table2[GameDate], "&lt;=" &amp; $A199, Table2[AwayTeam], Q$1)+SUMIFS(Table2[NewPointsHome],Table2[GameDate], "&lt;=" &amp; $A199, Table2[HomeTeam], Q$1)</f>
        <v>4</v>
      </c>
      <c r="R199" s="145">
        <f>SUMIFS(Table2[NewPointsAway],Table2[GameDate], "&lt;=" &amp; $A199, Table2[AwayTeam], R$1)+SUMIFS(Table2[NewPointsHome],Table2[GameDate], "&lt;=" &amp; $A199, Table2[HomeTeam], R$1)</f>
        <v>5</v>
      </c>
      <c r="S199" s="145">
        <f>SUMIFS(Table2[NewPointsAway],Table2[GameDate], "&lt;=" &amp; $A199, Table2[AwayTeam], S$1)+SUMIFS(Table2[NewPointsHome],Table2[GameDate], "&lt;=" &amp; $A199, Table2[HomeTeam], S$1)</f>
        <v>0</v>
      </c>
      <c r="T199" s="145">
        <f>SUMIFS(Table2[NewPointsAway],Table2[GameDate], "&lt;=" &amp; $A199, Table2[AwayTeam], T$1)+SUMIFS(Table2[NewPointsHome],Table2[GameDate], "&lt;=" &amp; $A199, Table2[HomeTeam], T$1)</f>
        <v>4</v>
      </c>
      <c r="U199" s="145">
        <f>SUMIFS(Table2[NewPointsAway],Table2[GameDate], "&lt;=" &amp; $A199, Table2[AwayTeam], U$1)+SUMIFS(Table2[NewPointsHome],Table2[GameDate], "&lt;=" &amp; $A199, Table2[HomeTeam], U$1)</f>
        <v>2</v>
      </c>
      <c r="V199" s="145">
        <f>SUMIFS(Table2[NewPointsAway],Table2[GameDate], "&lt;=" &amp; $A199, Table2[AwayTeam], V$1)+SUMIFS(Table2[NewPointsHome],Table2[GameDate], "&lt;=" &amp; $A199, Table2[HomeTeam], V$1)</f>
        <v>3</v>
      </c>
      <c r="W199" s="145">
        <f>SUMIFS(Table2[NewPointsAway],Table2[GameDate], "&lt;=" &amp; $A199, Table2[AwayTeam], W$1)+SUMIFS(Table2[NewPointsHome],Table2[GameDate], "&lt;=" &amp; $A199, Table2[HomeTeam], W$1)</f>
        <v>4</v>
      </c>
      <c r="X199" s="145">
        <f>SUMIFS(Table2[NewPointsAway],Table2[GameDate], "&lt;=" &amp; $A199, Table2[AwayTeam], X$1)+SUMIFS(Table2[NewPointsHome],Table2[GameDate], "&lt;=" &amp; $A199, Table2[HomeTeam], X$1)</f>
        <v>4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4</v>
      </c>
      <c r="AA199" s="145">
        <f>SUMIFS(Table2[NewPointsAway],Table2[GameDate], "&lt;=" &amp; $A199, Table2[AwayTeam], AA$1)+SUMIFS(Table2[NewPointsHome],Table2[GameDate], "&lt;=" &amp; $A199, Table2[HomeTeam], AA$1)</f>
        <v>2</v>
      </c>
      <c r="AB199" s="145">
        <f>SUMIFS(Table2[NewPointsAway],Table2[GameDate], "&lt;=" &amp; $A199, Table2[AwayTeam], AB$1)+SUMIFS(Table2[NewPointsHome],Table2[GameDate], "&lt;=" &amp; $A199, Table2[HomeTeam], AB$1)</f>
        <v>2</v>
      </c>
      <c r="AC199" s="145">
        <f>SUMIFS(Table2[NewPointsAway],Table2[GameDate], "&lt;=" &amp; $A199, Table2[AwayTeam], AC$1)+SUMIFS(Table2[NewPointsHome],Table2[GameDate], "&lt;=" &amp; $A199, Table2[HomeTeam], AC$1)</f>
        <v>2</v>
      </c>
      <c r="AD199" s="145">
        <f>SUMIFS(Table2[NewPointsAway],Table2[GameDate], "&lt;=" &amp; $A199, Table2[AwayTeam], AD$1)+SUMIFS(Table2[NewPointsHome],Table2[GameDate], "&lt;=" &amp; $A199, Table2[HomeTeam], AD$1)</f>
        <v>2</v>
      </c>
      <c r="AE199" s="145">
        <f>SUMIFS(Table2[NewPointsAway],Table2[GameDate], "&lt;=" &amp; $A199, Table2[AwayTeam], AE$1)+SUMIFS(Table2[NewPointsHome],Table2[GameDate], "&lt;=" &amp; $A199, Table2[HomeTeam], AE$1)</f>
        <v>4</v>
      </c>
      <c r="AF199" s="145">
        <f>SUMIFS(Table2[NewPointsAway],Table2[GameDate], "&lt;=" &amp; $A199, Table2[AwayTeam], AF$1)+SUMIFS(Table2[NewPointsHome],Table2[GameDate], "&lt;=" &amp; $A199, Table2[HomeTeam], AF$1)</f>
        <v>4</v>
      </c>
      <c r="AG199" s="145">
        <f>SUMIFS(Table2[NewPointsAway],Table2[GameDate], "&lt;=" &amp; $A199, Table2[AwayTeam], AG$1)+SUMIFS(Table2[NewPointsHome],Table2[GameDate], "&lt;=" &amp; $A199, Table2[HomeTeam], AG$1)</f>
        <v>4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2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0</v>
      </c>
      <c r="E200" s="145">
        <f>SUMIFS(Table2[NewPointsAway],Table2[GameDate], "&lt;=" &amp; $A200, Table2[AwayTeam], E$1)+SUMIFS(Table2[NewPointsHome],Table2[GameDate], "&lt;=" &amp; $A200, Table2[HomeTeam], E$1)</f>
        <v>4</v>
      </c>
      <c r="F200" s="145">
        <f>SUMIFS(Table2[NewPointsAway],Table2[GameDate], "&lt;=" &amp; $A200, Table2[AwayTeam], F$1)+SUMIFS(Table2[NewPointsHome],Table2[GameDate], "&lt;=" &amp; $A200, Table2[HomeTeam], F$1)</f>
        <v>2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3</v>
      </c>
      <c r="I200" s="145">
        <f>SUMIFS(Table2[NewPointsAway],Table2[GameDate], "&lt;=" &amp; $A200, Table2[AwayTeam], I$1)+SUMIFS(Table2[NewPointsHome],Table2[GameDate], "&lt;=" &amp; $A200, Table2[HomeTeam], I$1)</f>
        <v>7</v>
      </c>
      <c r="J200" s="145">
        <f>SUMIFS(Table2[NewPointsAway],Table2[GameDate], "&lt;=" &amp; $A200, Table2[AwayTeam], J$1)+SUMIFS(Table2[NewPointsHome],Table2[GameDate], "&lt;=" &amp; $A200, Table2[HomeTeam], J$1)</f>
        <v>4</v>
      </c>
      <c r="K200" s="145">
        <f>SUMIFS(Table2[NewPointsAway],Table2[GameDate], "&lt;=" &amp; $A200, Table2[AwayTeam], K$1)+SUMIFS(Table2[NewPointsHome],Table2[GameDate], "&lt;=" &amp; $A200, Table2[HomeTeam], K$1)</f>
        <v>4</v>
      </c>
      <c r="L200" s="145">
        <f>SUMIFS(Table2[NewPointsAway],Table2[GameDate], "&lt;=" &amp; $A200, Table2[AwayTeam], L$1)+SUMIFS(Table2[NewPointsHome],Table2[GameDate], "&lt;=" &amp; $A200, Table2[HomeTeam], L$1)</f>
        <v>3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3</v>
      </c>
      <c r="O200" s="145">
        <f>SUMIFS(Table2[NewPointsAway],Table2[GameDate], "&lt;=" &amp; $A200, Table2[AwayTeam], O$1)+SUMIFS(Table2[NewPointsHome],Table2[GameDate], "&lt;=" &amp; $A200, Table2[HomeTeam], O$1)</f>
        <v>4</v>
      </c>
      <c r="P200" s="145">
        <f>SUMIFS(Table2[NewPointsAway],Table2[GameDate], "&lt;=" &amp; $A200, Table2[AwayTeam], P$1)+SUMIFS(Table2[NewPointsHome],Table2[GameDate], "&lt;=" &amp; $A200, Table2[HomeTeam], P$1)</f>
        <v>4</v>
      </c>
      <c r="Q200" s="145">
        <f>SUMIFS(Table2[NewPointsAway],Table2[GameDate], "&lt;=" &amp; $A200, Table2[AwayTeam], Q$1)+SUMIFS(Table2[NewPointsHome],Table2[GameDate], "&lt;=" &amp; $A200, Table2[HomeTeam], Q$1)</f>
        <v>4</v>
      </c>
      <c r="R200" s="145">
        <f>SUMIFS(Table2[NewPointsAway],Table2[GameDate], "&lt;=" &amp; $A200, Table2[AwayTeam], R$1)+SUMIFS(Table2[NewPointsHome],Table2[GameDate], "&lt;=" &amp; $A200, Table2[HomeTeam], R$1)</f>
        <v>5</v>
      </c>
      <c r="S200" s="145">
        <f>SUMIFS(Table2[NewPointsAway],Table2[GameDate], "&lt;=" &amp; $A200, Table2[AwayTeam], S$1)+SUMIFS(Table2[NewPointsHome],Table2[GameDate], "&lt;=" &amp; $A200, Table2[HomeTeam], S$1)</f>
        <v>0</v>
      </c>
      <c r="T200" s="145">
        <f>SUMIFS(Table2[NewPointsAway],Table2[GameDate], "&lt;=" &amp; $A200, Table2[AwayTeam], T$1)+SUMIFS(Table2[NewPointsHome],Table2[GameDate], "&lt;=" &amp; $A200, Table2[HomeTeam], T$1)</f>
        <v>4</v>
      </c>
      <c r="U200" s="145">
        <f>SUMIFS(Table2[NewPointsAway],Table2[GameDate], "&lt;=" &amp; $A200, Table2[AwayTeam], U$1)+SUMIFS(Table2[NewPointsHome],Table2[GameDate], "&lt;=" &amp; $A200, Table2[HomeTeam], U$1)</f>
        <v>2</v>
      </c>
      <c r="V200" s="145">
        <f>SUMIFS(Table2[NewPointsAway],Table2[GameDate], "&lt;=" &amp; $A200, Table2[AwayTeam], V$1)+SUMIFS(Table2[NewPointsHome],Table2[GameDate], "&lt;=" &amp; $A200, Table2[HomeTeam], V$1)</f>
        <v>3</v>
      </c>
      <c r="W200" s="145">
        <f>SUMIFS(Table2[NewPointsAway],Table2[GameDate], "&lt;=" &amp; $A200, Table2[AwayTeam], W$1)+SUMIFS(Table2[NewPointsHome],Table2[GameDate], "&lt;=" &amp; $A200, Table2[HomeTeam], W$1)</f>
        <v>4</v>
      </c>
      <c r="X200" s="145">
        <f>SUMIFS(Table2[NewPointsAway],Table2[GameDate], "&lt;=" &amp; $A200, Table2[AwayTeam], X$1)+SUMIFS(Table2[NewPointsHome],Table2[GameDate], "&lt;=" &amp; $A200, Table2[HomeTeam], X$1)</f>
        <v>4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4</v>
      </c>
      <c r="AA200" s="145">
        <f>SUMIFS(Table2[NewPointsAway],Table2[GameDate], "&lt;=" &amp; $A200, Table2[AwayTeam], AA$1)+SUMIFS(Table2[NewPointsHome],Table2[GameDate], "&lt;=" &amp; $A200, Table2[HomeTeam], AA$1)</f>
        <v>2</v>
      </c>
      <c r="AB200" s="145">
        <f>SUMIFS(Table2[NewPointsAway],Table2[GameDate], "&lt;=" &amp; $A200, Table2[AwayTeam], AB$1)+SUMIFS(Table2[NewPointsHome],Table2[GameDate], "&lt;=" &amp; $A200, Table2[HomeTeam], AB$1)</f>
        <v>2</v>
      </c>
      <c r="AC200" s="145">
        <f>SUMIFS(Table2[NewPointsAway],Table2[GameDate], "&lt;=" &amp; $A200, Table2[AwayTeam], AC$1)+SUMIFS(Table2[NewPointsHome],Table2[GameDate], "&lt;=" &amp; $A200, Table2[HomeTeam], AC$1)</f>
        <v>2</v>
      </c>
      <c r="AD200" s="145">
        <f>SUMIFS(Table2[NewPointsAway],Table2[GameDate], "&lt;=" &amp; $A200, Table2[AwayTeam], AD$1)+SUMIFS(Table2[NewPointsHome],Table2[GameDate], "&lt;=" &amp; $A200, Table2[HomeTeam], AD$1)</f>
        <v>2</v>
      </c>
      <c r="AE200" s="145">
        <f>SUMIFS(Table2[NewPointsAway],Table2[GameDate], "&lt;=" &amp; $A200, Table2[AwayTeam], AE$1)+SUMIFS(Table2[NewPointsHome],Table2[GameDate], "&lt;=" &amp; $A200, Table2[HomeTeam], AE$1)</f>
        <v>4</v>
      </c>
      <c r="AF200" s="145">
        <f>SUMIFS(Table2[NewPointsAway],Table2[GameDate], "&lt;=" &amp; $A200, Table2[AwayTeam], AF$1)+SUMIFS(Table2[NewPointsHome],Table2[GameDate], "&lt;=" &amp; $A200, Table2[HomeTeam], AF$1)</f>
        <v>4</v>
      </c>
      <c r="AG200" s="145">
        <f>SUMIFS(Table2[NewPointsAway],Table2[GameDate], "&lt;=" &amp; $A200, Table2[AwayTeam], AG$1)+SUMIFS(Table2[NewPointsHome],Table2[GameDate], "&lt;=" &amp; $A200, Table2[HomeTeam], AG$1)</f>
        <v>4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2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0</v>
      </c>
      <c r="E201" s="145">
        <f>SUMIFS(Table2[NewPointsAway],Table2[GameDate], "&lt;=" &amp; $A201, Table2[AwayTeam], E$1)+SUMIFS(Table2[NewPointsHome],Table2[GameDate], "&lt;=" &amp; $A201, Table2[HomeTeam], E$1)</f>
        <v>4</v>
      </c>
      <c r="F201" s="145">
        <f>SUMIFS(Table2[NewPointsAway],Table2[GameDate], "&lt;=" &amp; $A201, Table2[AwayTeam], F$1)+SUMIFS(Table2[NewPointsHome],Table2[GameDate], "&lt;=" &amp; $A201, Table2[HomeTeam], F$1)</f>
        <v>2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3</v>
      </c>
      <c r="I201" s="145">
        <f>SUMIFS(Table2[NewPointsAway],Table2[GameDate], "&lt;=" &amp; $A201, Table2[AwayTeam], I$1)+SUMIFS(Table2[NewPointsHome],Table2[GameDate], "&lt;=" &amp; $A201, Table2[HomeTeam], I$1)</f>
        <v>7</v>
      </c>
      <c r="J201" s="145">
        <f>SUMIFS(Table2[NewPointsAway],Table2[GameDate], "&lt;=" &amp; $A201, Table2[AwayTeam], J$1)+SUMIFS(Table2[NewPointsHome],Table2[GameDate], "&lt;=" &amp; $A201, Table2[HomeTeam], J$1)</f>
        <v>4</v>
      </c>
      <c r="K201" s="145">
        <f>SUMIFS(Table2[NewPointsAway],Table2[GameDate], "&lt;=" &amp; $A201, Table2[AwayTeam], K$1)+SUMIFS(Table2[NewPointsHome],Table2[GameDate], "&lt;=" &amp; $A201, Table2[HomeTeam], K$1)</f>
        <v>4</v>
      </c>
      <c r="L201" s="145">
        <f>SUMIFS(Table2[NewPointsAway],Table2[GameDate], "&lt;=" &amp; $A201, Table2[AwayTeam], L$1)+SUMIFS(Table2[NewPointsHome],Table2[GameDate], "&lt;=" &amp; $A201, Table2[HomeTeam], L$1)</f>
        <v>3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3</v>
      </c>
      <c r="O201" s="145">
        <f>SUMIFS(Table2[NewPointsAway],Table2[GameDate], "&lt;=" &amp; $A201, Table2[AwayTeam], O$1)+SUMIFS(Table2[NewPointsHome],Table2[GameDate], "&lt;=" &amp; $A201, Table2[HomeTeam], O$1)</f>
        <v>4</v>
      </c>
      <c r="P201" s="145">
        <f>SUMIFS(Table2[NewPointsAway],Table2[GameDate], "&lt;=" &amp; $A201, Table2[AwayTeam], P$1)+SUMIFS(Table2[NewPointsHome],Table2[GameDate], "&lt;=" &amp; $A201, Table2[HomeTeam], P$1)</f>
        <v>4</v>
      </c>
      <c r="Q201" s="145">
        <f>SUMIFS(Table2[NewPointsAway],Table2[GameDate], "&lt;=" &amp; $A201, Table2[AwayTeam], Q$1)+SUMIFS(Table2[NewPointsHome],Table2[GameDate], "&lt;=" &amp; $A201, Table2[HomeTeam], Q$1)</f>
        <v>4</v>
      </c>
      <c r="R201" s="145">
        <f>SUMIFS(Table2[NewPointsAway],Table2[GameDate], "&lt;=" &amp; $A201, Table2[AwayTeam], R$1)+SUMIFS(Table2[NewPointsHome],Table2[GameDate], "&lt;=" &amp; $A201, Table2[HomeTeam], R$1)</f>
        <v>5</v>
      </c>
      <c r="S201" s="145">
        <f>SUMIFS(Table2[NewPointsAway],Table2[GameDate], "&lt;=" &amp; $A201, Table2[AwayTeam], S$1)+SUMIFS(Table2[NewPointsHome],Table2[GameDate], "&lt;=" &amp; $A201, Table2[HomeTeam], S$1)</f>
        <v>0</v>
      </c>
      <c r="T201" s="145">
        <f>SUMIFS(Table2[NewPointsAway],Table2[GameDate], "&lt;=" &amp; $A201, Table2[AwayTeam], T$1)+SUMIFS(Table2[NewPointsHome],Table2[GameDate], "&lt;=" &amp; $A201, Table2[HomeTeam], T$1)</f>
        <v>4</v>
      </c>
      <c r="U201" s="145">
        <f>SUMIFS(Table2[NewPointsAway],Table2[GameDate], "&lt;=" &amp; $A201, Table2[AwayTeam], U$1)+SUMIFS(Table2[NewPointsHome],Table2[GameDate], "&lt;=" &amp; $A201, Table2[HomeTeam], U$1)</f>
        <v>2</v>
      </c>
      <c r="V201" s="145">
        <f>SUMIFS(Table2[NewPointsAway],Table2[GameDate], "&lt;=" &amp; $A201, Table2[AwayTeam], V$1)+SUMIFS(Table2[NewPointsHome],Table2[GameDate], "&lt;=" &amp; $A201, Table2[HomeTeam], V$1)</f>
        <v>3</v>
      </c>
      <c r="W201" s="145">
        <f>SUMIFS(Table2[NewPointsAway],Table2[GameDate], "&lt;=" &amp; $A201, Table2[AwayTeam], W$1)+SUMIFS(Table2[NewPointsHome],Table2[GameDate], "&lt;=" &amp; $A201, Table2[HomeTeam], W$1)</f>
        <v>4</v>
      </c>
      <c r="X201" s="145">
        <f>SUMIFS(Table2[NewPointsAway],Table2[GameDate], "&lt;=" &amp; $A201, Table2[AwayTeam], X$1)+SUMIFS(Table2[NewPointsHome],Table2[GameDate], "&lt;=" &amp; $A201, Table2[HomeTeam], X$1)</f>
        <v>4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4</v>
      </c>
      <c r="AA201" s="145">
        <f>SUMIFS(Table2[NewPointsAway],Table2[GameDate], "&lt;=" &amp; $A201, Table2[AwayTeam], AA$1)+SUMIFS(Table2[NewPointsHome],Table2[GameDate], "&lt;=" &amp; $A201, Table2[HomeTeam], AA$1)</f>
        <v>2</v>
      </c>
      <c r="AB201" s="145">
        <f>SUMIFS(Table2[NewPointsAway],Table2[GameDate], "&lt;=" &amp; $A201, Table2[AwayTeam], AB$1)+SUMIFS(Table2[NewPointsHome],Table2[GameDate], "&lt;=" &amp; $A201, Table2[HomeTeam], AB$1)</f>
        <v>2</v>
      </c>
      <c r="AC201" s="145">
        <f>SUMIFS(Table2[NewPointsAway],Table2[GameDate], "&lt;=" &amp; $A201, Table2[AwayTeam], AC$1)+SUMIFS(Table2[NewPointsHome],Table2[GameDate], "&lt;=" &amp; $A201, Table2[HomeTeam], AC$1)</f>
        <v>2</v>
      </c>
      <c r="AD201" s="145">
        <f>SUMIFS(Table2[NewPointsAway],Table2[GameDate], "&lt;=" &amp; $A201, Table2[AwayTeam], AD$1)+SUMIFS(Table2[NewPointsHome],Table2[GameDate], "&lt;=" &amp; $A201, Table2[HomeTeam], AD$1)</f>
        <v>2</v>
      </c>
      <c r="AE201" s="145">
        <f>SUMIFS(Table2[NewPointsAway],Table2[GameDate], "&lt;=" &amp; $A201, Table2[AwayTeam], AE$1)+SUMIFS(Table2[NewPointsHome],Table2[GameDate], "&lt;=" &amp; $A201, Table2[HomeTeam], AE$1)</f>
        <v>4</v>
      </c>
      <c r="AF201" s="145">
        <f>SUMIFS(Table2[NewPointsAway],Table2[GameDate], "&lt;=" &amp; $A201, Table2[AwayTeam], AF$1)+SUMIFS(Table2[NewPointsHome],Table2[GameDate], "&lt;=" &amp; $A201, Table2[HomeTeam], AF$1)</f>
        <v>4</v>
      </c>
      <c r="AG201" s="145">
        <f>SUMIFS(Table2[NewPointsAway],Table2[GameDate], "&lt;=" &amp; $A201, Table2[AwayTeam], AG$1)+SUMIFS(Table2[NewPointsHome],Table2[GameDate], "&lt;=" &amp; $A201, Table2[HomeTeam], AG$1)</f>
        <v>4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O1" sqref="O1:O104857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13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2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4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4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6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6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6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6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6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6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6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6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6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6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6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6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6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6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6</v>
      </c>
    </row>
    <row r="3" spans="1:275" x14ac:dyDescent="0.25">
      <c r="A3" t="s">
        <v>15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2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4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4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6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6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6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6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6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6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6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6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6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6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6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6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6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6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6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6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6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6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6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6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6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6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6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6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6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6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6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6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6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6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6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6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6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6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6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6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6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6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6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6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6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6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6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6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6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6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6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6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6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6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6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6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6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6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6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6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6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6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6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6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6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6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6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6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6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6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6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6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6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6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6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6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6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6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6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6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6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6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6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6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6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6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6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6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6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6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6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6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6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6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6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6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6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6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6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6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6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6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6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6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6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6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6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6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6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6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6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6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6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6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6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6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6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6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6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6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6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6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6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6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6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6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6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6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6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6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6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6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6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6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6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6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6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6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6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6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6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6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6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6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6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6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6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6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6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6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6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6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6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6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6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6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6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6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6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6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6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6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6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6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6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6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6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6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6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6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6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6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6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6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6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6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6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6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6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6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6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6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6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6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6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6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6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6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6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6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6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6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6</v>
      </c>
    </row>
    <row r="4" spans="1:275" x14ac:dyDescent="0.25">
      <c r="A4" t="s">
        <v>18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4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4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4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4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4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4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4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4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4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4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4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4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4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4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4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4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4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4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4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4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4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4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4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4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4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4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4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4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4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4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4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4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4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4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4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4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4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4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4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4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4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4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4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4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4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4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4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4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4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4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4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4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4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4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4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4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4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4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4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4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4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4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4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4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4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4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4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4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4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4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4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4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4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4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4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4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4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4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4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4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4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4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4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4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4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4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4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4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4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4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4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4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4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4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4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4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4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4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4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4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4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4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4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4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4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4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4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4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4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4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4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4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4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4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4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4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4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4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4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4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4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4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4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4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4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4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4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4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4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4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4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4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4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4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4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4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4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4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4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4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4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4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4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4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4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4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4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4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4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4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4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4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4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4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4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4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4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4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4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4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4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4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4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4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4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4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4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4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4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4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4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4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4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4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4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4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4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4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4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4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4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4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4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4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4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4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4</v>
      </c>
    </row>
    <row r="5" spans="1:275" x14ac:dyDescent="0.25">
      <c r="A5" t="s">
        <v>30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4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4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4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4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4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4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4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4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4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4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4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4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4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4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4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4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4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4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4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4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4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4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4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4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4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4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4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4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4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4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4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4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4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4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4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4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4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4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4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4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4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4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4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4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4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4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4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4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4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4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4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4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4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4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4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4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4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4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4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4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4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4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4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4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4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4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4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4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4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4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4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4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4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4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4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4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4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4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4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4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4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4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4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4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4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4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4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4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4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4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4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4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4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4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4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4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4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4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4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4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4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4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4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4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4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4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4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4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4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4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4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4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4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4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4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4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4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4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4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4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4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4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4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4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4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4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4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4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4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4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4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4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4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4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4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4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4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4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4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4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4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4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4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4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4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4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4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4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4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4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4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4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4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4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4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4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4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4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4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4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4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4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4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4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4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4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4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4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4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4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4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4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4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4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4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4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4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4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4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4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4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4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4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4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4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4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4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4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2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2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2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2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2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2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2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2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2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2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2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2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2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2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2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2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2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2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2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2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2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2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2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2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2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2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2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2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2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2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2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2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2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2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2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2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2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2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2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2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2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2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2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2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2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2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2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2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2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2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2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2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2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2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2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2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2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2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2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2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2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2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2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2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2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2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2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2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2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2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2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2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2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2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2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2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2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2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2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2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2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2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2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2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2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2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2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2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2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2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2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2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2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2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2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2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2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2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2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2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2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2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2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2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2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2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2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2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2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2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2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2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2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2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2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2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2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2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2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2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2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2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2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2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2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2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2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2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2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2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2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2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2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2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2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2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2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2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2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2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2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2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2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2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2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2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2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2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2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2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2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2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2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2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2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2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2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2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2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2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2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2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2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2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2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2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2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2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2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2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2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2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2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2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2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2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2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2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2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2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2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2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2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2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2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2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2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2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2</v>
      </c>
    </row>
    <row r="7" spans="1:275" x14ac:dyDescent="0.25">
      <c r="A7" t="s">
        <v>40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2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2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2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2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2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2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2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2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2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2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2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2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2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2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2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2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2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2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2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2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2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2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2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2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2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2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2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2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2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2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2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2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2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2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2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2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2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2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2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2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2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2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2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2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2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2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2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2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2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2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2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2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2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2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2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2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2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2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2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2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2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2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2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2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2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2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2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2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2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2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2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2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2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2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2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2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2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2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2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2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2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2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2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2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2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2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2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2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2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2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2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2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2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2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2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2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2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2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2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2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2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2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2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2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2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2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2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2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2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2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2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2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2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2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2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2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2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2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2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2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2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2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2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2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2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2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2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2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2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2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2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2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2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2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2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2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2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2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2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2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2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2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2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2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2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2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2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2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2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2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2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2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2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2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2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2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2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2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2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2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2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2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2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2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2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2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2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2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2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2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2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2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2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2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2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2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2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2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2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2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2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2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2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2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2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2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2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2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2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2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2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2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2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2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2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2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2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2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2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2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2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2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2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2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2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2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2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2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2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2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2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2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2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2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2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2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2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2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2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2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2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2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2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2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2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2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2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2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2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2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2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2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2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2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2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2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2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2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2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2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2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2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2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2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2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2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2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2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2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2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2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2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2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2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2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2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2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2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2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2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2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2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2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2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2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2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2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2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2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2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2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2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2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2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2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2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2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2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2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2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2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2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2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2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2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2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2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2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2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2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2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2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2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2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2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2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2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2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2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2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2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2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2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2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2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2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2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2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2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2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2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2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2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2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2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2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2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2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2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2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2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2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2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2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2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2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2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2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2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2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2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2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2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2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2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2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2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2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2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2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2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2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2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2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2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2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2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2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2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2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2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2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2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2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2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2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2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2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2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2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2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2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2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2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2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2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2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2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2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2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2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2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0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0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0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0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0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0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0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0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0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0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0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0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0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0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4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4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4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4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4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4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4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4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4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4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4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4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4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4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4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4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4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4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4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4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4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4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4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4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4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4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4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4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4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4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4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4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4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4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4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4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4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4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4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4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4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4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4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4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4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4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4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4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4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4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4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4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4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4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4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4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4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4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4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4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4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4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4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4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4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4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4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4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4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4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4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4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4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4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4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4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4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4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4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4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4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4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4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4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4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4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4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4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4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4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4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4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4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4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4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4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4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4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4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4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4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4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4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4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4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4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4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4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4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4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4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4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4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4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4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4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4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4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4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4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4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4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4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4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4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4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4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4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4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4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4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4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4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4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4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4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4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4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4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4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4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4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4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4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4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4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4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4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4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4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4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4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4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4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4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4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4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4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4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4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4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4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4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4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4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4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4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4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4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4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4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4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4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4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4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4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4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4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4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4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4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4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4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4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4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4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4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4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4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4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4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4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4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4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4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4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4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4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4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4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4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4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4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4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4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4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4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4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4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4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4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4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4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4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4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4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4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4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4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4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4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4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4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4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4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4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4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4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4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4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4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4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4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4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4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4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4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4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4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4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4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4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4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4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4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4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4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4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4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4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4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4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4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4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4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4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4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4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4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4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4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4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4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4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4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4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4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4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4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4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4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4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4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4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4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4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4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4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4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4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4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4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4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4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4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4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4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4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4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4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4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4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4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4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4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4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4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4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4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4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4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4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4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4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4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4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4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4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4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4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4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4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4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4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4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4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4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4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4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4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4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4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4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4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4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4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4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4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4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4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4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4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4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4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4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4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4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4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4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4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4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4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4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4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4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4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4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4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4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4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4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4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4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4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4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4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4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4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4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4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4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4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4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4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4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4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4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4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4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4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4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4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4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4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4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4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4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4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4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4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4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4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4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4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4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4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4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4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4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4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4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4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4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4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4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4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4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4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4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4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4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4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4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4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4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4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4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4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4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4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4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4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4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4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4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4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4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4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4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4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4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4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4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4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4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4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4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4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4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4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4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4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4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4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4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4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4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4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4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4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4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4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4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4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4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4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4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4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4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4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4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4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4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4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4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4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4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4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4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4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4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4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4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4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4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4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4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4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4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4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4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4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4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4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4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4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4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4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4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4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4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4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4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4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4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4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4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4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4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4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4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4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4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4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4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4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4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4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4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4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4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4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4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4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4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4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4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4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4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4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4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4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4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4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4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4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4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4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4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4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4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4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4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4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4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4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4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4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4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4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4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4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4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4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4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4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4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4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4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4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4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4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4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4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4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4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4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4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4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4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4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4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4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4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4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4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4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4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4</v>
      </c>
    </row>
    <row r="13" spans="1:275" x14ac:dyDescent="0.25">
      <c r="A13" t="s">
        <v>19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2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2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4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4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4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4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4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4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4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4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4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4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4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4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4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4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4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4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4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4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4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4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4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4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4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4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4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4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4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4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4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4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4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4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4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4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4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4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4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4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4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4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4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4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4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4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4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4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4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4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4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4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4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4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4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4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4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4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4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4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4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4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4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4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4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4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4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4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4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4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4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4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4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4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4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4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4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4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4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4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4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4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4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4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4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4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4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4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4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4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4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4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4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4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4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4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4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4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4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4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4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4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4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4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4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4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4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4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4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4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4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4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4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4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4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4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4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4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4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4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4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4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4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4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4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4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4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4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4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4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4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4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4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4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4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4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4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4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4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4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4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4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4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4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4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4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4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4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4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4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4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4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4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4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4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4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4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4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4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4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4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4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4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4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4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4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4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4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4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4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4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4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4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4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4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4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4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4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4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4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4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4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4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4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4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4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4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4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4</v>
      </c>
    </row>
    <row r="14" spans="1:275" x14ac:dyDescent="0.25">
      <c r="A14" t="s">
        <v>20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2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2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4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4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4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4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4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4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4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4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4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4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4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4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4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4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4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4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4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4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4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4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4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4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4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4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4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4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4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4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4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4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4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4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4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4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4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4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4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4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4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4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4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4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4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4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4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4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4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4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4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4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4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4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4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4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4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4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4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4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4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4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4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4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4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4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4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4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4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4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4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4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4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4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4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4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4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4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4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4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4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4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4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4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4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4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4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4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4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4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4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4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4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4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4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4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4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4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4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4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4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4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4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4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4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4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4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4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4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4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4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4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4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4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4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4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4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4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4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4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4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4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4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4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4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4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4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4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4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4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4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4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4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4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4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4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4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4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4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4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4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4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4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4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4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4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4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4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4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4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4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4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4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4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4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4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4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4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4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4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4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4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4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4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4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4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4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4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4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4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4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4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4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4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4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4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4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4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4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4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4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4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4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4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4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4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4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4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3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3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3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3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3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3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3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3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3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3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3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3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3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3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3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3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3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3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3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3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3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3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3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3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3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3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3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3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3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3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3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3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3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3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3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3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3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3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3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3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3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3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3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3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3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3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3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3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3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3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3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3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3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3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3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3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3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3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3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3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3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3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3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3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3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3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3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3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3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3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3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3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3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3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3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3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3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3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3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3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3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3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3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3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3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3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3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3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3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3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3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3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3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3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3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3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3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3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3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3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3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3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3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3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3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3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3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3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3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3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3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3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3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3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3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3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3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3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3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3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3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3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3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3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3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3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3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3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3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3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3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3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3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3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3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3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3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3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3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3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3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3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3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3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3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3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3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3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3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3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3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3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3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3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3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3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3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3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3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3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3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3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3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3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3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3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3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3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3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3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3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3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3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3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3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3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3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3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3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3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3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3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3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3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3</v>
      </c>
    </row>
    <row r="16" spans="1:275" x14ac:dyDescent="0.25">
      <c r="A16" t="s">
        <v>35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7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7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7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7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7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7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7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7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7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7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7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7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7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7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7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7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7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7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7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7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7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7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7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7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7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7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7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7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7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7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7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7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7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7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7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7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7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7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7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7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7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7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7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7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7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7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7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7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7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7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7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7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7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7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7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7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7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7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7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7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7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7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7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7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7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7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7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7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7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7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7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7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7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7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7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7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7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7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7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7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7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7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7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7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7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7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7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7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7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7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7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7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7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7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7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7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7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7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7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7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7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7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7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7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7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7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7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7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7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7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7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7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7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7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7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7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7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7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7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7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7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7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7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7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7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7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7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7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7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7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7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7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7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7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7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7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7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7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7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7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7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7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7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7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7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7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7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7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7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7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7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7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7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7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7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7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7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7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7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7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7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7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7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7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7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7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7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7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7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7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7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7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7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7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7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7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7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7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7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7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7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7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7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7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7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7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7</v>
      </c>
    </row>
    <row r="19" spans="1:203" x14ac:dyDescent="0.25">
      <c r="A19" t="s">
        <v>34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2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2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3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3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5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5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5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5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5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5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5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5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5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5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5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5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5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5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5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5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5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5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5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5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5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5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5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5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5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5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5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5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5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5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5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5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5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5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5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5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5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5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5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5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5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5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5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5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5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5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5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5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5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5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5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5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5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5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5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5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5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5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5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5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5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5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5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5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5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5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5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5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5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5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5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5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5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5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5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5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5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5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5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5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5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5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5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5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5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5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5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5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5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5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5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5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5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5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5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5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5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5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5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5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5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5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5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5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5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5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5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5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5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5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5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5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5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5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5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5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5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5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5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5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5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5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5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5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5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5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5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5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5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5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5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5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5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5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5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5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5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5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5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5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5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5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5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5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5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5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5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5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5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5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5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5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5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5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5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5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5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5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5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5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5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5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5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5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5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5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5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5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5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5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5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5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5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5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5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5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5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5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5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5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5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5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5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5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5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5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5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5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5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5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4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4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4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4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4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4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4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4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4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4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4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4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4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4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4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4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4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4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4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4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4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4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4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4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4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4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4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4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4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4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4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4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4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4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4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4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4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4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4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4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4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4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4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4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4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4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4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4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4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4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4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4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4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4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4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4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4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4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4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4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4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4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4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4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4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4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4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4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4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4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4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4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4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4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4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4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4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4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4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4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4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4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4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4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4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4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4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4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4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4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4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4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4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4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4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4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4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4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4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4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4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4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4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4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4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4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4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4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4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4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4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4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4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4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4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4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4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4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4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4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4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4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4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4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4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4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4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4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4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4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4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4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4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4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4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4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4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4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4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4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4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4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4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4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4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4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4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4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4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4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4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4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4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4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4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4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4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4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4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4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4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4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4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4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4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4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4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4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4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4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4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4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4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4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4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4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4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4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4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4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4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4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4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4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4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4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4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4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4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4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4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4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4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4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4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4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4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4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4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4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4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4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4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4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4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4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4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4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4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4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4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4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4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4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4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4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4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4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4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4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4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4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4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4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4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4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4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4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4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4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4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4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4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4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4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4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4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4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4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4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4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4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4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4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4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4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4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4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4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4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4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4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4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4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4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4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4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4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4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4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4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4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4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4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4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4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4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4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4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4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4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4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4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4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4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4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4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4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4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4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4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4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4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4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4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4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4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4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4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4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4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4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4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4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4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4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4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4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4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4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4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4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4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4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4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4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4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4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4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4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4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4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4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4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4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4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4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4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4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4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4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4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4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4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4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4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4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4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4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4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4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4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4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4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4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4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4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4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4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4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4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4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4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4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4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4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4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4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4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4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4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4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4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4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4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4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4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4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4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4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4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4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4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4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4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4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4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4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4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4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4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4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4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4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4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4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4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4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4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4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4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4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4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4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4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4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4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4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4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4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4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4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4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4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4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4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4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4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4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4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4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4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4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4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4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4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4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4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4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4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4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4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4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4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4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4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4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4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4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4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4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4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4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4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4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4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4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4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4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4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4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4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4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4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4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4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4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4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4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4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4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4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4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4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4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4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4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4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4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4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4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4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4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4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4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4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4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4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4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4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4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4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4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4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4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4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4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4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4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4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4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4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4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4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4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4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4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4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4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4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4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4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4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4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4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4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4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4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4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4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4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4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4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4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4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4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4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4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4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4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4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4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4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4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4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4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4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4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4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4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4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4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4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4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4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4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4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4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4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4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4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4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4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4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4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4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4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4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4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4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4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4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4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4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4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4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4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4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4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4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4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4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4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4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4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4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4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4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4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4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4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4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4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4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4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4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4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4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4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4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4</v>
      </c>
    </row>
    <row r="23" spans="1:203" x14ac:dyDescent="0.25">
      <c r="A23" t="s">
        <v>16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1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1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1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1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3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3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3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3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3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3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3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3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3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3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3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3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3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3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3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3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3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3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3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3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3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3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3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3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3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3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3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3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3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3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3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3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3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3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3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3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3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3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3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3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3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3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3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3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3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3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3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3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3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3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3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3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3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3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3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3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3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3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3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3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3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3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3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3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3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3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3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3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3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3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3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3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3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3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3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3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3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3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3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3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3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3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3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3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3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3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3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3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3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3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3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3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3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3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3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3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3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3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3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3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3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3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3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3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3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3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3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3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3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3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3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3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3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3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3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3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3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3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3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3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3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3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3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3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3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3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3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3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3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3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3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3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3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3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3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3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3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3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3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3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3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3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3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3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3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3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3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3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3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3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3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3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3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3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3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3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3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3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3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3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3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3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3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3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3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3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3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3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3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3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3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3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3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3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3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3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3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3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3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3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3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3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3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3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3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3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3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3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3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3</v>
      </c>
    </row>
    <row r="24" spans="1:203" x14ac:dyDescent="0.25">
      <c r="A24" t="s">
        <v>12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4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4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4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4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4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4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4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4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4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4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4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4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4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4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4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4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4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4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4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4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4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4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4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4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4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4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4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4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4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4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4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4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4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4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4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4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4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4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4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4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4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4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4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4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4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4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4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4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4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4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4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4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4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4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4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4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4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4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4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4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4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4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4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4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4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4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4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4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4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4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4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4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4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4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4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4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4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4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4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4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4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4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4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4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4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4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4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4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4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4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4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4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4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4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4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4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4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4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4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4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4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4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4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4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4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4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4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4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4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4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4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4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4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4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4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4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4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4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4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4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4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4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4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4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4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4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4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4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4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4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4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4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4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4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4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4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4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4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4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4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4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4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4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4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4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4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4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4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4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4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4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4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4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4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4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4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4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4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4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4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4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4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4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4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4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4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4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4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4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4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4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4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4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4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4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4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4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4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4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4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4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4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4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4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4</v>
      </c>
    </row>
    <row r="25" spans="1:203" x14ac:dyDescent="0.25">
      <c r="A25" t="s">
        <v>14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2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2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2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2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2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2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2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2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2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2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2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2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2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2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2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2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2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2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2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2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2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2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2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2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2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2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2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2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2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2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2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2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2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2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2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2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2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2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2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2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2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2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2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2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2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2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2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2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2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2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2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2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2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2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2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2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2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2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2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2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2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2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2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2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2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2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2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2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2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2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2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2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2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2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2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2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2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2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2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2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2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2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2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2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2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2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2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2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2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2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2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2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2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2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2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2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2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2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2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2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2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2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2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2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2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2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2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2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2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2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2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2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2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2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2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2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2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2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2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2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2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2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2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2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2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2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2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2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2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2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2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2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2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2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2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2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2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2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2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2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2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2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2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2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2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2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2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2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2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2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2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2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2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2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2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2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2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2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2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2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2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2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2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2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2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2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2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2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2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2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2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2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2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2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2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2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2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2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2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2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2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2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2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2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2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2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2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2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2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2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4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4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4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4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4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4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4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4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4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4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4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4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4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4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4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4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4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4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4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4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4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4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4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4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4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4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4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4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4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4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4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4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4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4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4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4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4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4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4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4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4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4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4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4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4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4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4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4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4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4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4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4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4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4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4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4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4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4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4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4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4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4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4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4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4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4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4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4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4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4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4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4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4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4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4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4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4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4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4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4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4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4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4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4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4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4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4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4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4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4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4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4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4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4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4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4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4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4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4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4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4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4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4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4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4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4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4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4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4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4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4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4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4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4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4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4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4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4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4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4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4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4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4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4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4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4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4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4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4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4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4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4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4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4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4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4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4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4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4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4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4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4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4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4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4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4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4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4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4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4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4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4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4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4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4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4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4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4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4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4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4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4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4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4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4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4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4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4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4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4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4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4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4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4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4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4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4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4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4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4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4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4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4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4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4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4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4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4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4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4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4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4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4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4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4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4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4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4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4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4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4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4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4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4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4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4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4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4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4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4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4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4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4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4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4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4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4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4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4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4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4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4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4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4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4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4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4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4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4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4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4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4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4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4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4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4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4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4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4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4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4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4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4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4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4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4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4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4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4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4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4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4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4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4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4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4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4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4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4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4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4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4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4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4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4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4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4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4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4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4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4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4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4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4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4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4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4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4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4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4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4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4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4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4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4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4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4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4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4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4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4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4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4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4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4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4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4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4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4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4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4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4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4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4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4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4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4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4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4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4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4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4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4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4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4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4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4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4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4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4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4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4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4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4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4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4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4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4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4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4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4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4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4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4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4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4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4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4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4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4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4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4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4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4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4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4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4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4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4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4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4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4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4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4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4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4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4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4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4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4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4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4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4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4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4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4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4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4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4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4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4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4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4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4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4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4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4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4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3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3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3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3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3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3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3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3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3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3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3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3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3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3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3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3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3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3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3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3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3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3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3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3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3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3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3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3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3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3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3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3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3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3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3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3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3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3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3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3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3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3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3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3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3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3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3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3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3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3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3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3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3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3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3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3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3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3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3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3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3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3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3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3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3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3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3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3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3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3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3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3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3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3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3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3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3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3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3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3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3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3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3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3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3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3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3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3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3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3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3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3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3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3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3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3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3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3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3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3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3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3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3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3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3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3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3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3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3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3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3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3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3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3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3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3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3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3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3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3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3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3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3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3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3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3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3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3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3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3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3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3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3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3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3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3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3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3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3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3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3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3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3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3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3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3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3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3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3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3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3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3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3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3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3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3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3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3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3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3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3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3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3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3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3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3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3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3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3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3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3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3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3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3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3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3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3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3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3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3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3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3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3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3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3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3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3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3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3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3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3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3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3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3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3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3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3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3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3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3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3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3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3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3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3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3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3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3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3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3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3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3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3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3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3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3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3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3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3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3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3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3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3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3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3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3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3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3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3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3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3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3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3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3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3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3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3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3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3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3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3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3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3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3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3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3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3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3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3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3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3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3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3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3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3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3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3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3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3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3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3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3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3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3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3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3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3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3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3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3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3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3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3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3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3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3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3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3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3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3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3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3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3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3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3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3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3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3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3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3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3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3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3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3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3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3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3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3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3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3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3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3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3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3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3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3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3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3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3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3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3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3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3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3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3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3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3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3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3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3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3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3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3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3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3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3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3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3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3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3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3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3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3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3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3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3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3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3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3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3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3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3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3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3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3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3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3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3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3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3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3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3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3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3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3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3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3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3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3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3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3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3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3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3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3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3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3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3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3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3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3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3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3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3</v>
      </c>
    </row>
    <row r="30" spans="1:203" x14ac:dyDescent="0.25">
      <c r="A30" t="s">
        <v>23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2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2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2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2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2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2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2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2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2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2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2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2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2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2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2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2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2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2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2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2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2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2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2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2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2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2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2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2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2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2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2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2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2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2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2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2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2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2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2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2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2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2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2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2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2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2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2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2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2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2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2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2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2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2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2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2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2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2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2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2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2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2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2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2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2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2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2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2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2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2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2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2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2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2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2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2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2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2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2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2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2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2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2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2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2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2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2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2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2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2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2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2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2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2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2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2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2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2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2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2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2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2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2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2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2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2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2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2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2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2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2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2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2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2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2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2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2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2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2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2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2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2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2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2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2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2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2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2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2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2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2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2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2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2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2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2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2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2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2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2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2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2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2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2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2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2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2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2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2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2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2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2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2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2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2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2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2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2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2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2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2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2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2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2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2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2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2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2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2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2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2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2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2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2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2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2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2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2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2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2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2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2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2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2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2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2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2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2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2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2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2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2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2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2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2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2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2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2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2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2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2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2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2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2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2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2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2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2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2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2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2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2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2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2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2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2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2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2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2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2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2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2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2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2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2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2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2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2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2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2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2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2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2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2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2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2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2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2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2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2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2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2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2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2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2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2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2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2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2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2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2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2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2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2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2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2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2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2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2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2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2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2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2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2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2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2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2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2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2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2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2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2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2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2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2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2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2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2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2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2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2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2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2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2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2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2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2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2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2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2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2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2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2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2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2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2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2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2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2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2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2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2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2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2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2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2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2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2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2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2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2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2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2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2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2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2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2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2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2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2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2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2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2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2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2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2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2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2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2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2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2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2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2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2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2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2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2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2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2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2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2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2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2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2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2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2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2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2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2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2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2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2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2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2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2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2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2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2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2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2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2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2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2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2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2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2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2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2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2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2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2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2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2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2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2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2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2</v>
      </c>
    </row>
    <row r="32" spans="1:203" x14ac:dyDescent="0.25">
      <c r="A32" t="s">
        <v>44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0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0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3.3125</v>
      </c>
      <c r="P34">
        <f>SUBTOTAL(101,Table4[2025-10-15])</f>
        <v>3.3125</v>
      </c>
      <c r="Q34">
        <f>SUBTOTAL(101,Table4[2025-10-16])</f>
        <v>3.3125</v>
      </c>
      <c r="R34">
        <f>SUBTOTAL(101,Table4[2025-10-17])</f>
        <v>3.3125</v>
      </c>
      <c r="S34">
        <f>SUBTOTAL(101,Table4[2025-10-18])</f>
        <v>3.3125</v>
      </c>
      <c r="T34">
        <f>SUBTOTAL(101,Table4[2025-10-19])</f>
        <v>3.3125</v>
      </c>
      <c r="U34">
        <f>SUBTOTAL(101,Table4[2025-10-20])</f>
        <v>3.3125</v>
      </c>
      <c r="V34">
        <f>SUBTOTAL(101,Table4[2025-10-21])</f>
        <v>3.3125</v>
      </c>
      <c r="W34">
        <f>SUBTOTAL(101,Table4[2025-10-22])</f>
        <v>3.3125</v>
      </c>
      <c r="X34">
        <f>SUBTOTAL(101,Table4[2025-10-23])</f>
        <v>3.3125</v>
      </c>
      <c r="Y34">
        <f>SUBTOTAL(101,Table4[2025-10-24])</f>
        <v>3.3125</v>
      </c>
      <c r="Z34">
        <f>SUBTOTAL(101,Table4[2025-10-25])</f>
        <v>3.3125</v>
      </c>
      <c r="AA34">
        <f>SUBTOTAL(101,Table4[2025-10-26])</f>
        <v>3.3125</v>
      </c>
      <c r="AB34">
        <f>SUBTOTAL(101,Table4[2025-10-27])</f>
        <v>3.3125</v>
      </c>
      <c r="AC34">
        <f>SUBTOTAL(101,Table4[2025-10-28])</f>
        <v>3.3125</v>
      </c>
      <c r="AD34">
        <f>SUBTOTAL(101,Table4[2025-10-29])</f>
        <v>3.3125</v>
      </c>
      <c r="AE34">
        <f>SUBTOTAL(101,Table4[2025-10-30])</f>
        <v>3.3125</v>
      </c>
      <c r="AF34">
        <f>SUBTOTAL(101,Table4[2025-10-31])</f>
        <v>3.3125</v>
      </c>
      <c r="AG34">
        <f>SUBTOTAL(101,Table4[2025-11-01])</f>
        <v>3.3125</v>
      </c>
      <c r="AH34">
        <f>SUBTOTAL(101,Table4[2025-11-02])</f>
        <v>3.3125</v>
      </c>
      <c r="AI34">
        <f>SUBTOTAL(101,Table4[2025-11-03])</f>
        <v>3.3125</v>
      </c>
      <c r="AJ34">
        <f>SUBTOTAL(101,Table4[2025-11-04])</f>
        <v>3.3125</v>
      </c>
      <c r="AK34">
        <f>SUBTOTAL(101,Table4[2025-11-05])</f>
        <v>3.3125</v>
      </c>
      <c r="AL34">
        <f>SUBTOTAL(101,Table4[2025-11-06])</f>
        <v>3.3125</v>
      </c>
      <c r="AM34">
        <f>SUBTOTAL(101,Table4[2025-11-07])</f>
        <v>3.3125</v>
      </c>
      <c r="AN34">
        <f>SUBTOTAL(101,Table4[2025-11-08])</f>
        <v>3.3125</v>
      </c>
      <c r="AO34">
        <f>SUBTOTAL(101,Table4[2025-11-09])</f>
        <v>3.3125</v>
      </c>
      <c r="AP34">
        <f>SUBTOTAL(101,Table4[2025-11-10])</f>
        <v>3.3125</v>
      </c>
      <c r="AQ34">
        <f>SUBTOTAL(101,Table4[2025-11-11])</f>
        <v>3.3125</v>
      </c>
      <c r="AR34">
        <f>SUBTOTAL(101,Table4[2025-11-12])</f>
        <v>3.3125</v>
      </c>
      <c r="AS34">
        <f>SUBTOTAL(101,Table4[2025-11-13])</f>
        <v>3.3125</v>
      </c>
      <c r="AT34">
        <f>SUBTOTAL(101,Table4[2025-11-14])</f>
        <v>3.3125</v>
      </c>
      <c r="AU34">
        <f>SUBTOTAL(101,Table4[2025-11-15])</f>
        <v>3.3125</v>
      </c>
      <c r="AV34">
        <f>SUBTOTAL(101,Table4[2025-11-16])</f>
        <v>3.3125</v>
      </c>
      <c r="AW34">
        <f>SUBTOTAL(101,Table4[2025-11-17])</f>
        <v>3.3125</v>
      </c>
      <c r="AX34">
        <f>SUBTOTAL(101,Table4[2025-11-18])</f>
        <v>3.3125</v>
      </c>
      <c r="AY34">
        <f>SUBTOTAL(101,Table4[2025-11-19])</f>
        <v>3.3125</v>
      </c>
      <c r="AZ34">
        <f>SUBTOTAL(101,Table4[2025-11-20])</f>
        <v>3.3125</v>
      </c>
      <c r="BA34">
        <f>SUBTOTAL(101,Table4[2025-11-21])</f>
        <v>3.3125</v>
      </c>
      <c r="BB34">
        <f>SUBTOTAL(101,Table4[2025-11-22])</f>
        <v>3.3125</v>
      </c>
      <c r="BC34">
        <f>SUBTOTAL(101,Table4[2025-11-23])</f>
        <v>3.3125</v>
      </c>
      <c r="BD34">
        <f>SUBTOTAL(101,Table4[2025-11-24])</f>
        <v>3.3125</v>
      </c>
      <c r="BE34">
        <f>SUBTOTAL(101,Table4[2025-11-25])</f>
        <v>3.3125</v>
      </c>
      <c r="BF34">
        <f>SUBTOTAL(101,Table4[2025-11-26])</f>
        <v>3.3125</v>
      </c>
      <c r="BG34">
        <f>SUBTOTAL(101,Table4[2025-11-27])</f>
        <v>3.3125</v>
      </c>
      <c r="BH34">
        <f>SUBTOTAL(101,Table4[2025-11-28])</f>
        <v>3.3125</v>
      </c>
      <c r="BI34">
        <f>SUBTOTAL(101,Table4[2025-11-29])</f>
        <v>3.3125</v>
      </c>
      <c r="BJ34">
        <f>SUBTOTAL(101,Table4[2025-11-30])</f>
        <v>3.3125</v>
      </c>
      <c r="BK34">
        <f>SUBTOTAL(101,Table4[2025-12-01])</f>
        <v>3.3125</v>
      </c>
      <c r="BL34">
        <f>SUBTOTAL(101,Table4[2025-12-02])</f>
        <v>3.3125</v>
      </c>
      <c r="BM34">
        <f>SUBTOTAL(101,Table4[2025-12-03])</f>
        <v>3.3125</v>
      </c>
      <c r="BN34">
        <f>SUBTOTAL(101,Table4[2025-12-04])</f>
        <v>3.3125</v>
      </c>
      <c r="BO34">
        <f>SUBTOTAL(101,Table4[2025-12-05])</f>
        <v>3.3125</v>
      </c>
      <c r="BP34">
        <f>SUBTOTAL(101,Table4[2025-12-06])</f>
        <v>3.3125</v>
      </c>
      <c r="BQ34">
        <f>SUBTOTAL(101,Table4[2025-12-07])</f>
        <v>3.3125</v>
      </c>
      <c r="BR34">
        <f>SUBTOTAL(101,Table4[2025-12-08])</f>
        <v>3.3125</v>
      </c>
      <c r="BS34">
        <f>SUBTOTAL(101,Table4[2025-12-09])</f>
        <v>3.3125</v>
      </c>
      <c r="BT34">
        <f>SUBTOTAL(101,Table4[2025-12-10])</f>
        <v>3.3125</v>
      </c>
      <c r="BU34">
        <f>SUBTOTAL(101,Table4[2025-12-11])</f>
        <v>3.3125</v>
      </c>
      <c r="BV34">
        <f>SUBTOTAL(101,Table4[2025-12-12])</f>
        <v>3.3125</v>
      </c>
      <c r="BW34">
        <f>SUBTOTAL(101,Table4[2025-12-13])</f>
        <v>3.3125</v>
      </c>
      <c r="BX34">
        <f>SUBTOTAL(101,Table4[2025-12-14])</f>
        <v>3.3125</v>
      </c>
      <c r="BY34">
        <f>SUBTOTAL(101,Table4[2025-12-15])</f>
        <v>3.3125</v>
      </c>
      <c r="BZ34">
        <f>SUBTOTAL(101,Table4[2025-12-16])</f>
        <v>3.3125</v>
      </c>
      <c r="CA34">
        <f>SUBTOTAL(101,Table4[2025-12-17])</f>
        <v>3.3125</v>
      </c>
      <c r="CB34">
        <f>SUBTOTAL(101,Table4[2025-12-18])</f>
        <v>3.3125</v>
      </c>
      <c r="CC34">
        <f>SUBTOTAL(101,Table4[2025-12-19])</f>
        <v>3.3125</v>
      </c>
      <c r="CD34">
        <f>SUBTOTAL(101,Table4[2025-12-20])</f>
        <v>3.3125</v>
      </c>
      <c r="CE34">
        <f>SUBTOTAL(101,Table4[2025-12-21])</f>
        <v>3.3125</v>
      </c>
      <c r="CF34">
        <f>SUBTOTAL(101,Table4[2025-12-22])</f>
        <v>3.3125</v>
      </c>
      <c r="CG34">
        <f>SUBTOTAL(101,Table4[2025-12-23])</f>
        <v>3.3125</v>
      </c>
      <c r="CH34">
        <f>SUBTOTAL(101,Table4[2025-12-24])</f>
        <v>3.3125</v>
      </c>
      <c r="CI34">
        <f>SUBTOTAL(101,Table4[2025-12-25])</f>
        <v>3.3125</v>
      </c>
      <c r="CJ34">
        <f>SUBTOTAL(101,Table4[2025-12-26])</f>
        <v>3.3125</v>
      </c>
      <c r="CK34">
        <f>SUBTOTAL(101,Table4[2025-12-27])</f>
        <v>3.3125</v>
      </c>
      <c r="CL34">
        <f>SUBTOTAL(101,Table4[2025-12-28])</f>
        <v>3.3125</v>
      </c>
      <c r="CM34">
        <f>SUBTOTAL(101,Table4[2025-12-29])</f>
        <v>3.3125</v>
      </c>
      <c r="CN34">
        <f>SUBTOTAL(101,Table4[2025-12-30])</f>
        <v>3.3125</v>
      </c>
      <c r="CO34">
        <f>SUBTOTAL(101,Table4[2025-12-31])</f>
        <v>3.3125</v>
      </c>
      <c r="CP34">
        <f>SUBTOTAL(101,Table4[2026-01-01])</f>
        <v>3.3125</v>
      </c>
      <c r="CQ34">
        <f>SUBTOTAL(101,Table4[2026-01-02])</f>
        <v>3.3125</v>
      </c>
      <c r="CR34">
        <f>SUBTOTAL(101,Table4[2026-01-03])</f>
        <v>3.3125</v>
      </c>
      <c r="CS34">
        <f>SUBTOTAL(101,Table4[2026-01-04])</f>
        <v>3.3125</v>
      </c>
      <c r="CT34">
        <f>SUBTOTAL(101,Table4[2026-01-05])</f>
        <v>3.3125</v>
      </c>
      <c r="CU34">
        <f>SUBTOTAL(101,Table4[2026-01-06])</f>
        <v>3.3125</v>
      </c>
      <c r="CV34">
        <f>SUBTOTAL(101,Table4[2026-01-07])</f>
        <v>3.3125</v>
      </c>
      <c r="CW34">
        <f>SUBTOTAL(101,Table4[2026-01-08])</f>
        <v>3.3125</v>
      </c>
      <c r="CX34">
        <f>SUBTOTAL(101,Table4[2026-01-09])</f>
        <v>3.3125</v>
      </c>
      <c r="CY34">
        <f>SUBTOTAL(101,Table4[2026-01-10])</f>
        <v>3.3125</v>
      </c>
      <c r="CZ34">
        <f>SUBTOTAL(101,Table4[2026-01-11])</f>
        <v>3.3125</v>
      </c>
      <c r="DA34">
        <f>SUBTOTAL(101,Table4[2026-01-12])</f>
        <v>3.3125</v>
      </c>
      <c r="DB34">
        <f>SUBTOTAL(101,Table4[2026-01-13])</f>
        <v>3.3125</v>
      </c>
      <c r="DC34">
        <f>SUBTOTAL(101,Table4[2026-01-14])</f>
        <v>3.3125</v>
      </c>
      <c r="DD34">
        <f>SUBTOTAL(101,Table4[2026-01-15])</f>
        <v>3.3125</v>
      </c>
      <c r="DE34">
        <f>SUBTOTAL(101,Table4[2026-01-16])</f>
        <v>3.3125</v>
      </c>
      <c r="DF34">
        <f>SUBTOTAL(101,Table4[2026-01-17])</f>
        <v>3.3125</v>
      </c>
      <c r="DG34">
        <f>SUBTOTAL(101,Table4[2026-01-18])</f>
        <v>3.3125</v>
      </c>
      <c r="DH34">
        <f>SUBTOTAL(101,Table4[2026-01-19])</f>
        <v>3.3125</v>
      </c>
      <c r="DI34">
        <f>SUBTOTAL(101,Table4[2026-01-20])</f>
        <v>3.3125</v>
      </c>
      <c r="DJ34">
        <f>SUBTOTAL(101,Table4[2026-01-21])</f>
        <v>3.3125</v>
      </c>
      <c r="DK34">
        <f>SUBTOTAL(101,Table4[2026-01-22])</f>
        <v>3.3125</v>
      </c>
      <c r="DL34">
        <f>SUBTOTAL(101,Table4[2026-01-23])</f>
        <v>3.3125</v>
      </c>
      <c r="DM34">
        <f>SUBTOTAL(101,Table4[2026-01-24])</f>
        <v>3.3125</v>
      </c>
      <c r="DN34">
        <f>SUBTOTAL(101,Table4[2026-01-25])</f>
        <v>3.3125</v>
      </c>
      <c r="DO34">
        <f>SUBTOTAL(101,Table4[2026-01-26])</f>
        <v>3.3125</v>
      </c>
      <c r="DP34">
        <f>SUBTOTAL(101,Table4[2026-01-27])</f>
        <v>3.3125</v>
      </c>
      <c r="DQ34">
        <f>SUBTOTAL(101,Table4[2026-01-28])</f>
        <v>3.3125</v>
      </c>
      <c r="DR34">
        <f>SUBTOTAL(101,Table4[2026-01-29])</f>
        <v>3.3125</v>
      </c>
      <c r="DS34">
        <f>SUBTOTAL(101,Table4[2026-01-30])</f>
        <v>3.3125</v>
      </c>
      <c r="DT34">
        <f>SUBTOTAL(101,Table4[2026-01-31])</f>
        <v>3.3125</v>
      </c>
      <c r="DU34">
        <f>SUBTOTAL(101,Table4[2026-02-01])</f>
        <v>3.3125</v>
      </c>
      <c r="DV34">
        <f>SUBTOTAL(101,Table4[2026-02-02])</f>
        <v>3.3125</v>
      </c>
      <c r="DW34">
        <f>SUBTOTAL(101,Table4[2026-02-03])</f>
        <v>3.3125</v>
      </c>
      <c r="DX34">
        <f>SUBTOTAL(101,Table4[2026-02-04])</f>
        <v>3.3125</v>
      </c>
      <c r="DY34">
        <f>SUBTOTAL(101,Table4[2026-02-05])</f>
        <v>3.3125</v>
      </c>
      <c r="DZ34">
        <f>SUBTOTAL(101,Table4[2026-02-06])</f>
        <v>3.3125</v>
      </c>
      <c r="EA34">
        <f>SUBTOTAL(101,Table4[2026-02-07])</f>
        <v>3.3125</v>
      </c>
      <c r="EB34">
        <f>SUBTOTAL(101,Table4[2026-02-08])</f>
        <v>3.3125</v>
      </c>
      <c r="EC34">
        <f>SUBTOTAL(101,Table4[2026-02-09])</f>
        <v>3.3125</v>
      </c>
      <c r="ED34">
        <f>SUBTOTAL(101,Table4[2026-02-10])</f>
        <v>3.3125</v>
      </c>
      <c r="EE34">
        <f>SUBTOTAL(101,Table4[2026-02-11])</f>
        <v>3.3125</v>
      </c>
      <c r="EF34">
        <f>SUBTOTAL(101,Table4[2026-02-12])</f>
        <v>3.3125</v>
      </c>
      <c r="EG34">
        <f>SUBTOTAL(101,Table4[2026-02-13])</f>
        <v>3.3125</v>
      </c>
      <c r="EH34">
        <f>SUBTOTAL(101,Table4[2026-02-14])</f>
        <v>3.3125</v>
      </c>
      <c r="EI34">
        <f>SUBTOTAL(101,Table4[2026-02-15])</f>
        <v>3.3125</v>
      </c>
      <c r="EJ34">
        <f>SUBTOTAL(101,Table4[2026-02-16])</f>
        <v>3.3125</v>
      </c>
      <c r="EK34">
        <f>SUBTOTAL(101,Table4[2026-02-17])</f>
        <v>3.3125</v>
      </c>
      <c r="EL34">
        <f>SUBTOTAL(101,Table4[2026-02-18])</f>
        <v>3.3125</v>
      </c>
      <c r="EM34">
        <f>SUBTOTAL(101,Table4[2026-02-19])</f>
        <v>3.3125</v>
      </c>
      <c r="EN34">
        <f>SUBTOTAL(101,Table4[2026-02-20])</f>
        <v>3.3125</v>
      </c>
      <c r="EO34">
        <f>SUBTOTAL(101,Table4[2026-02-21])</f>
        <v>3.3125</v>
      </c>
      <c r="EP34">
        <f>SUBTOTAL(101,Table4[2026-02-22])</f>
        <v>3.3125</v>
      </c>
      <c r="EQ34">
        <f>SUBTOTAL(101,Table4[2026-02-23])</f>
        <v>3.3125</v>
      </c>
      <c r="ER34">
        <f>SUBTOTAL(101,Table4[2026-02-24])</f>
        <v>3.3125</v>
      </c>
      <c r="ES34">
        <f>SUBTOTAL(101,Table4[2026-02-25])</f>
        <v>3.3125</v>
      </c>
      <c r="ET34">
        <f>SUBTOTAL(101,Table4[2026-02-26])</f>
        <v>3.3125</v>
      </c>
      <c r="EU34">
        <f>SUBTOTAL(101,Table4[2026-02-27])</f>
        <v>3.3125</v>
      </c>
      <c r="EV34">
        <f>SUBTOTAL(101,Table4[2026-02-28])</f>
        <v>3.3125</v>
      </c>
      <c r="EW34">
        <f>SUBTOTAL(101,Table4[2026-03-01])</f>
        <v>3.3125</v>
      </c>
      <c r="EX34">
        <f>SUBTOTAL(101,Table4[2026-03-02])</f>
        <v>3.3125</v>
      </c>
      <c r="EY34">
        <f>SUBTOTAL(101,Table4[2026-03-03])</f>
        <v>3.3125</v>
      </c>
      <c r="EZ34">
        <f>SUBTOTAL(101,Table4[2026-03-04])</f>
        <v>3.3125</v>
      </c>
      <c r="FA34">
        <f>SUBTOTAL(101,Table4[2026-03-05])</f>
        <v>3.3125</v>
      </c>
      <c r="FB34">
        <f>SUBTOTAL(101,Table4[2026-03-06])</f>
        <v>3.3125</v>
      </c>
      <c r="FC34">
        <f>SUBTOTAL(101,Table4[2026-03-07])</f>
        <v>3.3125</v>
      </c>
      <c r="FD34">
        <f>SUBTOTAL(101,Table4[2026-03-08])</f>
        <v>3.3125</v>
      </c>
      <c r="FE34">
        <f>SUBTOTAL(101,Table4[2026-03-09])</f>
        <v>3.3125</v>
      </c>
      <c r="FF34">
        <f>SUBTOTAL(101,Table4[2026-03-10])</f>
        <v>3.3125</v>
      </c>
      <c r="FG34">
        <f>SUBTOTAL(101,Table4[2026-03-11])</f>
        <v>3.3125</v>
      </c>
      <c r="FH34">
        <f>SUBTOTAL(101,Table4[2026-03-12])</f>
        <v>3.3125</v>
      </c>
      <c r="FI34">
        <f>SUBTOTAL(101,Table4[2026-03-13])</f>
        <v>3.3125</v>
      </c>
      <c r="FJ34">
        <f>SUBTOTAL(101,Table4[2026-03-14])</f>
        <v>3.3125</v>
      </c>
      <c r="FK34">
        <f>SUBTOTAL(101,Table4[2026-03-15])</f>
        <v>3.3125</v>
      </c>
      <c r="FL34">
        <f>SUBTOTAL(101,Table4[2026-03-16])</f>
        <v>3.3125</v>
      </c>
      <c r="FM34">
        <f>SUBTOTAL(101,Table4[2026-03-17])</f>
        <v>3.3125</v>
      </c>
      <c r="FN34">
        <f>SUBTOTAL(101,Table4[2026-03-18])</f>
        <v>3.3125</v>
      </c>
      <c r="FO34">
        <f>SUBTOTAL(101,Table4[2026-03-19])</f>
        <v>3.3125</v>
      </c>
      <c r="FP34">
        <f>SUBTOTAL(101,Table4[2026-03-20])</f>
        <v>3.3125</v>
      </c>
      <c r="FQ34">
        <f>SUBTOTAL(101,Table4[2026-03-21])</f>
        <v>3.3125</v>
      </c>
      <c r="FR34">
        <f>SUBTOTAL(101,Table4[2026-03-22])</f>
        <v>3.3125</v>
      </c>
      <c r="FS34">
        <f>SUBTOTAL(101,Table4[2026-03-23])</f>
        <v>3.3125</v>
      </c>
      <c r="FT34">
        <f>SUBTOTAL(101,Table4[2026-03-24])</f>
        <v>3.3125</v>
      </c>
      <c r="FU34">
        <f>SUBTOTAL(101,Table4[2026-03-25])</f>
        <v>3.3125</v>
      </c>
      <c r="FV34">
        <f>SUBTOTAL(101,Table4[2026-03-26])</f>
        <v>3.3125</v>
      </c>
      <c r="FW34">
        <f>SUBTOTAL(101,Table4[2026-03-27])</f>
        <v>3.3125</v>
      </c>
      <c r="FX34">
        <f>SUBTOTAL(101,Table4[2026-03-28])</f>
        <v>3.3125</v>
      </c>
      <c r="FY34">
        <f>SUBTOTAL(101,Table4[2026-03-29])</f>
        <v>3.3125</v>
      </c>
      <c r="FZ34">
        <f>SUBTOTAL(101,Table4[2026-03-30])</f>
        <v>3.3125</v>
      </c>
      <c r="GA34">
        <f>SUBTOTAL(101,Table4[2026-03-31])</f>
        <v>3.3125</v>
      </c>
      <c r="GB34">
        <f>SUBTOTAL(101,Table4[2026-04-01])</f>
        <v>3.3125</v>
      </c>
      <c r="GC34">
        <f>SUBTOTAL(101,Table4[2026-04-02])</f>
        <v>3.3125</v>
      </c>
      <c r="GD34">
        <f>SUBTOTAL(101,Table4[2026-04-03])</f>
        <v>3.3125</v>
      </c>
      <c r="GE34">
        <f>SUBTOTAL(101,Table4[2026-04-04])</f>
        <v>3.3125</v>
      </c>
      <c r="GF34">
        <f>SUBTOTAL(101,Table4[2026-04-05])</f>
        <v>3.3125</v>
      </c>
      <c r="GG34">
        <f>SUBTOTAL(101,Table4[2026-04-06])</f>
        <v>3.3125</v>
      </c>
      <c r="GH34">
        <f>SUBTOTAL(101,Table4[2026-04-07])</f>
        <v>3.3125</v>
      </c>
      <c r="GI34">
        <f>SUBTOTAL(101,Table4[2026-04-08])</f>
        <v>3.3125</v>
      </c>
      <c r="GJ34">
        <f>SUBTOTAL(101,Table4[2026-04-09])</f>
        <v>3.3125</v>
      </c>
      <c r="GK34">
        <f>SUBTOTAL(101,Table4[2026-04-10])</f>
        <v>3.3125</v>
      </c>
      <c r="GL34">
        <f>SUBTOTAL(101,Table4[2026-04-11])</f>
        <v>3.3125</v>
      </c>
      <c r="GM34">
        <f>SUBTOTAL(101,Table4[2026-04-12])</f>
        <v>3.3125</v>
      </c>
      <c r="GN34">
        <f>SUBTOTAL(101,Table4[2026-04-13])</f>
        <v>3.3125</v>
      </c>
      <c r="GO34">
        <f>SUBTOTAL(101,Table4[2026-04-14])</f>
        <v>3.3125</v>
      </c>
      <c r="GP34">
        <f>SUBTOTAL(101,Table4[2026-04-15])</f>
        <v>3.3125</v>
      </c>
      <c r="GQ34">
        <f>SUBTOTAL(101,Table4[2026-04-16])</f>
        <v>3.3125</v>
      </c>
      <c r="GR34">
        <f>SUBTOTAL(101,Table4[2026-04-17])</f>
        <v>3.3125</v>
      </c>
      <c r="GS34">
        <f>SUBTOTAL(101,Table4[2026-04-18])</f>
        <v>3.3125</v>
      </c>
      <c r="GT34">
        <f>SUBTOTAL(101,Table4[2026-04-19])</f>
        <v>3.3125</v>
      </c>
      <c r="GU34">
        <f>SUBTOTAL(101,Table4[2026-04-20])</f>
        <v>3.3125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2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2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2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2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2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2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2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2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2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2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2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2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4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4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6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6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6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6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6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6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6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6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6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6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6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6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6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6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6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6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2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2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2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2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2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2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2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2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2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2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2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2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2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2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2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2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2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2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2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2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2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2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2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2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2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2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2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2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2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2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2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2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2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2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2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2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2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2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2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2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2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2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2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2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2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2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2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2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2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2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2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2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2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2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2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2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2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2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2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2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2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2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2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2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2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2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2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2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2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2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2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2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2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2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2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2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2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2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2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2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2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2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2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2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2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2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2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2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2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2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2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2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2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2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2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2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2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2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2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2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2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2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2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2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2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2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2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2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2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2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2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2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2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2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2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2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2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2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2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2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2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2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2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2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2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2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2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2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2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2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2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2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2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2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2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2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2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2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2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2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2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2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2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2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2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2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2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2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2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2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2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2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2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2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2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2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2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2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2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2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2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2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2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2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2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2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2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2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2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2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2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2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2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2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2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2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2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2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2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2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2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2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2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2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2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2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2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2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2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2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2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2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2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2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2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2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2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2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2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2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2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2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2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2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2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2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2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2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2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2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2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2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2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2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2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2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2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2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2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2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2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2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2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2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2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2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2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2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2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2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2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2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2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2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2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2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2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2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2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2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2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2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2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2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2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2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2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2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2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2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2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2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2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2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2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2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2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2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2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2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2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2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2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2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2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2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2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2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2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2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2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2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2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2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2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2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2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2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2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2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2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2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2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2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2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2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2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2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2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2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2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2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2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2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2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2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2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2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2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2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2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2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2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2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2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2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2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2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2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2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2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2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2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2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2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2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2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2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2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2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2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2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2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2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2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2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2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2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2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2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2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2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2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2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2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2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2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2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2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2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2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2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2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2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2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2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2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2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2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2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2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2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2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2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2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2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2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2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2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2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2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2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2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2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2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2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2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2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2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2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2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2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2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2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2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2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2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2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2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2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2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2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2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2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2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4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4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4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4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4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4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4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4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4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4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4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4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4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4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4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4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4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4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4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4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4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4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4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4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4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4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4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4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4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4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4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4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4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4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4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4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4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4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4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4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4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4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4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4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4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4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4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4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4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4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4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4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4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4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4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4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4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4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4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4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4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4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4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4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4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4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4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4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4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4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4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4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4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4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4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4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4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4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4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4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4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4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4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4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4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4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4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4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4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4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4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4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4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4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4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4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4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4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4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4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4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4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4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4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4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4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4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4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4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4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4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4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4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4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4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4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4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4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4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4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4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4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4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4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4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4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4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4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4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4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4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4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4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4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4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4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4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4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4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4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4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4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4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4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4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4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4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4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4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4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4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4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4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4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4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4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4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4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4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4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4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4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4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4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4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4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4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4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4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4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4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4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4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4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4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4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4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4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4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4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4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4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4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4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4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4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4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4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4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4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4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4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2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2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4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4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4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4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4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4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6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6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6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6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6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6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6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6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6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6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6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6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6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6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6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6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6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6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6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6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6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6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6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6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6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6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6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6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6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6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6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6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6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6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6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6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6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6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6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6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6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6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6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6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6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6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6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6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6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6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6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6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6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6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6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6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6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6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6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6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6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6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6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6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6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6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6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6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6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6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6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6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6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6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6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6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6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6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6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6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6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6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6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6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6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6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6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6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6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6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6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6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6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6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6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6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6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6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6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6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6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6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6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6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6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6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6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6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6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6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6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6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6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6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6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6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6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6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6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6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6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6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6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6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6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6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6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6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6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6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6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6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6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6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6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6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6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6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6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6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6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6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6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6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6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6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6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6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6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6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6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6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6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6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6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6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6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6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6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6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6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6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6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6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6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6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6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6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6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6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6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6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6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6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6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6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6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6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6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6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6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6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6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6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6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6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6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6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6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6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6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6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2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4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4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4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4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4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4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4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4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4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4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4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4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4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4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4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4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4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4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4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4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4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4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4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4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4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4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4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4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4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4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4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4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4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4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4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4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4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4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4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4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4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4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4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4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4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4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4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4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4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4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4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4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4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4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4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4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4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4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4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4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4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4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4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4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4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4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4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4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4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4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4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4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4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4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4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4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4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4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4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4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4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4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4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4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4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4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4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4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4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4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4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4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4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4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4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4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4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4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4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4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4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4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4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4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4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4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4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4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4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4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4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4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4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4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4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4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4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4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4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4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4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4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4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4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4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4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4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4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4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4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4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4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4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4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4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4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4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4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4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4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4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4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4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4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4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4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4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4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4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4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4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4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4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4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4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4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4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4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4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4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4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4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4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4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4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4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4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4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4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4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4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4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4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4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4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4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4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4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4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4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4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4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4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4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4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4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4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4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4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2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2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4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4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4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4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4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4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4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4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4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4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4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4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4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4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4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4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4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4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4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4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4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4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4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4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4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4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4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4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4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4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4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4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4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4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4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4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4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4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4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4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4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4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4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4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4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4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4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4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4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4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4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4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4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4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4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4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4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4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4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4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4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4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4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4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4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4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4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4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4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4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4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4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4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4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4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4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4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4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4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4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4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4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4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4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4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4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4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4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4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4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4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4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4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4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4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4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4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4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4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4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4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4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4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4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4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4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4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4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4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4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4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4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4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4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4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4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4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4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4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4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4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4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4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4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4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4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4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4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4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4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4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4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4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4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4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4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4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4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4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4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4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4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4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4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4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4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4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4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4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4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4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4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4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4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4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4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4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4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4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4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4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4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4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4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4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4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4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4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4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4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4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4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4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4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4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4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4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4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4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4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4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4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4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4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4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4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4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4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4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4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4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4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4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4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4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4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4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4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4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4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4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4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4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4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4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4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4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4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4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4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4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4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4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4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4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4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4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4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4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4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4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4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4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4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4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4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4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4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4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4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4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4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4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4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4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4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4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4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4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4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4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4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4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4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4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4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4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4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4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4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4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4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4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4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4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4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4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4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4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4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4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4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4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4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4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4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4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4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4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4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4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4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4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4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4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4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4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4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4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4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4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4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4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4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4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4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4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4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4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4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4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4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4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4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4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4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4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4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4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4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4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4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4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4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4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4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4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4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4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4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4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4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4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4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4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4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4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4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4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4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4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4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4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4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4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4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4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4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4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4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4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4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4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4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4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4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4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4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4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4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4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4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4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4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4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4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4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4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4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4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4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4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4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4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4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4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4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4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4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4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4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4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4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4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4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4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4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4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4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4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4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4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4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4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4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2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2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4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4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4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4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4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4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4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4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4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4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4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4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4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4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4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4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4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4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4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4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4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4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4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4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4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4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4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4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4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4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4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4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4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4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4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4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4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4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4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4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4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4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4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4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4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4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4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4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4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4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4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4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4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4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4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4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4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4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4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4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4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4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4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4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4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4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4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4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4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4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4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4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4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4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4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4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4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4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4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4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4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4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4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4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4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4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4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4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4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4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4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4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4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4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4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4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4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4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4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4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4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4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4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4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4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4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4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4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4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4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4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4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4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4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4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4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4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4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4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4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4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4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4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4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4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4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4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4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4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4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4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4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4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4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4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4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4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4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4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4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4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4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4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4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4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4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4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4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4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4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4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4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4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4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4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4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4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4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4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4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4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4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4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4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4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4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4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4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4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4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4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4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4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4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4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4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4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4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4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4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4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4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4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4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4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4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4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2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2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2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2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2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2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2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2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2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2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2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2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2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2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2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2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2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2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2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2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2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2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2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2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2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2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2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2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2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2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2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2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2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2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2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2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2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2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2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2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2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2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2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2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2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2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2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2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2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2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2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2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2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2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2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2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2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2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2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2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2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2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2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2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2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2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2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2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2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2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2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2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2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2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2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2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2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2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2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2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2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2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2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2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2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2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2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2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2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2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2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2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2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2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2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2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2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2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2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2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2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2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2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2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2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2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2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2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2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2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2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2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2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2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2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2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2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2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2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2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2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2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2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2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2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2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2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2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2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2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2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2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2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2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2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2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2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2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2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2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2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2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2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2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2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2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2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2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2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2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2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2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2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2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2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2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2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2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2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2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2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2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2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2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2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2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2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2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2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2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2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2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2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2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2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2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2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2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2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2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2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2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2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2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2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2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2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2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2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2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2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2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4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4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4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4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4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4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4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4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4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1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1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3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3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3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3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3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3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3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3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3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3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3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3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3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3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3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3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3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3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3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3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3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3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3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3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3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3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3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3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3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3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3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3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3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3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3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3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3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3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3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3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3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3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3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3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3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3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3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3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3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3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3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3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3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3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3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3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3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3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3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3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3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3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3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3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3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3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3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3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3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3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3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3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3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3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3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3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3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3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3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3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3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3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3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3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3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3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3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3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3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3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3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3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3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3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3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3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3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3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3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3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3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3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3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3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3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3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3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3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3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3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3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3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3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3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3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3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3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3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3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3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3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3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3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3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3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3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3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3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3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3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3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3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3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3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3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3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3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3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3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3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3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3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3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3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3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3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3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3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3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3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3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3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3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3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3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3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3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3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3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3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3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3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3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3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3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3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3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3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3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3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3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3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3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3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3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3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3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3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3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3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3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3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3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3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3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3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3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3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3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3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2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2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4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4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4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4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4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4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4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4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4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4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4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4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4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4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2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2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4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4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4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4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4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4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4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4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4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4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4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4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4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4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4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4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4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4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4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4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4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4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4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4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4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4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4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4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4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4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4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4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4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4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4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4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4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4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4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4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4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4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4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4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4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4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4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4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4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4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4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4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4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4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4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4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4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4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4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4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4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4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4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4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4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4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4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4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4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4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4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4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4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4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4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4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4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4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4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4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4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4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4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4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4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4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4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4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4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4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4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4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4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4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4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4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4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4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4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4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4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4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4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4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4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4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4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4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4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4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4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4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4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4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4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4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4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4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4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4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4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4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4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4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4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4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4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4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4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4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4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4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4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4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4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4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4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4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4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4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4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4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4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4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4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4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4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4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4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4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4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4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4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4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4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4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4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4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4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4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4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4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4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4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4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4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4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4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4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4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4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4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4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4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4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4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4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4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4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4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4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4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4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4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4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4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4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4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4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4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4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5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5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7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7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7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7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7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7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7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7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7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7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7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7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7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7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7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7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7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7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7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7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7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7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7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7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7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7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7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7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7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7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7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7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7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7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7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7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7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7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7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7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7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7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7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7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7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7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7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7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7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7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7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7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7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7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7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7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7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7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7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7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7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7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7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7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7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7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7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7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7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7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7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7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7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7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7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7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7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7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7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7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7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7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7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7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7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7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7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7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7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7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7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7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7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7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7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7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7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7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7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7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7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7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7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7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7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7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7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7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7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7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7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7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7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7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7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7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7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7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7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7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7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7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7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7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7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7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7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7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7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7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7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7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7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7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7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7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7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7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7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7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7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7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7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7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7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7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7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7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7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7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7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7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7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7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7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7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7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7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7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7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7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7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7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7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7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7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7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7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7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7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7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7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7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7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7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7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7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7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7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7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7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7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7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7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7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7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7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7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2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2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4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4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4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4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4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4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4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4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4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4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4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4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4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4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4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4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4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4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4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4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4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4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4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4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4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4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4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4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4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4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4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4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4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4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4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4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4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4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4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4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4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4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4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4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4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4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4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4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4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4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4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4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4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4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4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4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4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4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4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4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4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4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4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4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4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4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4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4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4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4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4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4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4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4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4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4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4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4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4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4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4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4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4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4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4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4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4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4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4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4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4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4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4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4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4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4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4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4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4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4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4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4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4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4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4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4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4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4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4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4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4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4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4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4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4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4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4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4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4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4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4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4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4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4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4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4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4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4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4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4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4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4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4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4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4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4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4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4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4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4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4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4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4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4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4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4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4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4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4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4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4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4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4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4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4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4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4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4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4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4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4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4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4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4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4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4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4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4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4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4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4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4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4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4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4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4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4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4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4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4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4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4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4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4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4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4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4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4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4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4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4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4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4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4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4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4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4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4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4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4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4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4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4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4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4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4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4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4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4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4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4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4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4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4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4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4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4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4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4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4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4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4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4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4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4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4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4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4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4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4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4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4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4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4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4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4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4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4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4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4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4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4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4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4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4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4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4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4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4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4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4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4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4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4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4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4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4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4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4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4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4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4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4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4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4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4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4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4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4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4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4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4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4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4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4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4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4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4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4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4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4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4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4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4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4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4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4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4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4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4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4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4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4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4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4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4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4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4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4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4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4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4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4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4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4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4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4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4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4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4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4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4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4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4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4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4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4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4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4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4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4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4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4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4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4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4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4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4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4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4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4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4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4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4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4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4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4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4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4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4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4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4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4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4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4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4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4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4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4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4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4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4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4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4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4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4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4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4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4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4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4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4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4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4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4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4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4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4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4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4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4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4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2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2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2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2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2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2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2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2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2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2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2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2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2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2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2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2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2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2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2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2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2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2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2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2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2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2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2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2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2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2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2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2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2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2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2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2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2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2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2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2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2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2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2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2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2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2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2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2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2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2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2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2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2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2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2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2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2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2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2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2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2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2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2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2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2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2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2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2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2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2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2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2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2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2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2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2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2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2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2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2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2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2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2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2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2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2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2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2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2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2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2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2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2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2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2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2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2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2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2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2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2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2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2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2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2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2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2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2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2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2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2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2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2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2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2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2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2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2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2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2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2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2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2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2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2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2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2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2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2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2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2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2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2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2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2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2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2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2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2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2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2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2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2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2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2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2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2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2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2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2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2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2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2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2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2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2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2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2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2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2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2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2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2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2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2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2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2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2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2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2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2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2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2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2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2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2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2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2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2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2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2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2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2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2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2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2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2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2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2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2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2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2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2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2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3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3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5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5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5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5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5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5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5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5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5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5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5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5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5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5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5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5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5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5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5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5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5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5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5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5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5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5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5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5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5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5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5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5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5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5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5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5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5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5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5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5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5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5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5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5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5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5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5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5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5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5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5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5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5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5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5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5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5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5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5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5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5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5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5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5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5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5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5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5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5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5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5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5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5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5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5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5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5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5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5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5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5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5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5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5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5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5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5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5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5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5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5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5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5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5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5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5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5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5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5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5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5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5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5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5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5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5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5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5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5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5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5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5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5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5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5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5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5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5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5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5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5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5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5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5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5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5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5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5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5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5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5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5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5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5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5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5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5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5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5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5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5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5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5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5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5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5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5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5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5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5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5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5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5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5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5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5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5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5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5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5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5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5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5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5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5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5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5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5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5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5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5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5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5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5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5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5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5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5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5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5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5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5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5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5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5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5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5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5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1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1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1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1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3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3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3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3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3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3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3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3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3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3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3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3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3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3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3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3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3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3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3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3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3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3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3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3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3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3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3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3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3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3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3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3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3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3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3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3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3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3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3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3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3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3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3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3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3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3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3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3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3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3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3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3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3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3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3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3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3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3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3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3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3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3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3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3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3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3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3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3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3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3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3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3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3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3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3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3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3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3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3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3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3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3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3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3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3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3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3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3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3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3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3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3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3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3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3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3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3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3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3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3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3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3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3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3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3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3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3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3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3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3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3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3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3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3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3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3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3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3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3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3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3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3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3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3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3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3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3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3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3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3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3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3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3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3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3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3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3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3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3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3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3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3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3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3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3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3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3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3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3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3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3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3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3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3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3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3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3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3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3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3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3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3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3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3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3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3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3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3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3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3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3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3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3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3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3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3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3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3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3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3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3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3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3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3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3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3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3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3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3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3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4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4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4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4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4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4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4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4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4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4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4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4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4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4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4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4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4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4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4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4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4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4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4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4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4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4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4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4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4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4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4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4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4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4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4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4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4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4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4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4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4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4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4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4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4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4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4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4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4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4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4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4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4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4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4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4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4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4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4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4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4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4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4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4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4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4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4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4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4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4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4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4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4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4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4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4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4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4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4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4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4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4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4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4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4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4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4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4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4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4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4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4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4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4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4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4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4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4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4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4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4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4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4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4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4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4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4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4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4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4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4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4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4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4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4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4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4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4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4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4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4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4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4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4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4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4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4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4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4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4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4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4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4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4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4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4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4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4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4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4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4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4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4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4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4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4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4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4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4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4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4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4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4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4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4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4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4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4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4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4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4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4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4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4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4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4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4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4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4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4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4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4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4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4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4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4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4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4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4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4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4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4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4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4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4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4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4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4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4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3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3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3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3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3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3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3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3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3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3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3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3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3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3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3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3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3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3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3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3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3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3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3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3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3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3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3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3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3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3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3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3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3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3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3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3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3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3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3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3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3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3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3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3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3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3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3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3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3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3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3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3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3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3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3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3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3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3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3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3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3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3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3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3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3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3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3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3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3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3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3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3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3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3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3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3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3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3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3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3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3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3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3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3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3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3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3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3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3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3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3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3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3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3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3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3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3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3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3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3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3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3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3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3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3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3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3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3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3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3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3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3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3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3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3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3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3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3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3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3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3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3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3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3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3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3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3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3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3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3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3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3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3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3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3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3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3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3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3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3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3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3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3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3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3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3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3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3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3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3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3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3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3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3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3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3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3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3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3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3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3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3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3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3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3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3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3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3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3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3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3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3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3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3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3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3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3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3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3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3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3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3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3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3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3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3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3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3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3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3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3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3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3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3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3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3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3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3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3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3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3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3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3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3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3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3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3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3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3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3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3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3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3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3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3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3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3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3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3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3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3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3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3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3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3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3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3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3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3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3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3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3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3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3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3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3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3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3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3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3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3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3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3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3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3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3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3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3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3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3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3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3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3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3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3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3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3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3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3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3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3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3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3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3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3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3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3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3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3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3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3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3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3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3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3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3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3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3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3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3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3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3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3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3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3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3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3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3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3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3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3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3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3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3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3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3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3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3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3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3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3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3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3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3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3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3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3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3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3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3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3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3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3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3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3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3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3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3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3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3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3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3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3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3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3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3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3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3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3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3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3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3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3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3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3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3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3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3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3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3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3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3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3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3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3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3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3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3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3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3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3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3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3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3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3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3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3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3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3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3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3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3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3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3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3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3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3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3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3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3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3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3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3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3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3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3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3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3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3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3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3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3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2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2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2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2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2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2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2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2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2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2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2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2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2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2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2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2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2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2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2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2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2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2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2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2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2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2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2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2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2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2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2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2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2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2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2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2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2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2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2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2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2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2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2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2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2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2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2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2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2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2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2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2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2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2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2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2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2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2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2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2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2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2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2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2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2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2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2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2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2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2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2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2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2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2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2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2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2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2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2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2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2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2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2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2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2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2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2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2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2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2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2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2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2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2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2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2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2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2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2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2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2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2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2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2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2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2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2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2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2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2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2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2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2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2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2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2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2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2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2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2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2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2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2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2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2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2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2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2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2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2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2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2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2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2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2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2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2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2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2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2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2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2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2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2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2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2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2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2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2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2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2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2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2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2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2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2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2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2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2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2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2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2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2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2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2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2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2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2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2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2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2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2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2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2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2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2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2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2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2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2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2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2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2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2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2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2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2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2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2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2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2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2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2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2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2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2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2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2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2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2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2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2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2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2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2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2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2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2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2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2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2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2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2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2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2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2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2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2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2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2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2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2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2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2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2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2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2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2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2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2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2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2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2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2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2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2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2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2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2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2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2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2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2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2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2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2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2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2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2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2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2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2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2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2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2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2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2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2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2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2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2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2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2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2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2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2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2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2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2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2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2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2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2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2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2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2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2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2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2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2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2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2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2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2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2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2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2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2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2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2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2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2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2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2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2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2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2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2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2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2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2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2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2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2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2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2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2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2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2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2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2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2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2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2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2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2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2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2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2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2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2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2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2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2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2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2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2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2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2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2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2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2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2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2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2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2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2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2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2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2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2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2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2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2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2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2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2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2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2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2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2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2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2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2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2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2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2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2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2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2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2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2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2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2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2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2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2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2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2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2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2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2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2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2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2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2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2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2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2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4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4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4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4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4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4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4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4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4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4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4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4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4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4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4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4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4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4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4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4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4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4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4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4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4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4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4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4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4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4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4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4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4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4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4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4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4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4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4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4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4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4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4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4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4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4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4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4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4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4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4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4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4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4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4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4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4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4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4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4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4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4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4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4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4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4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4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4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4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4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4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4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4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4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4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4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4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4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4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4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4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4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4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4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4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4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4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4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4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4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4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4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4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4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4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4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4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4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4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4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4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4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4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4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4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4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4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4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4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4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4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4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4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4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4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4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4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4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4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4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4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4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4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4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4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4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4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4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4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4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4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4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4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4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4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4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4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4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4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4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4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4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4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4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4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4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4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4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4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4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4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4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4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4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4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4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4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4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4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4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4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4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4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4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4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4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4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4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4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4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4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4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4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4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4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4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4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4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4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4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4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4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4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4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4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4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4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4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4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4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4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4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3.3125</v>
      </c>
      <c r="P70">
        <f>SUBTOTAL(101,Table46[2024-10-15])</f>
        <v>3.3125</v>
      </c>
      <c r="Q70">
        <f>SUBTOTAL(101,Table46[2024-10-16])</f>
        <v>3.3125</v>
      </c>
      <c r="R70">
        <f>SUBTOTAL(101,Table46[2024-10-17])</f>
        <v>3.3125</v>
      </c>
      <c r="S70">
        <f>SUBTOTAL(101,Table46[2024-10-18])</f>
        <v>3.3125</v>
      </c>
      <c r="T70">
        <f>SUBTOTAL(101,Table46[2024-10-19])</f>
        <v>3.3125</v>
      </c>
      <c r="U70">
        <f>SUBTOTAL(101,Table46[2024-10-20])</f>
        <v>3.3125</v>
      </c>
      <c r="V70">
        <f>SUBTOTAL(101,Table46[2024-10-21])</f>
        <v>3.3125</v>
      </c>
      <c r="W70">
        <f>SUBTOTAL(101,Table46[2024-10-22])</f>
        <v>3.3125</v>
      </c>
      <c r="X70">
        <f>SUBTOTAL(101,Table46[2024-10-23])</f>
        <v>3.3125</v>
      </c>
      <c r="Y70">
        <f>SUBTOTAL(101,Table46[2024-10-24])</f>
        <v>3.3125</v>
      </c>
      <c r="Z70">
        <f>SUBTOTAL(101,Table46[2024-10-25])</f>
        <v>3.3125</v>
      </c>
      <c r="AA70">
        <f>SUBTOTAL(101,Table46[2024-10-26])</f>
        <v>3.3125</v>
      </c>
      <c r="AB70">
        <f>SUBTOTAL(101,Table46[2024-10-27])</f>
        <v>3.3125</v>
      </c>
      <c r="AC70">
        <f>SUBTOTAL(101,Table46[2024-10-28])</f>
        <v>3.3125</v>
      </c>
      <c r="AD70">
        <f>SUBTOTAL(101,Table46[2024-10-29])</f>
        <v>3.3125</v>
      </c>
      <c r="AE70">
        <f>SUBTOTAL(101,Table46[2024-10-30])</f>
        <v>3.3125</v>
      </c>
      <c r="AF70">
        <f>SUBTOTAL(101,Table46[2024-10-31])</f>
        <v>3.3125</v>
      </c>
      <c r="AG70">
        <f>SUBTOTAL(101,Table46[2024-11-01])</f>
        <v>3.3125</v>
      </c>
      <c r="AH70">
        <f>SUBTOTAL(101,Table46[2024-11-02])</f>
        <v>3.3125</v>
      </c>
      <c r="AI70">
        <f>SUBTOTAL(101,Table46[2024-11-03])</f>
        <v>3.3125</v>
      </c>
      <c r="AJ70">
        <f>SUBTOTAL(101,Table46[2024-11-04])</f>
        <v>3.3125</v>
      </c>
      <c r="AK70">
        <f>SUBTOTAL(101,Table46[2024-11-05])</f>
        <v>3.3125</v>
      </c>
      <c r="AL70">
        <f>SUBTOTAL(101,Table46[2024-11-06])</f>
        <v>3.3125</v>
      </c>
      <c r="AM70">
        <f>SUBTOTAL(101,Table46[2024-11-07])</f>
        <v>3.3125</v>
      </c>
      <c r="AN70">
        <f>SUBTOTAL(101,Table46[2024-11-08])</f>
        <v>3.3125</v>
      </c>
      <c r="AO70">
        <f>SUBTOTAL(101,Table46[2024-11-09])</f>
        <v>3.3125</v>
      </c>
      <c r="AP70">
        <f>SUBTOTAL(101,Table46[2024-11-10])</f>
        <v>3.3125</v>
      </c>
      <c r="AQ70">
        <f>SUBTOTAL(101,Table46[2024-11-11])</f>
        <v>3.3125</v>
      </c>
      <c r="AR70">
        <f>SUBTOTAL(101,Table46[2024-11-12])</f>
        <v>3.3125</v>
      </c>
      <c r="AS70">
        <f>SUBTOTAL(101,Table46[2024-11-13])</f>
        <v>3.3125</v>
      </c>
      <c r="AT70">
        <f>SUBTOTAL(101,Table46[2024-11-14])</f>
        <v>3.3125</v>
      </c>
      <c r="AU70">
        <f>SUBTOTAL(101,Table46[2024-11-15])</f>
        <v>3.3125</v>
      </c>
      <c r="AV70">
        <f>SUBTOTAL(101,Table46[2024-11-16])</f>
        <v>3.3125</v>
      </c>
      <c r="AW70">
        <f>SUBTOTAL(101,Table46[2024-11-17])</f>
        <v>3.3125</v>
      </c>
      <c r="AX70">
        <f>SUBTOTAL(101,Table46[2024-11-18])</f>
        <v>3.3125</v>
      </c>
      <c r="AY70">
        <f>SUBTOTAL(101,Table46[2024-11-19])</f>
        <v>3.3125</v>
      </c>
      <c r="AZ70">
        <f>SUBTOTAL(101,Table46[2024-11-20])</f>
        <v>3.3125</v>
      </c>
      <c r="BA70">
        <f>SUBTOTAL(101,Table46[2024-11-21])</f>
        <v>3.3125</v>
      </c>
      <c r="BB70">
        <f>SUBTOTAL(101,Table46[2024-11-22])</f>
        <v>3.3125</v>
      </c>
      <c r="BC70">
        <f>SUBTOTAL(101,Table46[2024-11-23])</f>
        <v>3.3125</v>
      </c>
      <c r="BD70">
        <f>SUBTOTAL(101,Table46[2024-11-24])</f>
        <v>3.3125</v>
      </c>
      <c r="BE70">
        <f>SUBTOTAL(101,Table46[2024-11-25])</f>
        <v>3.3125</v>
      </c>
      <c r="BF70">
        <f>SUBTOTAL(101,Table46[2024-11-26])</f>
        <v>3.3125</v>
      </c>
      <c r="BG70">
        <f>SUBTOTAL(101,Table46[2024-11-27])</f>
        <v>3.3125</v>
      </c>
      <c r="BH70">
        <f>SUBTOTAL(101,Table46[2024-11-28])</f>
        <v>3.3125</v>
      </c>
      <c r="BI70">
        <f>SUBTOTAL(101,Table46[2024-11-29])</f>
        <v>3.3125</v>
      </c>
      <c r="BJ70">
        <f>SUBTOTAL(101,Table46[2024-11-30])</f>
        <v>3.3125</v>
      </c>
      <c r="BK70">
        <f>SUBTOTAL(101,Table46[2024-12-01])</f>
        <v>3.3125</v>
      </c>
      <c r="BL70">
        <f>SUBTOTAL(101,Table46[2024-12-02])</f>
        <v>3.3125</v>
      </c>
      <c r="BM70">
        <f>SUBTOTAL(101,Table46[2024-12-03])</f>
        <v>3.3125</v>
      </c>
      <c r="BN70">
        <f>SUBTOTAL(101,Table46[2024-12-04])</f>
        <v>3.3125</v>
      </c>
      <c r="BO70">
        <f>SUBTOTAL(101,Table46[2024-12-05])</f>
        <v>3.3125</v>
      </c>
      <c r="BP70">
        <f>SUBTOTAL(101,Table46[2024-12-06])</f>
        <v>3.3125</v>
      </c>
      <c r="BQ70">
        <f>SUBTOTAL(101,Table46[2024-12-07])</f>
        <v>3.3125</v>
      </c>
      <c r="BR70">
        <f>SUBTOTAL(101,Table46[2024-12-08])</f>
        <v>3.3125</v>
      </c>
      <c r="BS70">
        <f>SUBTOTAL(101,Table46[2024-12-09])</f>
        <v>3.3125</v>
      </c>
      <c r="BT70">
        <f>SUBTOTAL(101,Table46[2024-12-10])</f>
        <v>3.3125</v>
      </c>
      <c r="BU70">
        <f>SUBTOTAL(101,Table46[2024-12-11])</f>
        <v>3.3125</v>
      </c>
      <c r="BV70">
        <f>SUBTOTAL(101,Table46[2024-12-12])</f>
        <v>3.3125</v>
      </c>
      <c r="BW70">
        <f>SUBTOTAL(101,Table46[2024-12-13])</f>
        <v>3.3125</v>
      </c>
      <c r="BX70">
        <f>SUBTOTAL(101,Table46[2024-12-14])</f>
        <v>3.3125</v>
      </c>
      <c r="BY70">
        <f>SUBTOTAL(101,Table46[2024-12-15])</f>
        <v>3.3125</v>
      </c>
      <c r="BZ70">
        <f>SUBTOTAL(101,Table46[2024-12-16])</f>
        <v>3.3125</v>
      </c>
      <c r="CA70">
        <f>SUBTOTAL(101,Table46[2024-12-17])</f>
        <v>3.3125</v>
      </c>
      <c r="CB70">
        <f>SUBTOTAL(101,Table46[2024-12-18])</f>
        <v>3.3125</v>
      </c>
      <c r="CC70">
        <f>SUBTOTAL(101,Table46[2024-12-19])</f>
        <v>3.3125</v>
      </c>
      <c r="CD70">
        <f>SUBTOTAL(101,Table46[2024-12-20])</f>
        <v>3.3125</v>
      </c>
      <c r="CE70">
        <f>SUBTOTAL(101,Table46[2024-12-21])</f>
        <v>3.3125</v>
      </c>
      <c r="CF70">
        <f>SUBTOTAL(101,Table46[2024-12-22])</f>
        <v>3.3125</v>
      </c>
      <c r="CG70">
        <f>SUBTOTAL(101,Table46[2024-12-23])</f>
        <v>3.3125</v>
      </c>
      <c r="CH70">
        <f>SUBTOTAL(101,Table46[2024-12-24])</f>
        <v>3.3125</v>
      </c>
      <c r="CI70">
        <f>SUBTOTAL(101,Table46[2024-12-25])</f>
        <v>3.3125</v>
      </c>
      <c r="CJ70">
        <f>SUBTOTAL(101,Table46[2024-12-26])</f>
        <v>3.3125</v>
      </c>
      <c r="CK70">
        <f>SUBTOTAL(101,Table46[2024-12-27])</f>
        <v>3.3125</v>
      </c>
      <c r="CL70">
        <f>SUBTOTAL(101,Table46[2024-12-28])</f>
        <v>3.3125</v>
      </c>
      <c r="CM70">
        <f>SUBTOTAL(101,Table46[2024-12-29])</f>
        <v>3.3125</v>
      </c>
      <c r="CN70">
        <f>SUBTOTAL(101,Table46[2024-12-30])</f>
        <v>3.3125</v>
      </c>
      <c r="CO70">
        <f>SUBTOTAL(101,Table46[2024-12-31])</f>
        <v>3.3125</v>
      </c>
      <c r="CP70">
        <f>SUBTOTAL(101,Table46[2025-01-01])</f>
        <v>3.3125</v>
      </c>
      <c r="CQ70">
        <f>SUBTOTAL(101,Table46[2025-01-02])</f>
        <v>3.3125</v>
      </c>
      <c r="CR70">
        <f>SUBTOTAL(101,Table46[2025-01-03])</f>
        <v>3.3125</v>
      </c>
      <c r="CS70">
        <f>SUBTOTAL(101,Table46[2025-01-04])</f>
        <v>3.3125</v>
      </c>
      <c r="CT70">
        <f>SUBTOTAL(101,Table46[2025-01-05])</f>
        <v>3.3125</v>
      </c>
      <c r="CU70">
        <f>SUBTOTAL(101,Table46[2025-01-06])</f>
        <v>3.3125</v>
      </c>
      <c r="CV70">
        <f>SUBTOTAL(101,Table46[2025-01-07])</f>
        <v>3.3125</v>
      </c>
      <c r="CW70">
        <f>SUBTOTAL(101,Table46[2025-01-08])</f>
        <v>3.3125</v>
      </c>
      <c r="CX70">
        <f>SUBTOTAL(101,Table46[2025-01-09])</f>
        <v>3.3125</v>
      </c>
      <c r="CY70">
        <f>SUBTOTAL(101,Table46[2025-01-10])</f>
        <v>3.3125</v>
      </c>
      <c r="CZ70">
        <f>SUBTOTAL(101,Table46[2025-01-11])</f>
        <v>3.3125</v>
      </c>
      <c r="DA70">
        <f>SUBTOTAL(101,Table46[2025-01-12])</f>
        <v>3.3125</v>
      </c>
      <c r="DB70">
        <f>SUBTOTAL(101,Table46[2025-01-13])</f>
        <v>3.3125</v>
      </c>
      <c r="DC70">
        <f>SUBTOTAL(101,Table46[2025-01-14])</f>
        <v>3.3125</v>
      </c>
      <c r="DD70">
        <f>SUBTOTAL(101,Table46[2025-01-15])</f>
        <v>3.3125</v>
      </c>
      <c r="DE70">
        <f>SUBTOTAL(101,Table46[2025-01-16])</f>
        <v>3.3125</v>
      </c>
      <c r="DF70">
        <f>SUBTOTAL(101,Table46[2025-01-17])</f>
        <v>3.3125</v>
      </c>
      <c r="DG70">
        <f>SUBTOTAL(101,Table46[2025-01-18])</f>
        <v>3.3125</v>
      </c>
      <c r="DH70">
        <f>SUBTOTAL(101,Table46[2025-01-19])</f>
        <v>3.3125</v>
      </c>
      <c r="DI70">
        <f>SUBTOTAL(101,Table46[2025-01-20])</f>
        <v>3.3125</v>
      </c>
      <c r="DJ70">
        <f>SUBTOTAL(101,Table46[2025-01-21])</f>
        <v>3.3125</v>
      </c>
      <c r="DK70">
        <f>SUBTOTAL(101,Table46[2025-01-22])</f>
        <v>3.3125</v>
      </c>
      <c r="DL70">
        <f>SUBTOTAL(101,Table46[2025-01-23])</f>
        <v>3.3125</v>
      </c>
      <c r="DM70">
        <f>SUBTOTAL(101,Table46[2025-01-24])</f>
        <v>3.3125</v>
      </c>
      <c r="DN70">
        <f>SUBTOTAL(101,Table46[2025-01-25])</f>
        <v>3.3125</v>
      </c>
      <c r="DO70">
        <f>SUBTOTAL(101,Table46[2025-01-26])</f>
        <v>3.3125</v>
      </c>
      <c r="DP70">
        <f>SUBTOTAL(101,Table46[2025-01-27])</f>
        <v>3.3125</v>
      </c>
      <c r="DQ70">
        <f>SUBTOTAL(101,Table46[2025-01-28])</f>
        <v>3.3125</v>
      </c>
      <c r="DR70">
        <f>SUBTOTAL(101,Table46[2025-01-29])</f>
        <v>3.3125</v>
      </c>
      <c r="DS70">
        <f>SUBTOTAL(101,Table46[2025-01-30])</f>
        <v>3.3125</v>
      </c>
      <c r="DT70">
        <f>SUBTOTAL(101,Table46[2025-01-31])</f>
        <v>3.3125</v>
      </c>
      <c r="DU70">
        <f>SUBTOTAL(101,Table46[2025-02-01])</f>
        <v>3.3125</v>
      </c>
      <c r="DV70">
        <f>SUBTOTAL(101,Table46[2025-02-02])</f>
        <v>3.3125</v>
      </c>
      <c r="DW70">
        <f>SUBTOTAL(101,Table46[2025-02-03])</f>
        <v>3.3125</v>
      </c>
      <c r="DX70">
        <f>SUBTOTAL(101,Table46[2025-02-04])</f>
        <v>3.3125</v>
      </c>
      <c r="DY70">
        <f>SUBTOTAL(101,Table46[2025-02-05])</f>
        <v>3.3125</v>
      </c>
      <c r="DZ70">
        <f>SUBTOTAL(101,Table46[2025-02-06])</f>
        <v>3.3125</v>
      </c>
      <c r="EA70">
        <f>SUBTOTAL(101,Table46[2025-02-07])</f>
        <v>3.3125</v>
      </c>
      <c r="EB70">
        <f>SUBTOTAL(101,Table46[2025-02-08])</f>
        <v>3.3125</v>
      </c>
      <c r="EC70">
        <f>SUBTOTAL(101,Table46[2025-02-09])</f>
        <v>3.3125</v>
      </c>
      <c r="ED70">
        <f>SUBTOTAL(101,Table46[2025-02-10])</f>
        <v>3.3125</v>
      </c>
      <c r="EE70">
        <f>SUBTOTAL(101,Table46[2025-02-11])</f>
        <v>3.3125</v>
      </c>
      <c r="EF70">
        <f>SUBTOTAL(101,Table46[2025-02-12])</f>
        <v>3.3125</v>
      </c>
      <c r="EG70">
        <f>SUBTOTAL(101,Table46[2025-02-13])</f>
        <v>3.3125</v>
      </c>
      <c r="EH70">
        <f>SUBTOTAL(101,Table46[2025-02-14])</f>
        <v>3.3125</v>
      </c>
      <c r="EI70">
        <f>SUBTOTAL(101,Table46[2025-02-15])</f>
        <v>3.3125</v>
      </c>
      <c r="EJ70">
        <f>SUBTOTAL(101,Table46[2025-02-16])</f>
        <v>3.3125</v>
      </c>
      <c r="EK70">
        <f>SUBTOTAL(101,Table46[2025-02-17])</f>
        <v>3.3125</v>
      </c>
      <c r="EL70">
        <f>SUBTOTAL(101,Table46[2025-02-18])</f>
        <v>3.3125</v>
      </c>
      <c r="EM70">
        <f>SUBTOTAL(101,Table46[2025-02-19])</f>
        <v>3.3125</v>
      </c>
      <c r="EN70">
        <f>SUBTOTAL(101,Table46[2025-02-20])</f>
        <v>3.3125</v>
      </c>
      <c r="EO70">
        <f>SUBTOTAL(101,Table46[2025-02-21])</f>
        <v>3.3125</v>
      </c>
      <c r="EP70">
        <f>SUBTOTAL(101,Table46[2025-02-22])</f>
        <v>3.3125</v>
      </c>
      <c r="EQ70">
        <f>SUBTOTAL(101,Table46[2025-02-23])</f>
        <v>3.3125</v>
      </c>
      <c r="ER70">
        <f>SUBTOTAL(101,Table46[2025-02-24])</f>
        <v>3.3125</v>
      </c>
      <c r="ES70">
        <f>SUBTOTAL(101,Table46[2025-02-25])</f>
        <v>3.3125</v>
      </c>
      <c r="ET70">
        <f>SUBTOTAL(101,Table46[2025-02-26])</f>
        <v>3.3125</v>
      </c>
      <c r="EU70">
        <f>SUBTOTAL(101,Table46[2025-02-27])</f>
        <v>3.3125</v>
      </c>
      <c r="EV70">
        <f>SUBTOTAL(101,Table46[2025-02-28])</f>
        <v>3.3125</v>
      </c>
      <c r="EW70">
        <f>SUBTOTAL(101,Table46[2025-03-01])</f>
        <v>3.3125</v>
      </c>
      <c r="EX70">
        <f>SUBTOTAL(101,Table46[2025-03-02])</f>
        <v>3.3125</v>
      </c>
      <c r="EY70">
        <f>SUBTOTAL(101,Table46[2025-03-03])</f>
        <v>3.3125</v>
      </c>
      <c r="EZ70">
        <f>SUBTOTAL(101,Table46[2025-03-04])</f>
        <v>3.3125</v>
      </c>
      <c r="FA70">
        <f>SUBTOTAL(101,Table46[2025-03-05])</f>
        <v>3.3125</v>
      </c>
      <c r="FB70">
        <f>SUBTOTAL(101,Table46[2025-03-06])</f>
        <v>3.3125</v>
      </c>
      <c r="FC70">
        <f>SUBTOTAL(101,Table46[2025-03-07])</f>
        <v>3.3125</v>
      </c>
      <c r="FD70">
        <f>SUBTOTAL(101,Table46[2025-03-08])</f>
        <v>3.3125</v>
      </c>
      <c r="FE70">
        <f>SUBTOTAL(101,Table46[2025-03-09])</f>
        <v>3.3125</v>
      </c>
      <c r="FF70">
        <f>SUBTOTAL(101,Table46[2025-03-10])</f>
        <v>3.3125</v>
      </c>
      <c r="FG70">
        <f>SUBTOTAL(101,Table46[2025-03-11])</f>
        <v>3.3125</v>
      </c>
      <c r="FH70">
        <f>SUBTOTAL(101,Table46[2025-03-12])</f>
        <v>3.3125</v>
      </c>
      <c r="FI70">
        <f>SUBTOTAL(101,Table46[2025-03-13])</f>
        <v>3.3125</v>
      </c>
      <c r="FJ70">
        <f>SUBTOTAL(101,Table46[2025-03-14])</f>
        <v>3.3125</v>
      </c>
      <c r="FK70">
        <f>SUBTOTAL(101,Table46[2025-03-15])</f>
        <v>3.3125</v>
      </c>
      <c r="FL70">
        <f>SUBTOTAL(101,Table46[2025-03-16])</f>
        <v>3.3125</v>
      </c>
      <c r="FM70">
        <f>SUBTOTAL(101,Table46[2025-03-17])</f>
        <v>3.3125</v>
      </c>
      <c r="FN70">
        <f>SUBTOTAL(101,Table46[2025-03-18])</f>
        <v>3.3125</v>
      </c>
      <c r="FO70">
        <f>SUBTOTAL(101,Table46[2025-03-19])</f>
        <v>3.3125</v>
      </c>
      <c r="FP70">
        <f>SUBTOTAL(101,Table46[2025-03-20])</f>
        <v>3.3125</v>
      </c>
      <c r="FQ70">
        <f>SUBTOTAL(101,Table46[2025-03-21])</f>
        <v>3.3125</v>
      </c>
      <c r="FR70">
        <f>SUBTOTAL(101,Table46[2025-03-22])</f>
        <v>3.3125</v>
      </c>
      <c r="FS70">
        <f>SUBTOTAL(101,Table46[2025-03-23])</f>
        <v>3.3125</v>
      </c>
      <c r="FT70">
        <f>SUBTOTAL(101,Table46[2025-03-24])</f>
        <v>3.3125</v>
      </c>
      <c r="FU70">
        <f>SUBTOTAL(101,Table46[2025-03-25])</f>
        <v>3.3125</v>
      </c>
      <c r="FV70">
        <f>SUBTOTAL(101,Table46[2025-03-26])</f>
        <v>3.3125</v>
      </c>
      <c r="FW70">
        <f>SUBTOTAL(101,Table46[2025-03-27])</f>
        <v>3.3125</v>
      </c>
      <c r="FX70">
        <f>SUBTOTAL(101,Table46[2025-03-28])</f>
        <v>3.3125</v>
      </c>
      <c r="FY70">
        <f>SUBTOTAL(101,Table46[2025-03-29])</f>
        <v>3.3125</v>
      </c>
      <c r="FZ70">
        <f>SUBTOTAL(101,Table46[2025-03-30])</f>
        <v>3.3125</v>
      </c>
      <c r="GA70">
        <f>SUBTOTAL(101,Table46[2025-03-31])</f>
        <v>3.3125</v>
      </c>
      <c r="GB70">
        <f>SUBTOTAL(101,Table46[2025-04-01])</f>
        <v>3.3125</v>
      </c>
      <c r="GC70">
        <f>SUBTOTAL(101,Table46[2025-04-02])</f>
        <v>3.3125</v>
      </c>
      <c r="GD70">
        <f>SUBTOTAL(101,Table46[2025-04-03])</f>
        <v>3.3125</v>
      </c>
      <c r="GE70">
        <f>SUBTOTAL(101,Table46[2025-04-04])</f>
        <v>3.3125</v>
      </c>
      <c r="GF70">
        <f>SUBTOTAL(101,Table46[2025-04-05])</f>
        <v>3.3125</v>
      </c>
      <c r="GG70">
        <f>SUBTOTAL(101,Table46[2025-04-06])</f>
        <v>3.3125</v>
      </c>
      <c r="GH70">
        <f>SUBTOTAL(101,Table46[2025-04-07])</f>
        <v>3.3125</v>
      </c>
      <c r="GI70">
        <f>SUBTOTAL(101,Table46[2025-04-08])</f>
        <v>3.3125</v>
      </c>
      <c r="GJ70">
        <f>SUBTOTAL(101,Table46[2025-04-09])</f>
        <v>3.3125</v>
      </c>
      <c r="GK70">
        <f>SUBTOTAL(101,Table46[2025-04-10])</f>
        <v>3.3125</v>
      </c>
      <c r="GL70">
        <f>SUBTOTAL(101,Table46[2025-04-11])</f>
        <v>3.3125</v>
      </c>
      <c r="GM70">
        <f>SUBTOTAL(101,Table46[2025-04-12])</f>
        <v>3.3125</v>
      </c>
      <c r="GN70">
        <f>SUBTOTAL(101,Table46[2025-04-13])</f>
        <v>3.3125</v>
      </c>
      <c r="GO70">
        <f>SUBTOTAL(101,Table46[2025-04-14])</f>
        <v>3.3125</v>
      </c>
      <c r="GP70">
        <f>SUBTOTAL(101,Table46[2025-04-15])</f>
        <v>3.3125</v>
      </c>
      <c r="GQ70">
        <f>SUBTOTAL(101,Table46[2025-04-16])</f>
        <v>3.3125</v>
      </c>
      <c r="GR70">
        <f>SUBTOTAL(101,Table46[2025-04-17])</f>
        <v>3.3125</v>
      </c>
      <c r="GS70">
        <f>SUBTOTAL(101,Table46[2025-04-18])</f>
        <v>3.3125</v>
      </c>
      <c r="GT70">
        <f>SUBTOTAL(101,Table46[2025-04-19])</f>
        <v>3.3125</v>
      </c>
      <c r="GU70">
        <f>SUBTOTAL(101,Table46[2025-04-20])</f>
        <v>3.3125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P39" sqref="BP39:BP4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2</v>
      </c>
      <c r="BP3" s="165">
        <f>BO3+BO4</f>
        <v>2</v>
      </c>
      <c r="BQ3" s="166">
        <f>82-BP3</f>
        <v>80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0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0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65">
        <f t="shared" ref="BP5" si="1">BO5+BO6</f>
        <v>4</v>
      </c>
      <c r="BQ5" s="166">
        <f t="shared" ref="BQ5" si="2">82-BP5</f>
        <v>78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65">
        <f t="shared" ref="BP7" si="3">BO7+BO8</f>
        <v>3</v>
      </c>
      <c r="BQ7" s="166">
        <f t="shared" ref="BQ7" si="4">82-BP7</f>
        <v>79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0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0</v>
      </c>
      <c r="BP9" s="165">
        <f t="shared" ref="BP9" si="5">BO9+BO10</f>
        <v>2</v>
      </c>
      <c r="BQ9" s="166">
        <f t="shared" ref="BQ9" si="6">82-BP9</f>
        <v>80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65">
        <f t="shared" ref="BP11" si="7">BO11+BO12</f>
        <v>3</v>
      </c>
      <c r="BQ11" s="166">
        <f t="shared" ref="BQ11" si="8">82-BP11</f>
        <v>79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1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2</v>
      </c>
      <c r="BP13" s="165">
        <f t="shared" ref="BP13" si="9">BO13+BO14</f>
        <v>3</v>
      </c>
      <c r="BQ13" s="166">
        <f t="shared" ref="BQ13" si="10">82-BP13</f>
        <v>79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0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1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2</v>
      </c>
      <c r="BP15" s="165">
        <f t="shared" ref="BP15" si="11">BO15+BO16</f>
        <v>4</v>
      </c>
      <c r="BQ15" s="166">
        <f t="shared" ref="BQ15" si="12">82-BP15</f>
        <v>78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2</v>
      </c>
      <c r="BP17" s="165">
        <f t="shared" ref="BP17" si="13">BO17+BO18</f>
        <v>4</v>
      </c>
      <c r="BQ17" s="166">
        <f t="shared" ref="BQ17" si="14">82-BP17</f>
        <v>78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2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2</v>
      </c>
      <c r="BP19" s="165">
        <f t="shared" ref="BP19" si="15">BO19+BO20</f>
        <v>2</v>
      </c>
      <c r="BQ19" s="166">
        <f t="shared" ref="BQ19" si="16">82-BP19</f>
        <v>80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0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0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65">
        <f t="shared" ref="BP21" si="17">BO21+BO22</f>
        <v>3</v>
      </c>
      <c r="BQ21" s="166">
        <f t="shared" ref="BQ21" si="18">82-BP21</f>
        <v>79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2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0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0</v>
      </c>
      <c r="BP23" s="165">
        <f t="shared" ref="BP23" si="19">BO23+BO24</f>
        <v>2</v>
      </c>
      <c r="BQ23" s="166">
        <f t="shared" ref="BQ23" si="20">82-BP23</f>
        <v>80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1</v>
      </c>
      <c r="BP25" s="165">
        <f t="shared" ref="BP25" si="21">BO25+BO26</f>
        <v>4</v>
      </c>
      <c r="BQ25" s="166">
        <f t="shared" ref="BQ25" si="22">82-BP25</f>
        <v>78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65">
        <f t="shared" ref="BP27" si="23">BO27+BO28</f>
        <v>4</v>
      </c>
      <c r="BQ27" s="166">
        <f t="shared" ref="BQ27" si="24">82-BP27</f>
        <v>78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0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1</v>
      </c>
      <c r="BP29" s="165">
        <f t="shared" ref="BP29" si="25">BO29+BO30</f>
        <v>3</v>
      </c>
      <c r="BQ29" s="166">
        <f t="shared" ref="BQ29" si="26">82-BP29</f>
        <v>79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65">
        <f t="shared" ref="BP31" si="27">BO31+BO32</f>
        <v>3</v>
      </c>
      <c r="BQ31" s="166">
        <f t="shared" ref="BQ31" si="28">82-BP31</f>
        <v>79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0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0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65">
        <f t="shared" ref="BP33" si="29">BO33+BO34</f>
        <v>3</v>
      </c>
      <c r="BQ33" s="166">
        <f t="shared" ref="BQ33" si="30">82-BP33</f>
        <v>79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0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1</v>
      </c>
      <c r="BP35" s="165">
        <f t="shared" ref="BP35" si="31">BO35+BO36</f>
        <v>3</v>
      </c>
      <c r="BQ35" s="166">
        <f t="shared" ref="BQ35" si="32">82-BP35</f>
        <v>79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1</v>
      </c>
      <c r="BP37" s="165">
        <f t="shared" ref="BP37" si="33">BO37+BO38</f>
        <v>3</v>
      </c>
      <c r="BQ37" s="166">
        <f t="shared" ref="BQ37" si="34">82-BP37</f>
        <v>79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2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2</v>
      </c>
      <c r="BP39" s="165">
        <f t="shared" ref="BP39" si="35">BO39+BO40</f>
        <v>4</v>
      </c>
      <c r="BQ39" s="166">
        <f t="shared" ref="BQ39" si="36">82-BP39</f>
        <v>78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0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2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2</v>
      </c>
      <c r="BP41" s="165">
        <f t="shared" ref="BP41" si="37">BO41+BO42</f>
        <v>3</v>
      </c>
      <c r="BQ41" s="166">
        <f t="shared" ref="BQ41" si="38">82-BP41</f>
        <v>79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1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5">
        <f t="shared" ref="BP43" si="39">BO43+BO44</f>
        <v>3</v>
      </c>
      <c r="BQ43" s="166">
        <f t="shared" ref="BQ43" si="40">82-BP43</f>
        <v>79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1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0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1</v>
      </c>
      <c r="BP45" s="165">
        <f t="shared" ref="BP45" si="41">BO45+BO46</f>
        <v>3</v>
      </c>
      <c r="BQ45" s="166">
        <f t="shared" ref="BQ45" si="42">82-BP45</f>
        <v>79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0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0</v>
      </c>
      <c r="BP47" s="165">
        <f t="shared" ref="BP47" si="43">BO47+BO48</f>
        <v>2</v>
      </c>
      <c r="BQ47" s="166">
        <f t="shared" ref="BQ47" si="44">82-BP47</f>
        <v>80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65">
        <f t="shared" ref="BP49" si="45">BO49+BO50</f>
        <v>2</v>
      </c>
      <c r="BQ49" s="166">
        <f t="shared" ref="BQ49" si="46">82-BP49</f>
        <v>80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0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2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5">
        <f t="shared" ref="BP51" si="47">BO51+BO52</f>
        <v>3</v>
      </c>
      <c r="BQ51" s="166">
        <f t="shared" ref="BQ51" si="48">82-BP51</f>
        <v>79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1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0</v>
      </c>
      <c r="BO53" s="30">
        <f t="shared" si="0"/>
        <v>1</v>
      </c>
      <c r="BP53" s="165">
        <f t="shared" ref="BP53" si="49">BO53+BO54</f>
        <v>3</v>
      </c>
      <c r="BQ53" s="166">
        <f t="shared" ref="BQ53" si="50">82-BP53</f>
        <v>79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5">
        <f t="shared" ref="BP55" si="51">BO55+BO56</f>
        <v>3</v>
      </c>
      <c r="BQ55" s="166">
        <f t="shared" ref="BQ55" si="52">82-BP55</f>
        <v>79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0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2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5">
        <f t="shared" ref="BP57" si="53">BO57+BO58</f>
        <v>3</v>
      </c>
      <c r="BQ57" s="166">
        <f t="shared" ref="BQ57" si="54">82-BP57</f>
        <v>79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1</v>
      </c>
      <c r="BP59" s="165">
        <f t="shared" ref="BP59" si="55">BO59+BO60</f>
        <v>3</v>
      </c>
      <c r="BQ59" s="166">
        <f t="shared" ref="BQ59" si="56">82-BP59</f>
        <v>79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0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2</v>
      </c>
      <c r="BP61" s="165">
        <f t="shared" ref="BP61" si="57">BO61+BO62</f>
        <v>3</v>
      </c>
      <c r="BQ61" s="166">
        <f t="shared" ref="BQ61" si="58">82-BP61</f>
        <v>79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1</v>
      </c>
      <c r="BP63" s="165">
        <f t="shared" ref="BP63" si="59">BO63+BO64</f>
        <v>3</v>
      </c>
      <c r="BQ63" s="166">
        <f t="shared" ref="BQ63" si="60">82-BP63</f>
        <v>79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3</v>
      </c>
      <c r="BQ65" s="166">
        <f t="shared" ref="BQ65" si="62">82-BP65</f>
        <v>79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0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1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48</v>
      </c>
      <c r="BQ67" s="27">
        <f>SUM(BQ3:BQ66)/2</f>
        <v>1264</v>
      </c>
    </row>
    <row r="68" spans="1:69" x14ac:dyDescent="0.25">
      <c r="BP68" s="43">
        <f>2*BP67/SUM(BP3:BQ66)</f>
        <v>3.6585365853658534E-2</v>
      </c>
      <c r="BQ68" s="43">
        <f>2*BQ67/SUM(BP3:BQ66)</f>
        <v>0.96341463414634143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6" workbookViewId="0">
      <selection activeCell="BR17" sqref="BR17:BR1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5">
        <f>BO3+BO4</f>
        <v>2</v>
      </c>
      <c r="BQ3" s="166">
        <f>82-BP3</f>
        <v>80</v>
      </c>
      <c r="BR3" s="173">
        <f t="shared" ref="BR3" si="0">BP3/(BP3+BQ3)</f>
        <v>2.4390243902439025E-2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2</v>
      </c>
      <c r="BP5" s="165">
        <f t="shared" ref="BP5" si="2">BO5+BO6</f>
        <v>3</v>
      </c>
      <c r="BQ5" s="166">
        <f t="shared" ref="BQ5" si="3">82-BP5</f>
        <v>79</v>
      </c>
      <c r="BR5" s="173">
        <f t="shared" ref="BR5" si="4">BP5/(BP5+BQ5)</f>
        <v>3.6585365853658534E-2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1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0</v>
      </c>
      <c r="BP7" s="165">
        <f t="shared" ref="BP7" si="5">BO7+BO8</f>
        <v>2</v>
      </c>
      <c r="BQ7" s="166">
        <f t="shared" ref="BQ7" si="6">82-BP7</f>
        <v>80</v>
      </c>
      <c r="BR7" s="173">
        <f t="shared" ref="BR7" si="7">BP7/(BP7+BQ7)</f>
        <v>2.4390243902439025E-2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65">
        <f t="shared" ref="BP9" si="8">BO9+BO10</f>
        <v>4</v>
      </c>
      <c r="BQ9" s="166">
        <f t="shared" ref="BQ9" si="9">82-BP9</f>
        <v>78</v>
      </c>
      <c r="BR9" s="173">
        <f t="shared" ref="BR9" si="10">BP9/(BP9+BQ9)</f>
        <v>4.878048780487805E-2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0</v>
      </c>
      <c r="BP11" s="165">
        <f t="shared" ref="BP11" si="11">BO11+BO12</f>
        <v>2</v>
      </c>
      <c r="BQ11" s="166">
        <f t="shared" ref="BQ11" si="12">82-BP11</f>
        <v>80</v>
      </c>
      <c r="BR11" s="173">
        <f t="shared" ref="BR11" si="13">BP11/(BP11+BQ11)</f>
        <v>2.4390243902439025E-2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65">
        <f t="shared" ref="BP13" si="14">BO13+BO14</f>
        <v>2</v>
      </c>
      <c r="BQ13" s="166">
        <f t="shared" ref="BQ13" si="15">82-BP13</f>
        <v>80</v>
      </c>
      <c r="BR13" s="173">
        <f t="shared" ref="BR13" si="16">BP13/(BP13+BQ13)</f>
        <v>2.4390243902439025E-2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2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1</v>
      </c>
      <c r="BP15" s="165">
        <f t="shared" ref="BP15" si="17">BO15+BO16</f>
        <v>3</v>
      </c>
      <c r="BQ15" s="166">
        <f t="shared" ref="BQ15" si="18">82-BP15</f>
        <v>79</v>
      </c>
      <c r="BR15" s="173">
        <f t="shared" ref="BR15" si="19">BP15/(BP15+BQ15)</f>
        <v>3.6585365853658534E-2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2</v>
      </c>
      <c r="BP17" s="165">
        <f t="shared" ref="BP17" si="20">BO17+BO18</f>
        <v>3</v>
      </c>
      <c r="BQ17" s="166">
        <f t="shared" ref="BQ17" si="21">82-BP17</f>
        <v>79</v>
      </c>
      <c r="BR17" s="173">
        <f t="shared" ref="BR17" si="22">BP17/(BP17+BQ17)</f>
        <v>3.6585365853658534E-2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2</v>
      </c>
      <c r="BP19" s="165">
        <f t="shared" ref="BP19" si="23">BO19+BO20</f>
        <v>4</v>
      </c>
      <c r="BQ19" s="166">
        <f t="shared" ref="BQ19" si="24">82-BP19</f>
        <v>78</v>
      </c>
      <c r="BR19" s="173">
        <f t="shared" ref="BR19" si="25">BP19/(BP19+BQ19)</f>
        <v>4.878048780487805E-2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2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2</v>
      </c>
      <c r="BP21" s="165">
        <f t="shared" ref="BP21" si="26">BO21+BO22</f>
        <v>4</v>
      </c>
      <c r="BQ21" s="166">
        <f t="shared" ref="BQ21" si="27">82-BP21</f>
        <v>78</v>
      </c>
      <c r="BR21" s="173">
        <f t="shared" ref="BR21" si="28">BP21/(BP21+BQ21)</f>
        <v>4.878048780487805E-2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2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2</v>
      </c>
      <c r="BP23" s="165">
        <f t="shared" ref="BP23" si="29">BO23+BO24</f>
        <v>2</v>
      </c>
      <c r="BQ23" s="166">
        <f t="shared" ref="BQ23" si="30">82-BP23</f>
        <v>80</v>
      </c>
      <c r="BR23" s="173">
        <f t="shared" ref="BR23" si="31">BP23/(BP23+BQ23)</f>
        <v>2.4390243902439025E-2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0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1</v>
      </c>
      <c r="BP25" s="165">
        <f t="shared" ref="BP25" si="32">BO25+BO26</f>
        <v>3</v>
      </c>
      <c r="BQ25" s="166">
        <f t="shared" ref="BQ25" si="33">82-BP25</f>
        <v>79</v>
      </c>
      <c r="BR25" s="173">
        <f t="shared" ref="BR25" si="34">BP25/(BP25+BQ25)</f>
        <v>3.6585365853658534E-2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1"/>
        <v>1</v>
      </c>
      <c r="BP27" s="165">
        <f t="shared" ref="BP27" si="35">BO27+BO28</f>
        <v>3</v>
      </c>
      <c r="BQ27" s="166">
        <f t="shared" ref="BQ27" si="36">82-BP27</f>
        <v>79</v>
      </c>
      <c r="BR27" s="173">
        <f t="shared" ref="BR27" si="37">BP27/(BP27+BQ27)</f>
        <v>3.6585365853658534E-2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5">
        <f t="shared" ref="BP29" si="38">BO29+BO30</f>
        <v>3</v>
      </c>
      <c r="BQ29" s="166">
        <f t="shared" ref="BQ29" si="39">82-BP29</f>
        <v>79</v>
      </c>
      <c r="BR29" s="173">
        <f t="shared" ref="BR29" si="40">BP29/(BP29+BQ29)</f>
        <v>3.6585365853658534E-2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1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5">
        <f t="shared" ref="BP31" si="41">BO31+BO32</f>
        <v>3</v>
      </c>
      <c r="BQ31" s="166">
        <f t="shared" ref="BQ31" si="42">82-BP31</f>
        <v>79</v>
      </c>
      <c r="BR31" s="173">
        <f t="shared" ref="BR31" si="43">BP31/(BP31+BQ31)</f>
        <v>3.6585365853658534E-2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1</v>
      </c>
      <c r="BP33" s="165">
        <f t="shared" ref="BP33" si="44">BO33+BO34</f>
        <v>3</v>
      </c>
      <c r="BQ33" s="166">
        <f t="shared" ref="BQ33" si="45">82-BP33</f>
        <v>79</v>
      </c>
      <c r="BR33" s="173">
        <f t="shared" ref="BR33" si="46">BP33/(BP33+BQ33)</f>
        <v>3.6585365853658534E-2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2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0</v>
      </c>
      <c r="BP35" s="165">
        <f t="shared" ref="BP35" si="47">BO35+BO36</f>
        <v>2</v>
      </c>
      <c r="BQ35" s="166">
        <f t="shared" ref="BQ35" si="48">82-BP35</f>
        <v>80</v>
      </c>
      <c r="BR35" s="173">
        <f t="shared" ref="BR35" si="49">BP35/(BP35+BQ35)</f>
        <v>2.4390243902439025E-2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65">
        <f t="shared" ref="BP37" si="50">BO37+BO38</f>
        <v>3</v>
      </c>
      <c r="BQ37" s="166">
        <f t="shared" ref="BQ37" si="51">82-BP37</f>
        <v>79</v>
      </c>
      <c r="BR37" s="173">
        <f t="shared" ref="BR37" si="52">BP37/(BP37+BQ37)</f>
        <v>3.6585365853658534E-2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1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65">
        <f t="shared" ref="BP39" si="53">BO39+BO40</f>
        <v>3</v>
      </c>
      <c r="BQ39" s="166">
        <f t="shared" ref="BQ39" si="54">82-BP39</f>
        <v>79</v>
      </c>
      <c r="BR39" s="173">
        <f t="shared" ref="BR39" si="55">BP39/(BP39+BQ39)</f>
        <v>3.6585365853658534E-2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1</v>
      </c>
      <c r="BP41" s="165">
        <f t="shared" ref="BP41" si="56">BO41+BO42</f>
        <v>3</v>
      </c>
      <c r="BQ41" s="166">
        <f t="shared" ref="BQ41" si="57">82-BP41</f>
        <v>79</v>
      </c>
      <c r="BR41" s="173">
        <f t="shared" ref="BR41" si="58">BP41/(BP41+BQ41)</f>
        <v>3.6585365853658534E-2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2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2</v>
      </c>
      <c r="BP43" s="165">
        <f t="shared" ref="BP43" si="59">BO43+BO44</f>
        <v>4</v>
      </c>
      <c r="BQ43" s="166">
        <f t="shared" ref="BQ43" si="60">82-BP43</f>
        <v>78</v>
      </c>
      <c r="BR43" s="173">
        <f t="shared" ref="BR43" si="61">BP43/(BP43+BQ43)</f>
        <v>4.878048780487805E-2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2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5">
        <f t="shared" ref="BP45" si="62">BO45+BO46</f>
        <v>3</v>
      </c>
      <c r="BQ45" s="166">
        <f t="shared" ref="BQ45" si="63">82-BP45</f>
        <v>79</v>
      </c>
      <c r="BR45" s="173">
        <f t="shared" ref="BR45" si="64">BP45/(BP45+BQ45)</f>
        <v>3.6585365853658534E-2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1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1</v>
      </c>
      <c r="BP47" s="165">
        <f t="shared" ref="BP47" si="65">BO47+BO48</f>
        <v>3</v>
      </c>
      <c r="BQ47" s="166">
        <f t="shared" ref="BQ47" si="66">82-BP47</f>
        <v>79</v>
      </c>
      <c r="BR47" s="173">
        <f t="shared" ref="BR47" si="67">BP47/(BP47+BQ47)</f>
        <v>3.6585365853658534E-2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5">
        <f t="shared" ref="BP49" si="68">BO49+BO50</f>
        <v>3</v>
      </c>
      <c r="BQ49" s="166">
        <f t="shared" ref="BQ49" si="69">82-BP49</f>
        <v>79</v>
      </c>
      <c r="BR49" s="173">
        <f t="shared" ref="BR49" si="70">BP49/(BP49+BQ49)</f>
        <v>3.6585365853658534E-2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1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65">
        <f t="shared" ref="BP51" si="71">BO51+BO52</f>
        <v>4</v>
      </c>
      <c r="BQ51" s="166">
        <f t="shared" ref="BQ51" si="72">82-BP51</f>
        <v>78</v>
      </c>
      <c r="BR51" s="173">
        <f t="shared" ref="BR51" si="73">BP51/(BP51+BQ51)</f>
        <v>4.878048780487805E-2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65">
        <f t="shared" ref="BP53" si="74">BO53+BO54</f>
        <v>3</v>
      </c>
      <c r="BQ53" s="166">
        <f t="shared" ref="BQ53" si="75">82-BP53</f>
        <v>79</v>
      </c>
      <c r="BR53" s="173">
        <f t="shared" ref="BR53" si="76">BP53/(BP53+BQ53)</f>
        <v>3.6585365853658534E-2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2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65">
        <f t="shared" ref="BP55" si="77">BO55+BO56</f>
        <v>3</v>
      </c>
      <c r="BQ55" s="166">
        <f t="shared" ref="BQ55" si="78">82-BP55</f>
        <v>79</v>
      </c>
      <c r="BR55" s="173">
        <f t="shared" ref="BR55" si="79">BP55/(BP55+BQ55)</f>
        <v>3.6585365853658534E-2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2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1</v>
      </c>
      <c r="BP57" s="165">
        <f t="shared" ref="BP57" si="80">BO57+BO58</f>
        <v>4</v>
      </c>
      <c r="BQ57" s="166">
        <f t="shared" ref="BQ57" si="81">82-BP57</f>
        <v>78</v>
      </c>
      <c r="BR57" s="173">
        <f t="shared" ref="BR57" si="82">BP57/(BP57+BQ57)</f>
        <v>4.878048780487805E-2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65">
        <f t="shared" ref="BP59" si="83">BO59+BO60</f>
        <v>3</v>
      </c>
      <c r="BQ59" s="166">
        <f t="shared" ref="BQ59" si="84">82-BP59</f>
        <v>79</v>
      </c>
      <c r="BR59" s="173">
        <f t="shared" ref="BR59" si="85">BP59/(BP59+BQ59)</f>
        <v>3.6585365853658534E-2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0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2</v>
      </c>
      <c r="BP61" s="165">
        <f t="shared" ref="BP61" si="86">BO61+BO62</f>
        <v>3</v>
      </c>
      <c r="BQ61" s="166">
        <f t="shared" ref="BQ61" si="87">82-BP61</f>
        <v>79</v>
      </c>
      <c r="BR61" s="173">
        <f t="shared" ref="BR61" si="88">BP61/(BP61+BQ61)</f>
        <v>3.6585365853658534E-2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1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1</v>
      </c>
      <c r="BP63" s="165">
        <f t="shared" ref="BP63" si="89">BO63+BO64</f>
        <v>3</v>
      </c>
      <c r="BQ63" s="166">
        <f t="shared" ref="BQ63" si="90">82-BP63</f>
        <v>79</v>
      </c>
      <c r="BR63" s="173">
        <f t="shared" ref="BR63" si="91">BP63/(BP63+BQ63)</f>
        <v>3.6585365853658534E-2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5">
        <f t="shared" ref="BP65" si="92">BO65+BO66</f>
        <v>3</v>
      </c>
      <c r="BQ65" s="166">
        <f t="shared" ref="BQ65" si="93">82-BP65</f>
        <v>79</v>
      </c>
      <c r="BR65" s="173">
        <f>BP65/(BP65+BQ65)</f>
        <v>3.6585365853658534E-2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2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48</v>
      </c>
      <c r="BQ67" s="27">
        <f>SUM(BQ3:BQ66)/2</f>
        <v>1264</v>
      </c>
    </row>
    <row r="68" spans="1:70" x14ac:dyDescent="0.25">
      <c r="BP68" s="43">
        <f>2*BP67/SUM(BP3:BQ66)</f>
        <v>3.6585365853658534E-2</v>
      </c>
      <c r="BQ68" s="43">
        <f>2*BQ67/SUM(BP3:BQ66)</f>
        <v>0.96341463414634143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Z29" sqref="AZ2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1</v>
      </c>
      <c r="BP3" s="165">
        <f>BO3+BO4</f>
        <v>1</v>
      </c>
      <c r="BQ3" s="166">
        <f>82-BP3</f>
        <v>81</v>
      </c>
      <c r="BR3" s="173">
        <f t="shared" ref="BR3:BR67" si="0">BP3/(BP3+BQ3)</f>
        <v>1.2195121951219513E-2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0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0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65">
        <f t="shared" ref="BP5" si="2">BO5+BO6</f>
        <v>2</v>
      </c>
      <c r="BQ5" s="166">
        <f t="shared" ref="BQ5" si="3">82-BP5</f>
        <v>80</v>
      </c>
      <c r="BR5" s="173">
        <f t="shared" si="0"/>
        <v>2.4390243902439025E-2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65">
        <f t="shared" ref="BP7" si="4">BO7+BO8</f>
        <v>1</v>
      </c>
      <c r="BQ7" s="166">
        <f t="shared" ref="BQ7" si="5">82-BP7</f>
        <v>81</v>
      </c>
      <c r="BR7" s="173">
        <f t="shared" si="0"/>
        <v>1.2195121951219513E-2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1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0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0</v>
      </c>
      <c r="BP9" s="165">
        <f t="shared" ref="BP9" si="6">BO9+BO10</f>
        <v>1</v>
      </c>
      <c r="BQ9" s="166">
        <f t="shared" ref="BQ9" si="7">82-BP9</f>
        <v>81</v>
      </c>
      <c r="BR9" s="173">
        <f t="shared" si="0"/>
        <v>1.2195121951219513E-2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5">
        <f t="shared" ref="BP11" si="8">BO11+BO12</f>
        <v>0</v>
      </c>
      <c r="BQ11" s="166">
        <f t="shared" ref="BQ11" si="9">82-BP11</f>
        <v>82</v>
      </c>
      <c r="BR11" s="173">
        <f t="shared" si="0"/>
        <v>0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2</v>
      </c>
      <c r="BP13" s="165">
        <f t="shared" ref="BP13" si="10">BO13+BO14</f>
        <v>3</v>
      </c>
      <c r="BQ13" s="166">
        <f t="shared" ref="BQ13" si="11">82-BP13</f>
        <v>79</v>
      </c>
      <c r="BR13" s="173">
        <f t="shared" si="0"/>
        <v>3.6585365853658534E-2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0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1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2</v>
      </c>
      <c r="BP15" s="165">
        <f t="shared" ref="BP15" si="12">BO15+BO16</f>
        <v>4</v>
      </c>
      <c r="BQ15" s="166">
        <f t="shared" ref="BQ15" si="13">82-BP15</f>
        <v>78</v>
      </c>
      <c r="BR15" s="173">
        <f t="shared" si="0"/>
        <v>4.878048780487805E-2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2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65">
        <f t="shared" ref="BP17" si="14">BO17+BO18</f>
        <v>4</v>
      </c>
      <c r="BQ17" s="166">
        <f t="shared" ref="BQ17" si="15">82-BP17</f>
        <v>78</v>
      </c>
      <c r="BR17" s="173">
        <f t="shared" si="0"/>
        <v>4.878048780487805E-2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2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1</v>
      </c>
      <c r="BP19" s="165">
        <f t="shared" ref="BP19" si="16">BO19+BO20</f>
        <v>1</v>
      </c>
      <c r="BQ19" s="166">
        <f t="shared" ref="BQ19" si="17">82-BP19</f>
        <v>81</v>
      </c>
      <c r="BR19" s="173">
        <f t="shared" si="0"/>
        <v>1.2195121951219513E-2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65">
        <f t="shared" ref="BP21" si="18">BO21+BO22</f>
        <v>3</v>
      </c>
      <c r="BQ21" s="166">
        <f t="shared" ref="BQ21" si="19">82-BP21</f>
        <v>79</v>
      </c>
      <c r="BR21" s="173">
        <f t="shared" si="0"/>
        <v>3.6585365853658534E-2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2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0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0</v>
      </c>
      <c r="BP23" s="165">
        <f t="shared" ref="BP23" si="20">BO23+BO24</f>
        <v>2</v>
      </c>
      <c r="BQ23" s="166">
        <f t="shared" ref="BQ23" si="21">82-BP23</f>
        <v>80</v>
      </c>
      <c r="BR23" s="173">
        <f t="shared" si="0"/>
        <v>2.4390243902439025E-2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1</v>
      </c>
      <c r="BP25" s="165">
        <f t="shared" ref="BP25" si="22">BO25+BO26</f>
        <v>3</v>
      </c>
      <c r="BQ25" s="166">
        <f t="shared" ref="BQ25" si="23">82-BP25</f>
        <v>79</v>
      </c>
      <c r="BR25" s="173">
        <f t="shared" si="0"/>
        <v>3.6585365853658534E-2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5">
        <f t="shared" ref="BP27" si="24">BO27+BO28</f>
        <v>2</v>
      </c>
      <c r="BQ27" s="166">
        <f t="shared" ref="BQ27" si="25">82-BP27</f>
        <v>80</v>
      </c>
      <c r="BR27" s="173">
        <f t="shared" si="0"/>
        <v>2.4390243902439025E-2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1</v>
      </c>
      <c r="BP29" s="165">
        <f t="shared" ref="BP29" si="26">BO29+BO30</f>
        <v>1</v>
      </c>
      <c r="BQ29" s="166">
        <f t="shared" ref="BQ29" si="27">82-BP29</f>
        <v>81</v>
      </c>
      <c r="BR29" s="173">
        <f t="shared" si="0"/>
        <v>1.2195121951219513E-2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65">
        <f t="shared" ref="BP31" si="28">BO31+BO32</f>
        <v>3</v>
      </c>
      <c r="BQ31" s="166">
        <f t="shared" ref="BQ31" si="29">82-BP31</f>
        <v>79</v>
      </c>
      <c r="BR31" s="173">
        <f t="shared" si="0"/>
        <v>3.6585365853658534E-2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0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0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65">
        <f t="shared" ref="BP33" si="30">BO33+BO34</f>
        <v>0</v>
      </c>
      <c r="BQ33" s="166">
        <f t="shared" ref="BQ33" si="31">82-BP33</f>
        <v>82</v>
      </c>
      <c r="BR33" s="173">
        <f t="shared" si="0"/>
        <v>0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0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0</v>
      </c>
      <c r="BP35" s="165">
        <f t="shared" ref="BP35" si="32">BO35+BO36</f>
        <v>1</v>
      </c>
      <c r="BQ35" s="166">
        <f t="shared" ref="BQ35" si="33">82-BP35</f>
        <v>81</v>
      </c>
      <c r="BR35" s="173">
        <f t="shared" si="0"/>
        <v>1.2195121951219513E-2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65">
        <f t="shared" ref="BP37" si="34">BO37+BO38</f>
        <v>0</v>
      </c>
      <c r="BQ37" s="166">
        <f t="shared" ref="BQ37" si="35">82-BP37</f>
        <v>82</v>
      </c>
      <c r="BR37" s="173">
        <f t="shared" si="0"/>
        <v>0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65">
        <f t="shared" ref="BP39" si="36">BO39+BO40</f>
        <v>2</v>
      </c>
      <c r="BQ39" s="166">
        <f t="shared" ref="BQ39" si="37">82-BP39</f>
        <v>80</v>
      </c>
      <c r="BR39" s="173">
        <f t="shared" si="0"/>
        <v>2.4390243902439025E-2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0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2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2</v>
      </c>
      <c r="BP41" s="165">
        <f t="shared" ref="BP41" si="38">BO41+BO42</f>
        <v>2</v>
      </c>
      <c r="BQ41" s="166">
        <f t="shared" ref="BQ41" si="39">82-BP41</f>
        <v>80</v>
      </c>
      <c r="BR41" s="173">
        <f t="shared" si="0"/>
        <v>2.4390243902439025E-2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5">
        <f t="shared" ref="BP43" si="40">BO43+BO44</f>
        <v>2</v>
      </c>
      <c r="BQ43" s="166">
        <f t="shared" ref="BQ43" si="41">82-BP43</f>
        <v>80</v>
      </c>
      <c r="BR43" s="173">
        <f t="shared" si="0"/>
        <v>2.4390243902439025E-2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1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0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1</v>
      </c>
      <c r="BP45" s="165">
        <f t="shared" ref="BP45" si="42">BO45+BO46</f>
        <v>1</v>
      </c>
      <c r="BQ45" s="166">
        <f t="shared" ref="BQ45" si="43">82-BP45</f>
        <v>81</v>
      </c>
      <c r="BR45" s="173">
        <f t="shared" si="0"/>
        <v>1.2195121951219513E-2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0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0</v>
      </c>
      <c r="BP47" s="165">
        <f t="shared" ref="BP47" si="44">BO47+BO48</f>
        <v>1</v>
      </c>
      <c r="BQ47" s="166">
        <f t="shared" ref="BQ47" si="45">82-BP47</f>
        <v>81</v>
      </c>
      <c r="BR47" s="173">
        <f t="shared" si="0"/>
        <v>1.2195121951219513E-2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65">
        <f t="shared" ref="BP49" si="46">BO49+BO50</f>
        <v>0</v>
      </c>
      <c r="BQ49" s="166">
        <f t="shared" ref="BQ49" si="47">82-BP49</f>
        <v>82</v>
      </c>
      <c r="BR49" s="173">
        <f t="shared" si="0"/>
        <v>0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0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0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5">
        <f t="shared" ref="BP51" si="48">BO51+BO52</f>
        <v>3</v>
      </c>
      <c r="BQ51" s="166">
        <f t="shared" ref="BQ51" si="49">82-BP51</f>
        <v>79</v>
      </c>
      <c r="BR51" s="173">
        <f t="shared" si="0"/>
        <v>3.6585365853658534E-2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1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0</v>
      </c>
      <c r="BO53" s="30">
        <f t="shared" si="1"/>
        <v>1</v>
      </c>
      <c r="BP53" s="165">
        <f t="shared" ref="BP53" si="50">BO53+BO54</f>
        <v>2</v>
      </c>
      <c r="BQ53" s="166">
        <f t="shared" ref="BQ53" si="51">82-BP53</f>
        <v>80</v>
      </c>
      <c r="BR53" s="173">
        <f t="shared" si="0"/>
        <v>2.4390243902439025E-2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5">
        <f t="shared" ref="BP55" si="52">BO55+BO56</f>
        <v>3</v>
      </c>
      <c r="BQ55" s="166">
        <f t="shared" ref="BQ55" si="53">82-BP55</f>
        <v>79</v>
      </c>
      <c r="BR55" s="173">
        <f t="shared" si="0"/>
        <v>3.6585365853658534E-2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0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2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5">
        <f t="shared" ref="BP57" si="54">BO57+BO58</f>
        <v>3</v>
      </c>
      <c r="BQ57" s="166">
        <f t="shared" ref="BQ57" si="55">82-BP57</f>
        <v>79</v>
      </c>
      <c r="BR57" s="173">
        <f t="shared" si="0"/>
        <v>3.6585365853658534E-2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1</v>
      </c>
      <c r="BP59" s="165">
        <f t="shared" ref="BP59" si="56">BO59+BO60</f>
        <v>3</v>
      </c>
      <c r="BQ59" s="166">
        <f t="shared" ref="BQ59" si="57">82-BP59</f>
        <v>79</v>
      </c>
      <c r="BR59" s="173">
        <f t="shared" si="0"/>
        <v>3.6585365853658534E-2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0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0</v>
      </c>
      <c r="BP61" s="165">
        <f t="shared" ref="BP61" si="58">BO61+BO62</f>
        <v>0</v>
      </c>
      <c r="BQ61" s="166">
        <f t="shared" ref="BQ61" si="59">82-BP61</f>
        <v>82</v>
      </c>
      <c r="BR61" s="173">
        <f t="shared" si="0"/>
        <v>0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65">
        <f t="shared" ref="BP63" si="60">BO63+BO64</f>
        <v>1</v>
      </c>
      <c r="BQ63" s="166">
        <f t="shared" ref="BQ63" si="61">82-BP63</f>
        <v>81</v>
      </c>
      <c r="BR63" s="173">
        <f t="shared" si="0"/>
        <v>1.2195121951219513E-2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1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5">
        <f t="shared" ref="BP65" si="62">BO65+BO66</f>
        <v>1</v>
      </c>
      <c r="BQ65" s="166">
        <f t="shared" ref="BQ65" si="63">82-BP65</f>
        <v>81</v>
      </c>
      <c r="BR65" s="173">
        <f t="shared" si="0"/>
        <v>1.2195121951219513E-2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0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0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28</v>
      </c>
      <c r="BQ67" s="26">
        <f>SUM(BQ3:BQ66)/2</f>
        <v>1284</v>
      </c>
      <c r="BR67" s="135">
        <f t="shared" si="0"/>
        <v>2.1341463414634148E-2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S24" sqref="AS24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41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0.5</v>
      </c>
      <c r="F2">
        <f>COUNTIFS(DataRegularSeason20242025!$N$3:$N$1315,1,DataRegularSeason20242025!$D$3:$D$1315,$A2)</f>
        <v>0</v>
      </c>
      <c r="G2">
        <f>41-Table3[[#This Row],[GP_A]]</f>
        <v>41</v>
      </c>
      <c r="H2">
        <f>COUNTIFS(DataRegularSeason20242025!$E$3:$E$1315,$A2,DataRegularSeason20242025!$N$3:$N$1315,1)</f>
        <v>2</v>
      </c>
      <c r="I2">
        <f>41-Table3[[#This Row],[GP_H]]</f>
        <v>39</v>
      </c>
      <c r="J2">
        <f t="shared" ref="J2:J33" si="0">F2+H2</f>
        <v>2</v>
      </c>
      <c r="K2">
        <f>82-Table3[[#This Row],[GP]]</f>
        <v>80</v>
      </c>
      <c r="L2">
        <f>COUNTIFS(DataRegularSeason20242025!$D$3:$D$1315,$A2, DataRegularSeason20242025!$L$3:$L$1315, $A2,DataRegularSeason20242025!$N$3:$N$1315,1)</f>
        <v>0</v>
      </c>
      <c r="M2">
        <f>COUNTIFS(DataRegularSeason20242025!$D$3:$D$1315,$A2, DataRegularSeason20242025!$L$3:$L$1315, $A2,DataRegularSeason20242025!$N$3:$N$1315,1,DataRegularSeason20242025!$M$3:$M$1315,"REG")</f>
        <v>0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2</v>
      </c>
      <c r="AD2">
        <f>Table3[[#This Row],[L_A]]+Table3[[#This Row],[L_H]]</f>
        <v>0</v>
      </c>
      <c r="AE2">
        <f>Table3[[#This Row],[RW_A]]+Table3[[#This Row],[RW_H]]</f>
        <v>1</v>
      </c>
      <c r="AF2">
        <f>Table3[[#This Row],[RL_A]]+Table3[[#This Row],[RL_H]]</f>
        <v>0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0.5</v>
      </c>
      <c r="AO2">
        <f>(2*(Table3[[#This Row],[W_A]]+Table3[[#This Row],[W_H]]))+Table3[[#This Row],[OTL_A]]+Table3[[#This Row],[SOL_A]]+Table3[[#This Row],[OTL_H]]+Table3[[#This Row],[SOL_H]]</f>
        <v>4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" s="10">
        <f>Table3[[#This Row],[PTS]]/(2*Table3[[#This Row],[GP]])</f>
        <v>1</v>
      </c>
      <c r="AR2" s="10">
        <f>Table3[[#This Row],[PTS2]]/(3*Table3[[#This Row],[GP]])</f>
        <v>0.83333333333333337</v>
      </c>
      <c r="AS2">
        <f>(2*Table3[[#This Row],[GR]])+Table3[[#This Row],[PTS]]</f>
        <v>164</v>
      </c>
      <c r="AT2">
        <f>(3*Table3[[#This Row],[GR]])+Table3[[#This Row],[PTS2]]</f>
        <v>245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205</v>
      </c>
      <c r="AW2" s="15" t="str">
        <f>_xlfn.CONCAT(TEXT(Table3[[#This Row],[W]], "0"), "-", TEXT(Table3[[#This Row],[RL]],"0"), "-", TEXT(Table3[[#This Row],[OTL]]+Table3[[#This Row],[SOL]], "0"))</f>
        <v>2-0-0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0</v>
      </c>
      <c r="AZ2">
        <f>SUMIF(DataRegularSeason20242025!$D$3:$D$1315,$A2, DataRegularSeason20242025!$K$3:$K$1315)</f>
        <v>0</v>
      </c>
      <c r="BA2">
        <f t="shared" ref="BA2:BA33" si="3">AY2-AZ2</f>
        <v>0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6</v>
      </c>
      <c r="BE2">
        <f t="shared" ref="BE2:BE33" si="4">BC2-BD2</f>
        <v>4</v>
      </c>
      <c r="BF2">
        <f t="shared" ref="BF2:BF33" si="5">AY2+BC2</f>
        <v>10</v>
      </c>
      <c r="BG2">
        <f t="shared" ref="BG2:BG33" si="6">AZ2+BD2</f>
        <v>6</v>
      </c>
      <c r="BH2">
        <f t="shared" ref="BH2:BH33" si="7">BF2-BG2</f>
        <v>4</v>
      </c>
      <c r="BI2" s="12">
        <f>Table3[[#This Row],[GF]]/Table3[[#This Row],[GP]]</f>
        <v>5</v>
      </c>
      <c r="BJ2" s="12">
        <f>Table3[[#This Row],[GA]]/Table3[[#This Row],[GP]]</f>
        <v>3</v>
      </c>
      <c r="BK2" s="12">
        <f>(Table3[[#This Row],[GF]]-Table3[[#This Row],[GA]])/Table3[[#This Row],[GP]]</f>
        <v>2</v>
      </c>
      <c r="BL2" s="42" t="str">
        <f>_xlfn.CONCAT(TEXT(Table3[[#This Row],[W_H]], "0"), "-", TEXT(Table3[[#This Row],[RL_H]],"0"), "-", TEXT(Table3[[#This Row],[OTL_H]]+Table3[[#This Row],[SOL_H]], "0"))</f>
        <v>2-0-0</v>
      </c>
      <c r="BM2" s="42" t="str">
        <f>_xlfn.CONCAT(TEXT(Table3[[#This Row],[W_A]], "0"), "-", TEXT(Table3[[#This Row],[RL_A]],"0"), "-", TEXT(Table3[[#This Row],[OTL_A]]+Table3[[#This Row],[SOL_A]], "0"))</f>
        <v>0-0-0</v>
      </c>
      <c r="BN2" s="42">
        <f>((2*(Table3[[#This Row],[W_H]]))+Table3[[#This Row],[OTL_H]]+Table3[[#This Row],[SOL_H]])/(2*Table3[[#This Row],[GP_H]])</f>
        <v>1</v>
      </c>
      <c r="BO2" s="42" t="e">
        <f>((2*(Table3[[#This Row],[W_A]]))+Table3[[#This Row],[OTL_A]]+Table3[[#This Row],[SOL_A]])/(2*Table3[[#This Row],[GP_A]])</f>
        <v>#DIV/0!</v>
      </c>
      <c r="BP2" s="16">
        <f>(Table3[[#This Row],[W]]*$CX$3)+(Table3[[#This Row],[L]]*$CX$4)+(Table3[[#This Row],[GF]]*$CX$5)+(Table3[[#This Row],[GA]]*$CX$6)</f>
        <v>3.1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109.7</v>
      </c>
      <c r="BR2" s="16">
        <f>(Table3[[#This Row],[W]]*0.7) + ((Table3[[#This Row],[GF]] - Table3[[#This Row],[GA]])*0.25)+(Table3[[#This Row],[GF]]*0.1)+(Table3[[#This Row],[GA]]*0.05)+(Table3[[#This Row],[L]]*0.3)</f>
        <v>3.7</v>
      </c>
      <c r="BS2" s="16">
        <f>Table3[[#This Row],[TeamCost83]]/Table3[[#This Row],[GP]]</f>
        <v>1.85</v>
      </c>
      <c r="BT2">
        <f>COUNTIFS(Table2[AwayTeam],$A2,Table2[PredictedWinner], $A2, Table2[GameIsOver], 1)</f>
        <v>0</v>
      </c>
      <c r="BU2">
        <f>COUNTIFS(Table2[HomeTeam],$A2,Table2[PredictedWinner], $A2, Table2[GameIsOver], 1)</f>
        <v>2</v>
      </c>
      <c r="BV2">
        <f t="shared" ref="BV2:BV33" si="8">BT2+BU2</f>
        <v>2</v>
      </c>
      <c r="BW2">
        <f t="shared" ref="BW2:BW33" si="9">F2-BT2</f>
        <v>0</v>
      </c>
      <c r="BX2">
        <f t="shared" ref="BX2:BX33" si="10">H2-BU2</f>
        <v>0</v>
      </c>
      <c r="BY2">
        <f t="shared" ref="BY2:BY33" si="11">BW2+BX2</f>
        <v>0</v>
      </c>
      <c r="BZ2">
        <f>Table3[[#This Row],[TimesPredictedWinner]]/Table3[[#This Row],[GP]]</f>
        <v>1</v>
      </c>
      <c r="CB2">
        <v>2006</v>
      </c>
      <c r="CD2" s="1">
        <v>45749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</v>
      </c>
      <c r="CJ2">
        <f>SUMIFS(Table2[GamePredictionScore], Table2[HomeTeam], Table3[[#This Row],[Teams]])</f>
        <v>1.6</v>
      </c>
      <c r="CK2">
        <f>Table3[[#This Row],[Column4]]+Table3[[#This Row],[Column3]]</f>
        <v>1.6</v>
      </c>
      <c r="CL2">
        <f>Table3[[#This Row],[Column5]]/Table3[[#This Row],[GP]]</f>
        <v>0.8</v>
      </c>
      <c r="CR2" t="s">
        <v>139</v>
      </c>
      <c r="CS2">
        <f>SUM($J$2:$J$33)/2</f>
        <v>48</v>
      </c>
      <c r="CW2" t="s">
        <v>57</v>
      </c>
      <c r="CX2" s="14" t="s">
        <v>150</v>
      </c>
      <c r="CY2">
        <f>INDEX($J$2:$J$33,MATCH("CGY",$A$2:$A$33,0),1)</f>
        <v>3</v>
      </c>
    </row>
    <row r="3" spans="1:144" x14ac:dyDescent="0.25">
      <c r="A3" t="s">
        <v>11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1</v>
      </c>
      <c r="E3" s="10">
        <f>Table3[[#This Row],[Watched]]/Table3[[#This Row],[GP]]</f>
        <v>0.5</v>
      </c>
      <c r="F3">
        <f>COUNTIFS(DataRegularSeason20242025!$N$3:$N$1315,1,DataRegularSeason20242025!$D$3:$D$1315,$A3)</f>
        <v>0</v>
      </c>
      <c r="G3">
        <f>41-Table3[[#This Row],[GP_A]]</f>
        <v>41</v>
      </c>
      <c r="H3">
        <f>COUNTIFS(DataRegularSeason20242025!$E$3:$E$1315,$A3,DataRegularSeason20242025!$N$3:$N$1315,1)</f>
        <v>2</v>
      </c>
      <c r="I3">
        <f>41-Table3[[#This Row],[GP_H]]</f>
        <v>39</v>
      </c>
      <c r="J3">
        <f t="shared" si="0"/>
        <v>2</v>
      </c>
      <c r="K3">
        <f>82-Table3[[#This Row],[GP]]</f>
        <v>80</v>
      </c>
      <c r="L3">
        <f>COUNTIFS(DataRegularSeason20242025!$D$3:$D$1315,$A3, DataRegularSeason20242025!$L$3:$L$1315, $A3,DataRegularSeason20242025!$N$3:$N$1315,1)</f>
        <v>0</v>
      </c>
      <c r="M3">
        <f>COUNTIFS(DataRegularSeason20242025!$D$3:$D$1315,$A3, DataRegularSeason20242025!$L$3:$L$1315, $A3,DataRegularSeason20242025!$N$3:$N$1315,1,DataRegularSeason20242025!$M$3:$M$1315,"REG")</f>
        <v>0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1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2</v>
      </c>
      <c r="AD3">
        <f>Table3[[#This Row],[L_A]]+Table3[[#This Row],[L_H]]</f>
        <v>0</v>
      </c>
      <c r="AE3">
        <f>Table3[[#This Row],[RW_A]]+Table3[[#This Row],[RW_H]]</f>
        <v>1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1-0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0.5</v>
      </c>
      <c r="AO3">
        <f>(2*(Table3[[#This Row],[W_A]]+Table3[[#This Row],[W_H]]))+Table3[[#This Row],[OTL_A]]+Table3[[#This Row],[SOL_A]]+Table3[[#This Row],[OTL_H]]+Table3[[#This Row],[SOL_H]]</f>
        <v>4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" s="10">
        <f>Table3[[#This Row],[PTS]]/(2*Table3[[#This Row],[GP]])</f>
        <v>1</v>
      </c>
      <c r="AR3" s="10">
        <f>Table3[[#This Row],[PTS2]]/(3*Table3[[#This Row],[GP]])</f>
        <v>0.83333333333333337</v>
      </c>
      <c r="AS3">
        <f>(2*Table3[[#This Row],[GR]])+Table3[[#This Row],[PTS]]</f>
        <v>164</v>
      </c>
      <c r="AT3">
        <f>(3*Table3[[#This Row],[GR]])+Table3[[#This Row],[PTS2]]</f>
        <v>245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205</v>
      </c>
      <c r="AW3" s="15" t="str">
        <f>_xlfn.CONCAT(TEXT(Table3[[#This Row],[W]], "0"), "-", TEXT(Table3[[#This Row],[RL]],"0"), "-", TEXT(Table3[[#This Row],[OTL]]+Table3[[#This Row],[SOL]], "0"))</f>
        <v>2-0-0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0</v>
      </c>
      <c r="AZ3">
        <f>SUMIF(DataRegularSeason20242025!$D$3:$D$1315,$A3, DataRegularSeason20242025!$K$3:$K$1315)</f>
        <v>0</v>
      </c>
      <c r="BA3">
        <f t="shared" si="3"/>
        <v>0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5</v>
      </c>
      <c r="BD3">
        <f>SUMIF(DataRegularSeason20242025!$E$3:$E$1315,$A3,DataRegularSeason20242025!$J$3:$J$1315)</f>
        <v>2</v>
      </c>
      <c r="BE3">
        <f t="shared" si="4"/>
        <v>3</v>
      </c>
      <c r="BF3">
        <f t="shared" si="5"/>
        <v>5</v>
      </c>
      <c r="BG3">
        <f t="shared" si="6"/>
        <v>2</v>
      </c>
      <c r="BH3">
        <f t="shared" si="7"/>
        <v>3</v>
      </c>
      <c r="BI3" s="12">
        <f>Table3[[#This Row],[GF]]/Table3[[#This Row],[GP]]</f>
        <v>2.5</v>
      </c>
      <c r="BJ3" s="12">
        <f>Table3[[#This Row],[GA]]/Table3[[#This Row],[GP]]</f>
        <v>1</v>
      </c>
      <c r="BK3" s="12">
        <f>(Table3[[#This Row],[GF]]-Table3[[#This Row],[GA]])/Table3[[#This Row],[GP]]</f>
        <v>1.5</v>
      </c>
      <c r="BL3" s="42" t="str">
        <f>_xlfn.CONCAT(TEXT(Table3[[#This Row],[W_H]], "0"), "-", TEXT(Table3[[#This Row],[RL_H]],"0"), "-", TEXT(Table3[[#This Row],[OTL_H]]+Table3[[#This Row],[SOL_H]], "0"))</f>
        <v>2-0-0</v>
      </c>
      <c r="BM3" s="42" t="str">
        <f>_xlfn.CONCAT(TEXT(Table3[[#This Row],[W_A]], "0"), "-", TEXT(Table3[[#This Row],[RL_A]],"0"), "-", TEXT(Table3[[#This Row],[OTL_A]]+Table3[[#This Row],[SOL_A]], "0"))</f>
        <v>0-0-0</v>
      </c>
      <c r="BN3" s="42">
        <f>((2*(Table3[[#This Row],[W_H]]))+Table3[[#This Row],[OTL_H]]+Table3[[#This Row],[SOL_H]])/(2*Table3[[#This Row],[GP_H]])</f>
        <v>1</v>
      </c>
      <c r="BO3" s="42" t="e">
        <f>((2*(Table3[[#This Row],[W_A]]))+Table3[[#This Row],[OTL_A]]+Table3[[#This Row],[SOL_A]])/(2*Table3[[#This Row],[GP_A]])</f>
        <v>#DIV/0!</v>
      </c>
      <c r="BP3" s="16">
        <f>(Table3[[#This Row],[W]]*$CX$3)+(Table3[[#This Row],[L]]*$CX$4)+(Table3[[#This Row],[GF]]*$CX$5)+(Table3[[#This Row],[GA]]*$CX$6)</f>
        <v>1.95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61.4</v>
      </c>
      <c r="BR3" s="16">
        <f>(Table3[[#This Row],[W]]*0.7) + ((Table3[[#This Row],[GF]] - Table3[[#This Row],[GA]])*0.25)+(Table3[[#This Row],[GF]]*0.1)+(Table3[[#This Row],[GA]]*0.05)+(Table3[[#This Row],[L]]*0.3)</f>
        <v>2.75</v>
      </c>
      <c r="BS3" s="16">
        <f>Table3[[#This Row],[TeamCost83]]/Table3[[#This Row],[GP]]</f>
        <v>1.375</v>
      </c>
      <c r="BT3">
        <f>COUNTIFS(Table2[AwayTeam],$A3,Table2[PredictedWinner], $A3, Table2[GameIsOver], 1)</f>
        <v>0</v>
      </c>
      <c r="BU3">
        <f>COUNTIFS(Table2[HomeTeam],$A3,Table2[PredictedWinner], $A3, Table2[GameIsOver], 1)</f>
        <v>1</v>
      </c>
      <c r="BV3">
        <f t="shared" si="8"/>
        <v>1</v>
      </c>
      <c r="BW3">
        <f t="shared" si="9"/>
        <v>0</v>
      </c>
      <c r="BX3">
        <f t="shared" si="10"/>
        <v>1</v>
      </c>
      <c r="BY3">
        <f t="shared" si="11"/>
        <v>1</v>
      </c>
      <c r="BZ3">
        <f>Table3[[#This Row],[TimesPredictedWinner]]/Table3[[#This Row],[GP]]</f>
        <v>0.5</v>
      </c>
      <c r="CC3" s="1">
        <v>45745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</v>
      </c>
      <c r="CJ3">
        <f>SUMIFS(Table2[GamePredictionScore], Table2[HomeTeam], Table3[[#This Row],[Teams]])</f>
        <v>0.8</v>
      </c>
      <c r="CK3">
        <f>Table3[[#This Row],[Column4]]+Table3[[#This Row],[Column3]]</f>
        <v>0.8</v>
      </c>
      <c r="CL3">
        <f>Table3[[#This Row],[Column5]]/Table3[[#This Row],[GP]]</f>
        <v>0.4</v>
      </c>
      <c r="CR3" t="s">
        <v>137</v>
      </c>
      <c r="CS3">
        <f>SUM($D$2:$D$33)/2</f>
        <v>28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0.14925373134328357</v>
      </c>
    </row>
    <row r="4" spans="1:144" x14ac:dyDescent="0.25">
      <c r="A4" t="s">
        <v>33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1</v>
      </c>
      <c r="E4" s="10">
        <f>Table3[[#This Row],[Watched]]/Table3[[#This Row],[GP]]</f>
        <v>0.5</v>
      </c>
      <c r="F4">
        <f>COUNTIFS(DataRegularSeason20242025!$N$3:$N$1315,1,DataRegularSeason20242025!$D$3:$D$1315,$A4)</f>
        <v>2</v>
      </c>
      <c r="G4">
        <f>41-Table3[[#This Row],[GP_A]]</f>
        <v>39</v>
      </c>
      <c r="H4">
        <f>COUNTIFS(DataRegularSeason20242025!$E$3:$E$1315,$A4,DataRegularSeason20242025!$N$3:$N$1315,1)</f>
        <v>0</v>
      </c>
      <c r="I4">
        <f>41-Table3[[#This Row],[GP_H]]</f>
        <v>41</v>
      </c>
      <c r="J4">
        <f t="shared" si="0"/>
        <v>2</v>
      </c>
      <c r="K4">
        <f>82-Table3[[#This Row],[GP]]</f>
        <v>80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1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1</v>
      </c>
      <c r="P4">
        <f t="shared" si="1"/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0</v>
      </c>
      <c r="U4">
        <f>COUNTIFS(DataRegularSeason20242025!$E$3:$E$1315,$A4, DataRegularSeason20242025!$L$3:$L$1315, $A4,DataRegularSeason20242025!$N$3:$N$1315,1,DataRegularSeason20242025!$M$3:$M$1315,"REG")</f>
        <v>0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1</v>
      </c>
      <c r="AC4">
        <f>Table3[[#This Row],[W_A]]+Table3[[#This Row],[W_H]]</f>
        <v>2</v>
      </c>
      <c r="AD4">
        <f>Table3[[#This Row],[L_A]]+Table3[[#This Row],[L_H]]</f>
        <v>0</v>
      </c>
      <c r="AE4">
        <f>Table3[[#This Row],[RW_A]]+Table3[[#This Row],[RW_H]]</f>
        <v>1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1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1-0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0.5</v>
      </c>
      <c r="AO4">
        <f>(2*(Table3[[#This Row],[W_A]]+Table3[[#This Row],[W_H]]))+Table3[[#This Row],[OTL_A]]+Table3[[#This Row],[SOL_A]]+Table3[[#This Row],[OTL_H]]+Table3[[#This Row],[SOL_H]]</f>
        <v>4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4" s="10">
        <f>Table3[[#This Row],[PTS]]/(2*Table3[[#This Row],[GP]])</f>
        <v>1</v>
      </c>
      <c r="AR4" s="10">
        <f>Table3[[#This Row],[PTS2]]/(3*Table3[[#This Row],[GP]])</f>
        <v>0.83333333333333337</v>
      </c>
      <c r="AS4">
        <f>(2*Table3[[#This Row],[GR]])+Table3[[#This Row],[PTS]]</f>
        <v>164</v>
      </c>
      <c r="AT4">
        <f>(3*Table3[[#This Row],[GR]])+Table3[[#This Row],[PTS2]]</f>
        <v>245</v>
      </c>
      <c r="AU4">
        <f>Table3[[#This Row],[PTS]]+(2 * Table3[[#This Row],[GR]] * Table3[[#This Row],[PTS%]])</f>
        <v>164</v>
      </c>
      <c r="AV4">
        <f>Table3[[#This Row],[PTS2]]+(3 * Table3[[#This Row],[GR]] * Table3[[#This Row],[PTS%2]])</f>
        <v>205</v>
      </c>
      <c r="AW4" s="15" t="str">
        <f>_xlfn.CONCAT(TEXT(Table3[[#This Row],[W]], "0"), "-", TEXT(Table3[[#This Row],[RL]],"0"), "-", TEXT(Table3[[#This Row],[OTL]]+Table3[[#This Row],[SOL]], "0"))</f>
        <v>2-0-0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10</v>
      </c>
      <c r="AZ4">
        <f>SUMIF(DataRegularSeason20242025!$D$3:$D$1315,$A4, DataRegularSeason20242025!$K$3:$K$1315)</f>
        <v>8</v>
      </c>
      <c r="BA4">
        <f t="shared" si="3"/>
        <v>2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0</v>
      </c>
      <c r="BD4">
        <f>SUMIF(DataRegularSeason20242025!$E$3:$E$1315,$A4,DataRegularSeason20242025!$J$3:$J$1315)</f>
        <v>0</v>
      </c>
      <c r="BE4">
        <f t="shared" si="4"/>
        <v>0</v>
      </c>
      <c r="BF4">
        <f t="shared" si="5"/>
        <v>10</v>
      </c>
      <c r="BG4">
        <f t="shared" si="6"/>
        <v>8</v>
      </c>
      <c r="BH4">
        <f t="shared" si="7"/>
        <v>2</v>
      </c>
      <c r="BI4" s="12">
        <f>Table3[[#This Row],[GF]]/Table3[[#This Row],[GP]]</f>
        <v>5</v>
      </c>
      <c r="BJ4" s="12">
        <f>Table3[[#This Row],[GA]]/Table3[[#This Row],[GP]]</f>
        <v>4</v>
      </c>
      <c r="BK4" s="12">
        <f>(Table3[[#This Row],[GF]]-Table3[[#This Row],[GA]])/Table3[[#This Row],[GP]]</f>
        <v>1</v>
      </c>
      <c r="BL4" s="42" t="str">
        <f>_xlfn.CONCAT(TEXT(Table3[[#This Row],[W_H]], "0"), "-", TEXT(Table3[[#This Row],[RL_H]],"0"), "-", TEXT(Table3[[#This Row],[OTL_H]]+Table3[[#This Row],[SOL_H]], "0"))</f>
        <v>0-0-0</v>
      </c>
      <c r="BM4" s="42" t="str">
        <f>_xlfn.CONCAT(TEXT(Table3[[#This Row],[W_A]], "0"), "-", TEXT(Table3[[#This Row],[RL_A]],"0"), "-", TEXT(Table3[[#This Row],[OTL_A]]+Table3[[#This Row],[SOL_A]], "0"))</f>
        <v>2-0-0</v>
      </c>
      <c r="BN4" s="42" t="e">
        <f>((2*(Table3[[#This Row],[W_H]]))+Table3[[#This Row],[OTL_H]]+Table3[[#This Row],[SOL_H]])/(2*Table3[[#This Row],[GP_H]])</f>
        <v>#DIV/0!</v>
      </c>
      <c r="BO4" s="42">
        <f>((2*(Table3[[#This Row],[W_A]]))+Table3[[#This Row],[OTL_A]]+Table3[[#This Row],[SOL_A]])/(2*Table3[[#This Row],[GP_A]])</f>
        <v>1</v>
      </c>
      <c r="BP4" s="16">
        <f>(Table3[[#This Row],[W]]*$CX$3)+(Table3[[#This Row],[L]]*$CX$4)+(Table3[[#This Row],[GF]]*$CX$5)+(Table3[[#This Row],[GA]]*$CX$6)</f>
        <v>3.3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118.1</v>
      </c>
      <c r="BR4" s="16">
        <f>(Table3[[#This Row],[W]]*0.7) + ((Table3[[#This Row],[GF]] - Table3[[#This Row],[GA]])*0.25)+(Table3[[#This Row],[GF]]*0.1)+(Table3[[#This Row],[GA]]*0.05)+(Table3[[#This Row],[L]]*0.3)</f>
        <v>3.3</v>
      </c>
      <c r="BS4" s="16">
        <f>Table3[[#This Row],[TeamCost83]]/Table3[[#This Row],[GP]]</f>
        <v>1.65</v>
      </c>
      <c r="BT4">
        <f>COUNTIFS(Table2[AwayTeam],$A4,Table2[PredictedWinner], $A4, Table2[GameIsOver], 1)</f>
        <v>1</v>
      </c>
      <c r="BU4">
        <f>COUNTIFS(Table2[HomeTeam],$A4,Table2[PredictedWinner], $A4, Table2[GameIsOver], 1)</f>
        <v>0</v>
      </c>
      <c r="BV4">
        <f t="shared" si="8"/>
        <v>1</v>
      </c>
      <c r="BW4">
        <f t="shared" si="9"/>
        <v>1</v>
      </c>
      <c r="BX4">
        <f t="shared" si="10"/>
        <v>0</v>
      </c>
      <c r="BY4">
        <f t="shared" si="11"/>
        <v>1</v>
      </c>
      <c r="BZ4">
        <f>Table3[[#This Row],[TimesPredictedWinner]]/Table3[[#This Row],[GP]]</f>
        <v>0.5</v>
      </c>
      <c r="CB4">
        <v>1999</v>
      </c>
      <c r="CD4" s="1">
        <v>45745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0.8</v>
      </c>
      <c r="CJ4">
        <f>SUMIFS(Table2[GamePredictionScore], Table2[HomeTeam], Table3[[#This Row],[Teams]])</f>
        <v>0</v>
      </c>
      <c r="CK4">
        <f>Table3[[#This Row],[Column4]]+Table3[[#This Row],[Column3]]</f>
        <v>0.8</v>
      </c>
      <c r="CL4">
        <f>Table3[[#This Row],[Column5]]/Table3[[#This Row],[GP]]</f>
        <v>0.4</v>
      </c>
      <c r="CR4" t="s">
        <v>138</v>
      </c>
      <c r="CS4">
        <f>$CS$2-$CS$3</f>
        <v>20</v>
      </c>
      <c r="CW4" t="s">
        <v>119</v>
      </c>
      <c r="CX4" s="16">
        <v>0.3</v>
      </c>
      <c r="CY4">
        <f>INDEX($AD$2:$AD$33,MATCH("CGY",$A$2:$A$33,0),1)</f>
        <v>2</v>
      </c>
      <c r="DA4" s="16">
        <f>CX4*CY4</f>
        <v>0.6</v>
      </c>
      <c r="DB4" s="10">
        <f>DA4/$DA$7</f>
        <v>0.17910447761194026</v>
      </c>
    </row>
    <row r="5" spans="1:144" x14ac:dyDescent="0.25">
      <c r="A5" t="s">
        <v>25</v>
      </c>
      <c r="B5" t="s">
        <v>90</v>
      </c>
      <c r="C5" t="s">
        <v>88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4</v>
      </c>
      <c r="E5" s="10">
        <f>Table3[[#This Row],[Watched]]/Table3[[#This Row],[GP]]</f>
        <v>1</v>
      </c>
      <c r="F5">
        <f>COUNTIFS(DataRegularSeason20242025!$N$3:$N$1315,1,DataRegularSeason20242025!$D$3:$D$1315,$A5)</f>
        <v>2</v>
      </c>
      <c r="G5">
        <f>41-Table3[[#This Row],[GP_A]]</f>
        <v>39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 t="shared" si="0"/>
        <v>4</v>
      </c>
      <c r="K5">
        <f>82-Table3[[#This Row],[GP]]</f>
        <v>78</v>
      </c>
      <c r="L5">
        <f>COUNTIFS(DataRegularSeason20242025!$D$3:$D$1315,$A5, DataRegularSeason20242025!$L$3:$L$1315, $A5,DataRegularSeason20242025!$N$3:$N$1315,1)</f>
        <v>2</v>
      </c>
      <c r="M5">
        <f>COUNTIFS(DataRegularSeason20242025!$D$3:$D$1315,$A5, DataRegularSeason20242025!$L$3:$L$1315, $A5,DataRegularSeason20242025!$N$3:$N$1315,1,DataRegularSeason20242025!$M$3:$M$1315,"REG")</f>
        <v>2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1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1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1</v>
      </c>
      <c r="AB5">
        <f>Table3[[#This Row],[W]]/MAX(1,Table3[[#This Row],[W]]+Table3[[#This Row],[L]])</f>
        <v>0.75</v>
      </c>
      <c r="AC5">
        <f>Table3[[#This Row],[W_A]]+Table3[[#This Row],[W_H]]</f>
        <v>3</v>
      </c>
      <c r="AD5">
        <f>Table3[[#This Row],[L_A]]+Table3[[#This Row],[L_H]]</f>
        <v>1</v>
      </c>
      <c r="AE5">
        <f>Table3[[#This Row],[RW_A]]+Table3[[#This Row],[RW_H]]</f>
        <v>3</v>
      </c>
      <c r="AF5">
        <f>Table3[[#This Row],[RL_A]]+Table3[[#This Row],[RL_H]]</f>
        <v>0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1</v>
      </c>
      <c r="AK5" s="15" t="str">
        <f>_xlfn.CONCAT(TEXT(Table3[[#This Row],[OTW]]+Table3[[#This Row],[SOW]], "0"), "-", TEXT(Table3[[#This Row],[OTL]]+Table3[[#This Row],[SOL]],"0"))</f>
        <v>0-1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0.25</v>
      </c>
      <c r="AO5">
        <f>(2*(Table3[[#This Row],[W_A]]+Table3[[#This Row],[W_H]]))+Table3[[#This Row],[OTL_A]]+Table3[[#This Row],[SOL_A]]+Table3[[#This Row],[OTL_H]]+Table3[[#This Row],[SOL_H]]</f>
        <v>7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5" s="10">
        <f>Table3[[#This Row],[PTS]]/(2*Table3[[#This Row],[GP]])</f>
        <v>0.875</v>
      </c>
      <c r="AR5" s="10">
        <f>Table3[[#This Row],[PTS2]]/(3*Table3[[#This Row],[GP]])</f>
        <v>0.83333333333333337</v>
      </c>
      <c r="AS5">
        <f>(2*Table3[[#This Row],[GR]])+Table3[[#This Row],[PTS]]</f>
        <v>163</v>
      </c>
      <c r="AT5">
        <f>(3*Table3[[#This Row],[GR]])+Table3[[#This Row],[PTS2]]</f>
        <v>244</v>
      </c>
      <c r="AU5">
        <f>Table3[[#This Row],[PTS]]+(2 * Table3[[#This Row],[GR]] * Table3[[#This Row],[PTS%]])</f>
        <v>143.5</v>
      </c>
      <c r="AV5">
        <f>Table3[[#This Row],[PTS2]]+(3 * Table3[[#This Row],[GR]] * Table3[[#This Row],[PTS%2]])</f>
        <v>205</v>
      </c>
      <c r="AW5" s="15" t="str">
        <f>_xlfn.CONCAT(TEXT(Table3[[#This Row],[W]], "0"), "-", TEXT(Table3[[#This Row],[RL]],"0"), "-", TEXT(Table3[[#This Row],[OTL]]+Table3[[#This Row],[SOL]], "0"))</f>
        <v>3-0-1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7</v>
      </c>
      <c r="AZ5">
        <f>SUMIF(DataRegularSeason20242025!$D$3:$D$1315,$A5, DataRegularSeason20242025!$K$3:$K$1315)</f>
        <v>2</v>
      </c>
      <c r="BA5">
        <f t="shared" si="3"/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6</v>
      </c>
      <c r="BD5">
        <f>SUMIF(DataRegularSeason20242025!$E$3:$E$1315,$A5,DataRegularSeason20242025!$J$3:$J$1315)</f>
        <v>6</v>
      </c>
      <c r="BE5">
        <f t="shared" si="4"/>
        <v>0</v>
      </c>
      <c r="BF5">
        <f t="shared" si="5"/>
        <v>13</v>
      </c>
      <c r="BG5">
        <f t="shared" si="6"/>
        <v>8</v>
      </c>
      <c r="BH5">
        <f t="shared" si="7"/>
        <v>5</v>
      </c>
      <c r="BI5" s="12">
        <f>Table3[[#This Row],[GF]]/Table3[[#This Row],[GP]]</f>
        <v>3.25</v>
      </c>
      <c r="BJ5" s="12">
        <f>Table3[[#This Row],[GA]]/Table3[[#This Row],[GP]]</f>
        <v>2</v>
      </c>
      <c r="BK5" s="12">
        <f>(Table3[[#This Row],[GF]]-Table3[[#This Row],[GA]])/Table3[[#This Row],[GP]]</f>
        <v>1.25</v>
      </c>
      <c r="BL5" s="42" t="str">
        <f>_xlfn.CONCAT(TEXT(Table3[[#This Row],[W_H]], "0"), "-", TEXT(Table3[[#This Row],[RL_H]],"0"), "-", TEXT(Table3[[#This Row],[OTL_H]]+Table3[[#This Row],[SOL_H]], "0"))</f>
        <v>1-0-1</v>
      </c>
      <c r="BM5" s="42" t="str">
        <f>_xlfn.CONCAT(TEXT(Table3[[#This Row],[W_A]], "0"), "-", TEXT(Table3[[#This Row],[RL_A]],"0"), "-", TEXT(Table3[[#This Row],[OTL_A]]+Table3[[#This Row],[SOL_A]], "0"))</f>
        <v>2-0-0</v>
      </c>
      <c r="BN5" s="42">
        <f>((2*(Table3[[#This Row],[W_H]]))+Table3[[#This Row],[OTL_H]]+Table3[[#This Row],[SOL_H]])/(2*Table3[[#This Row],[GP_H]])</f>
        <v>0.75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4.55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70.662499999999994</v>
      </c>
      <c r="BR5" s="16">
        <f>(Table3[[#This Row],[W]]*0.7) + ((Table3[[#This Row],[GF]] - Table3[[#This Row],[GA]])*0.25)+(Table3[[#This Row],[GF]]*0.1)+(Table3[[#This Row],[GA]]*0.05)+(Table3[[#This Row],[L]]*0.3)</f>
        <v>5.35</v>
      </c>
      <c r="BS5" s="16">
        <f>Table3[[#This Row],[TeamCost83]]/Table3[[#This Row],[GP]]</f>
        <v>1.3374999999999999</v>
      </c>
      <c r="BT5">
        <f>COUNTIFS(Table2[AwayTeam],$A5,Table2[PredictedWinner], $A5, Table2[GameIsOver], 1)</f>
        <v>2</v>
      </c>
      <c r="BU5">
        <f>COUNTIFS(Table2[HomeTeam],$A5,Table2[PredictedWinner], $A5, Table2[GameIsOver], 1)</f>
        <v>2</v>
      </c>
      <c r="BV5">
        <f t="shared" si="8"/>
        <v>4</v>
      </c>
      <c r="BW5">
        <f t="shared" si="9"/>
        <v>0</v>
      </c>
      <c r="BX5">
        <f t="shared" si="10"/>
        <v>0</v>
      </c>
      <c r="BY5">
        <f t="shared" si="11"/>
        <v>0</v>
      </c>
      <c r="BZ5">
        <f>Table3[[#This Row],[TimesPredictedWinner]]/Table3[[#This Row],[GP]]</f>
        <v>1</v>
      </c>
      <c r="CB5">
        <v>2022</v>
      </c>
      <c r="CD5" s="1">
        <v>45750</v>
      </c>
      <c r="CE5" t="str">
        <f>INDEX(Table2[AwayTeam], Table3[[#This Row],[Column2]])</f>
        <v>CHI</v>
      </c>
      <c r="CF5">
        <f>LARGE((Table2[[#This Row],[AwayTeam]]=Table3[[#This Row],[Teams]]), 1)</f>
        <v>1</v>
      </c>
      <c r="CI5">
        <f>SUMIFS(Table2[GamePredictionScore], Table2[AwayTeam], Table3[[#This Row],[Teams]])</f>
        <v>1.6</v>
      </c>
      <c r="CJ5">
        <f>SUMIFS(Table2[GamePredictionScore], Table2[HomeTeam], Table3[[#This Row],[Teams]])</f>
        <v>0.8</v>
      </c>
      <c r="CK5">
        <f>Table3[[#This Row],[Column4]]+Table3[[#This Row],[Column3]]</f>
        <v>2.4000000000000004</v>
      </c>
      <c r="CL5">
        <f>Table3[[#This Row],[Column5]]/Table3[[#This Row],[GP]]</f>
        <v>0.60000000000000009</v>
      </c>
      <c r="CR5" t="s">
        <v>140</v>
      </c>
      <c r="CS5">
        <f>SUM($BF$2:$BF$33)</f>
        <v>292</v>
      </c>
      <c r="CW5" t="s">
        <v>67</v>
      </c>
      <c r="CX5" s="16">
        <v>0.15</v>
      </c>
      <c r="CY5">
        <f>INDEX($BF$2:$BF$33,MATCH("CGY",$A$2:$A$33,0),1)</f>
        <v>7</v>
      </c>
      <c r="CZ5">
        <f>CY5/CY2</f>
        <v>2.3333333333333335</v>
      </c>
      <c r="DA5" s="16">
        <f>CX5*CY5</f>
        <v>1.05</v>
      </c>
      <c r="DB5" s="10">
        <f>DA5/$DA$7</f>
        <v>0.31343283582089548</v>
      </c>
    </row>
    <row r="6" spans="1:144" ht="15.75" thickBot="1" x14ac:dyDescent="0.3">
      <c r="A6" t="s">
        <v>34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1</v>
      </c>
      <c r="E6" s="10">
        <f>Table3[[#This Row],[Watched]]/Table3[[#This Row],[GP]]</f>
        <v>0.33333333333333331</v>
      </c>
      <c r="F6">
        <f>COUNTIFS(DataRegularSeason20242025!$N$3:$N$1315,1,DataRegularSeason20242025!$D$3:$D$1315,$A6)</f>
        <v>1</v>
      </c>
      <c r="G6">
        <f>41-Table3[[#This Row],[GP_A]]</f>
        <v>40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 t="shared" si="0"/>
        <v>3</v>
      </c>
      <c r="K6">
        <f>82-Table3[[#This Row],[GP]]</f>
        <v>79</v>
      </c>
      <c r="L6">
        <f>COUNTIFS(DataRegularSeason20242025!$D$3:$D$1315,$A6, DataRegularSeason20242025!$L$3:$L$1315, $A6,DataRegularSeason20242025!$N$3:$N$1315,1)</f>
        <v>1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1</v>
      </c>
      <c r="U6">
        <f>COUNTIFS(DataRegularSeason20242025!$E$3:$E$1315,$A6, DataRegularSeason20242025!$L$3:$L$1315, $A6,DataRegularSeason20242025!$N$3:$N$1315,1,DataRegularSeason20242025!$M$3:$M$1315,"REG")</f>
        <v>1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1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0.66666666666666663</v>
      </c>
      <c r="AC6">
        <f>Table3[[#This Row],[W_A]]+Table3[[#This Row],[W_H]]</f>
        <v>2</v>
      </c>
      <c r="AD6">
        <f>Table3[[#This Row],[L_A]]+Table3[[#This Row],[L_H]]</f>
        <v>1</v>
      </c>
      <c r="AE6">
        <f>Table3[[#This Row],[RW_A]]+Table3[[#This Row],[RW_H]]</f>
        <v>2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1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0-1</v>
      </c>
      <c r="AL6">
        <f>SUM(Table3[[#This Row],[OTW]],Table3[[#This Row],[OTL]],Table3[[#This Row],[SOW]],Table3[[#This Row],[SOL]])</f>
        <v>1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0.33333333333333331</v>
      </c>
      <c r="AO6">
        <f>(2*(Table3[[#This Row],[W_A]]+Table3[[#This Row],[W_H]]))+Table3[[#This Row],[OTL_A]]+Table3[[#This Row],[SOL_A]]+Table3[[#This Row],[OTL_H]]+Table3[[#This Row],[SOL_H]]</f>
        <v>5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6" s="10">
        <f>Table3[[#This Row],[PTS]]/(2*Table3[[#This Row],[GP]])</f>
        <v>0.83333333333333337</v>
      </c>
      <c r="AR6" s="10">
        <f>Table3[[#This Row],[PTS2]]/(3*Table3[[#This Row],[GP]])</f>
        <v>0.77777777777777779</v>
      </c>
      <c r="AS6">
        <f>(2*Table3[[#This Row],[GR]])+Table3[[#This Row],[PTS]]</f>
        <v>163</v>
      </c>
      <c r="AT6">
        <f>(3*Table3[[#This Row],[GR]])+Table3[[#This Row],[PTS2]]</f>
        <v>244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191.33333333333334</v>
      </c>
      <c r="AW6" s="15" t="str">
        <f>_xlfn.CONCAT(TEXT(Table3[[#This Row],[W]], "0"), "-", TEXT(Table3[[#This Row],[RL]],"0"), "-", TEXT(Table3[[#This Row],[OTL]]+Table3[[#This Row],[SOL]], "0"))</f>
        <v>2-0-1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4</v>
      </c>
      <c r="AZ6">
        <f>SUMIF(DataRegularSeason20242025!$D$3:$D$1315,$A6, DataRegularSeason20242025!$K$3:$K$1315)</f>
        <v>1</v>
      </c>
      <c r="BA6">
        <f t="shared" si="3"/>
        <v>3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4</v>
      </c>
      <c r="BD6">
        <f>SUMIF(DataRegularSeason20242025!$E$3:$E$1315,$A6,DataRegularSeason20242025!$J$3:$J$1315)</f>
        <v>4</v>
      </c>
      <c r="BE6">
        <f t="shared" si="4"/>
        <v>0</v>
      </c>
      <c r="BF6">
        <f t="shared" si="5"/>
        <v>8</v>
      </c>
      <c r="BG6">
        <f t="shared" si="6"/>
        <v>5</v>
      </c>
      <c r="BH6">
        <f t="shared" si="7"/>
        <v>3</v>
      </c>
      <c r="BI6" s="12">
        <f>Table3[[#This Row],[GF]]/Table3[[#This Row],[GP]]</f>
        <v>2.6666666666666665</v>
      </c>
      <c r="BJ6" s="12">
        <f>Table3[[#This Row],[GA]]/Table3[[#This Row],[GP]]</f>
        <v>1.6666666666666667</v>
      </c>
      <c r="BK6" s="12">
        <f>(Table3[[#This Row],[GF]]-Table3[[#This Row],[GA]])/Table3[[#This Row],[GP]]</f>
        <v>1</v>
      </c>
      <c r="BL6" s="42" t="str">
        <f>_xlfn.CONCAT(TEXT(Table3[[#This Row],[W_H]], "0"), "-", TEXT(Table3[[#This Row],[RL_H]],"0"), "-", TEXT(Table3[[#This Row],[OTL_H]]+Table3[[#This Row],[SOL_H]], "0"))</f>
        <v>1-0-1</v>
      </c>
      <c r="BM6" s="42" t="str">
        <f>_xlfn.CONCAT(TEXT(Table3[[#This Row],[W_A]], "0"), "-", TEXT(Table3[[#This Row],[RL_A]],"0"), "-", TEXT(Table3[[#This Row],[OTL_A]]+Table3[[#This Row],[SOL_A]], "0"))</f>
        <v>1-0-0</v>
      </c>
      <c r="BN6" s="42">
        <f>((2*(Table3[[#This Row],[W_H]]))+Table3[[#This Row],[OTL_H]]+Table3[[#This Row],[SOL_H]])/(2*Table3[[#This Row],[GP_H]])</f>
        <v>0.75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3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62.222222222222221</v>
      </c>
      <c r="BR6" s="16">
        <f>(Table3[[#This Row],[W]]*0.7) + ((Table3[[#This Row],[GF]] - Table3[[#This Row],[GA]])*0.25)+(Table3[[#This Row],[GF]]*0.1)+(Table3[[#This Row],[GA]]*0.05)+(Table3[[#This Row],[L]]*0.3)</f>
        <v>3.5</v>
      </c>
      <c r="BS6" s="16">
        <f>Table3[[#This Row],[TeamCost83]]/Table3[[#This Row],[GP]]</f>
        <v>1.1666666666666667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1</v>
      </c>
      <c r="BV6">
        <f t="shared" si="8"/>
        <v>1</v>
      </c>
      <c r="BW6">
        <f t="shared" si="9"/>
        <v>1</v>
      </c>
      <c r="BX6">
        <f t="shared" si="10"/>
        <v>1</v>
      </c>
      <c r="BY6">
        <f t="shared" si="11"/>
        <v>2</v>
      </c>
      <c r="BZ6">
        <f>Table3[[#This Row],[TimesPredictedWinner]]/Table3[[#This Row],[GP]]</f>
        <v>0.33333333333333331</v>
      </c>
      <c r="CC6" s="1">
        <v>45743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</v>
      </c>
      <c r="CJ6">
        <f>SUMIFS(Table2[GamePredictionScore], Table2[HomeTeam], Table3[[#This Row],[Teams]])</f>
        <v>1.6</v>
      </c>
      <c r="CK6">
        <f>Table3[[#This Row],[Column4]]+Table3[[#This Row],[Column3]]</f>
        <v>1.6</v>
      </c>
      <c r="CL6">
        <f>Table3[[#This Row],[Column5]]/Table3[[#This Row],[GP]]</f>
        <v>0.53333333333333333</v>
      </c>
      <c r="CR6" t="s">
        <v>141</v>
      </c>
      <c r="CS6">
        <f>SUM($AX$2:$AX$33)+SUM($BB$2:$BB$33)</f>
        <v>4</v>
      </c>
      <c r="CW6" t="s">
        <v>68</v>
      </c>
      <c r="CX6" s="16">
        <v>0.1</v>
      </c>
      <c r="CY6">
        <f>INDEX($BG$2:$BG$33,MATCH("CGY",$A$2:$A$33,0),1)</f>
        <v>12</v>
      </c>
      <c r="CZ6">
        <f>CY6/CY2</f>
        <v>4</v>
      </c>
      <c r="DA6" s="16">
        <f>CX6*CY6</f>
        <v>1.2000000000000002</v>
      </c>
      <c r="DB6" s="10">
        <f>DA6/$DA$7</f>
        <v>0.35820895522388058</v>
      </c>
    </row>
    <row r="7" spans="1:144" ht="16.5" thickTop="1" thickBot="1" x14ac:dyDescent="0.3">
      <c r="A7" t="s">
        <v>22</v>
      </c>
      <c r="B7" t="s">
        <v>90</v>
      </c>
      <c r="C7" t="s">
        <v>93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2</v>
      </c>
      <c r="E7" s="10">
        <f>Table3[[#This Row],[Watched]]/Table3[[#This Row],[GP]]</f>
        <v>1</v>
      </c>
      <c r="F7">
        <f>COUNTIFS(DataRegularSeason20242025!$N$3:$N$1315,1,DataRegularSeason20242025!$D$3:$D$1315,$A7)</f>
        <v>0</v>
      </c>
      <c r="G7">
        <f>41-Table3[[#This Row],[GP_A]]</f>
        <v>41</v>
      </c>
      <c r="H7">
        <f>COUNTIFS(DataRegularSeason20242025!$E$3:$E$1315,$A7,DataRegularSeason20242025!$N$3:$N$1315,1)</f>
        <v>2</v>
      </c>
      <c r="I7">
        <f>41-Table3[[#This Row],[GP_H]]</f>
        <v>39</v>
      </c>
      <c r="J7">
        <f t="shared" si="0"/>
        <v>2</v>
      </c>
      <c r="K7">
        <f>82-Table3[[#This Row],[GP]]</f>
        <v>80</v>
      </c>
      <c r="L7">
        <f>COUNTIFS(DataRegularSeason20242025!$D$3:$D$1315,$A7, DataRegularSeason20242025!$L$3:$L$1315, $A7,DataRegularSeason20242025!$N$3:$N$1315,1)</f>
        <v>0</v>
      </c>
      <c r="M7">
        <f>COUNTIFS(DataRegularSeason20242025!$D$3:$D$1315,$A7, DataRegularSeason20242025!$L$3:$L$1315, $A7,DataRegularSeason20242025!$N$3:$N$1315,1,DataRegularSeason20242025!$M$3:$M$1315,"REG")</f>
        <v>0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1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1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1</v>
      </c>
      <c r="AB7">
        <f>Table3[[#This Row],[W]]/MAX(1,Table3[[#This Row],[W]]+Table3[[#This Row],[L]])</f>
        <v>0.5</v>
      </c>
      <c r="AC7">
        <f>Table3[[#This Row],[W_A]]+Table3[[#This Row],[W_H]]</f>
        <v>1</v>
      </c>
      <c r="AD7">
        <f>Table3[[#This Row],[L_A]]+Table3[[#This Row],[L_H]]</f>
        <v>1</v>
      </c>
      <c r="AE7">
        <f>Table3[[#This Row],[RW_A]]+Table3[[#This Row],[RW_H]]</f>
        <v>1</v>
      </c>
      <c r="AF7">
        <f>Table3[[#This Row],[RL_A]]+Table3[[#This Row],[RL_H]]</f>
        <v>0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1</v>
      </c>
      <c r="AK7" s="15" t="str">
        <f>_xlfn.CONCAT(TEXT(Table3[[#This Row],[OTW]]+Table3[[#This Row],[SOW]], "0"), "-", TEXT(Table3[[#This Row],[OTL]]+Table3[[#This Row],[SOL]],"0"))</f>
        <v>0-1</v>
      </c>
      <c r="AL7">
        <f>SUM(Table3[[#This Row],[OTW]],Table3[[#This Row],[OTL]],Table3[[#This Row],[SOW]],Table3[[#This Row],[SOL]])</f>
        <v>1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0.5</v>
      </c>
      <c r="AO7">
        <f>(2*(Table3[[#This Row],[W_A]]+Table3[[#This Row],[W_H]]))+Table3[[#This Row],[OTL_A]]+Table3[[#This Row],[SOL_A]]+Table3[[#This Row],[OTL_H]]+Table3[[#This Row],[SOL_H]]</f>
        <v>3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7" s="10">
        <f>Table3[[#This Row],[PTS]]/(2*Table3[[#This Row],[GP]])</f>
        <v>0.75</v>
      </c>
      <c r="AR7" s="10">
        <f>Table3[[#This Row],[PTS2]]/(3*Table3[[#This Row],[GP]])</f>
        <v>0.66666666666666663</v>
      </c>
      <c r="AS7">
        <f>(2*Table3[[#This Row],[GR]])+Table3[[#This Row],[PTS]]</f>
        <v>163</v>
      </c>
      <c r="AT7">
        <f>(3*Table3[[#This Row],[GR]])+Table3[[#This Row],[PTS2]]</f>
        <v>244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164</v>
      </c>
      <c r="AW7" s="15" t="str">
        <f>_xlfn.CONCAT(TEXT(Table3[[#This Row],[W]], "0"), "-", TEXT(Table3[[#This Row],[RL]],"0"), "-", TEXT(Table3[[#This Row],[OTL]]+Table3[[#This Row],[SOL]], "0"))</f>
        <v>1-0-1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0</v>
      </c>
      <c r="AZ7">
        <f>SUMIF(DataRegularSeason20242025!$D$3:$D$1315,$A7, DataRegularSeason20242025!$K$3:$K$1315)</f>
        <v>0</v>
      </c>
      <c r="BA7">
        <f t="shared" si="3"/>
        <v>0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6</v>
      </c>
      <c r="BD7">
        <f>SUMIF(DataRegularSeason20242025!$E$3:$E$1315,$A7,DataRegularSeason20242025!$J$3:$J$1315)</f>
        <v>5</v>
      </c>
      <c r="BE7">
        <f t="shared" si="4"/>
        <v>1</v>
      </c>
      <c r="BF7">
        <f t="shared" si="5"/>
        <v>6</v>
      </c>
      <c r="BG7">
        <f t="shared" si="6"/>
        <v>5</v>
      </c>
      <c r="BH7">
        <f t="shared" si="7"/>
        <v>1</v>
      </c>
      <c r="BI7" s="12">
        <f>Table3[[#This Row],[GF]]/Table3[[#This Row],[GP]]</f>
        <v>3</v>
      </c>
      <c r="BJ7" s="12">
        <f>Table3[[#This Row],[GA]]/Table3[[#This Row],[GP]]</f>
        <v>2.5</v>
      </c>
      <c r="BK7" s="12">
        <f>(Table3[[#This Row],[GF]]-Table3[[#This Row],[GA]])/Table3[[#This Row],[GP]]</f>
        <v>0.5</v>
      </c>
      <c r="BL7" s="42" t="str">
        <f>_xlfn.CONCAT(TEXT(Table3[[#This Row],[W_H]], "0"), "-", TEXT(Table3[[#This Row],[RL_H]],"0"), "-", TEXT(Table3[[#This Row],[OTL_H]]+Table3[[#This Row],[SOL_H]], "0"))</f>
        <v>1-0-1</v>
      </c>
      <c r="BM7" s="42" t="str">
        <f>_xlfn.CONCAT(TEXT(Table3[[#This Row],[W_A]], "0"), "-", TEXT(Table3[[#This Row],[RL_A]],"0"), "-", TEXT(Table3[[#This Row],[OTL_A]]+Table3[[#This Row],[SOL_A]], "0"))</f>
        <v>0-0-0</v>
      </c>
      <c r="BN7" s="42">
        <f>((2*(Table3[[#This Row],[W_H]]))+Table3[[#This Row],[OTL_H]]+Table3[[#This Row],[SOL_H]])/(2*Table3[[#This Row],[GP_H]])</f>
        <v>0.75</v>
      </c>
      <c r="BO7" s="42" t="e">
        <f>((2*(Table3[[#This Row],[W_A]]))+Table3[[#This Row],[OTL_A]]+Table3[[#This Row],[SOL_A]])/(2*Table3[[#This Row],[GP_A]])</f>
        <v>#DIV/0!</v>
      </c>
      <c r="BP7" s="16">
        <f>(Table3[[#This Row],[W]]*$CX$3)+(Table3[[#This Row],[L]]*$CX$4)+(Table3[[#This Row],[GF]]*$CX$5)+(Table3[[#This Row],[GA]]*$CX$6)</f>
        <v>2.2000000000000002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78.05</v>
      </c>
      <c r="BR7" s="16">
        <f>(Table3[[#This Row],[W]]*0.7) + ((Table3[[#This Row],[GF]] - Table3[[#This Row],[GA]])*0.25)+(Table3[[#This Row],[GF]]*0.1)+(Table3[[#This Row],[GA]]*0.05)+(Table3[[#This Row],[L]]*0.3)</f>
        <v>2.1</v>
      </c>
      <c r="BS7" s="16">
        <f>Table3[[#This Row],[TeamCost83]]/Table3[[#This Row],[GP]]</f>
        <v>1.05</v>
      </c>
      <c r="BT7">
        <f>COUNTIFS(Table2[AwayTeam],$A7,Table2[PredictedWinner], $A7, Table2[GameIsOver], 1)</f>
        <v>0</v>
      </c>
      <c r="BU7">
        <f>COUNTIFS(Table2[HomeTeam],$A7,Table2[PredictedWinner], $A7, Table2[GameIsOver], 1)</f>
        <v>1</v>
      </c>
      <c r="BV7">
        <f t="shared" si="8"/>
        <v>1</v>
      </c>
      <c r="BW7">
        <f t="shared" si="9"/>
        <v>0</v>
      </c>
      <c r="BX7">
        <f t="shared" si="10"/>
        <v>1</v>
      </c>
      <c r="BY7">
        <f t="shared" si="11"/>
        <v>1</v>
      </c>
      <c r="BZ7">
        <f>Table3[[#This Row],[TimesPredictedWinner]]/Table3[[#This Row],[GP]]</f>
        <v>0.5</v>
      </c>
      <c r="CB7">
        <v>1990</v>
      </c>
      <c r="CD7" s="1">
        <v>45758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</v>
      </c>
      <c r="CJ7">
        <f>SUMIFS(Table2[GamePredictionScore], Table2[HomeTeam], Table3[[#This Row],[Teams]])</f>
        <v>0.2</v>
      </c>
      <c r="CK7">
        <f>Table3[[#This Row],[Column4]]+Table3[[#This Row],[Column3]]</f>
        <v>0.2</v>
      </c>
      <c r="CL7">
        <f>Table3[[#This Row],[Column5]]/Table3[[#This Row],[GP]]</f>
        <v>0.1</v>
      </c>
      <c r="CR7" t="s">
        <v>142</v>
      </c>
      <c r="CS7">
        <f>SUM($AG$2:$AG$33)</f>
        <v>6</v>
      </c>
      <c r="CW7" t="s">
        <v>544</v>
      </c>
      <c r="CX7">
        <f>INDEX($AQ$2:$AQ$33,MATCH("CGY",$A$2:$A$33,0),1)</f>
        <v>0.33333333333333331</v>
      </c>
      <c r="CZ7" s="17">
        <f>(CX4+(ABS(CX3-CX4)*CX7))+(CX5*CZ5)+(CX6*CZ6)</f>
        <v>1.1166666666666667</v>
      </c>
      <c r="DA7" s="88">
        <f>SUM(DA3:DA6)</f>
        <v>3.3500000000000005</v>
      </c>
    </row>
    <row r="8" spans="1:144" ht="15.75" thickTop="1" x14ac:dyDescent="0.25">
      <c r="A8" t="s">
        <v>15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2</v>
      </c>
      <c r="E8" s="10">
        <f>Table3[[#This Row],[Watched]]/Table3[[#This Row],[GP]]</f>
        <v>0.5</v>
      </c>
      <c r="F8">
        <f>COUNTIFS(DataRegularSeason20242025!$N$3:$N$1315,1,DataRegularSeason20242025!$D$3:$D$1315,$A8)</f>
        <v>1</v>
      </c>
      <c r="G8">
        <f>41-Table3[[#This Row],[GP_A]]</f>
        <v>40</v>
      </c>
      <c r="H8">
        <f>COUNTIFS(DataRegularSeason20242025!$E$3:$E$1315,$A8,DataRegularSeason20242025!$N$3:$N$1315,1)</f>
        <v>3</v>
      </c>
      <c r="I8">
        <f>41-Table3[[#This Row],[GP_H]]</f>
        <v>38</v>
      </c>
      <c r="J8">
        <f t="shared" si="0"/>
        <v>4</v>
      </c>
      <c r="K8">
        <f>82-Table3[[#This Row],[GP]]</f>
        <v>78</v>
      </c>
      <c r="L8">
        <f>COUNTIFS(DataRegularSeason20242025!$D$3:$D$1315,$A8, DataRegularSeason20242025!$L$3:$L$1315, $A8,DataRegularSeason20242025!$N$3:$N$1315,1)</f>
        <v>1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0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2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0.75</v>
      </c>
      <c r="AC8">
        <f>Table3[[#This Row],[W_A]]+Table3[[#This Row],[W_H]]</f>
        <v>3</v>
      </c>
      <c r="AD8">
        <f>Table3[[#This Row],[L_A]]+Table3[[#This Row],[L_H]]</f>
        <v>1</v>
      </c>
      <c r="AE8">
        <f>Table3[[#This Row],[RW_A]]+Table3[[#This Row],[RW_H]]</f>
        <v>2</v>
      </c>
      <c r="AF8">
        <f>Table3[[#This Row],[RL_A]]+Table3[[#This Row],[RL_H]]</f>
        <v>1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0.25</v>
      </c>
      <c r="AO8">
        <f>(2*(Table3[[#This Row],[W_A]]+Table3[[#This Row],[W_H]]))+Table3[[#This Row],[OTL_A]]+Table3[[#This Row],[SOL_A]]+Table3[[#This Row],[OTL_H]]+Table3[[#This Row],[SOL_H]]</f>
        <v>6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8" s="10">
        <f>Table3[[#This Row],[PTS]]/(2*Table3[[#This Row],[GP]])</f>
        <v>0.75</v>
      </c>
      <c r="AR8" s="10">
        <f>Table3[[#This Row],[PTS2]]/(3*Table3[[#This Row],[GP]])</f>
        <v>0.66666666666666663</v>
      </c>
      <c r="AS8">
        <f>(2*Table3[[#This Row],[GR]])+Table3[[#This Row],[PTS]]</f>
        <v>162</v>
      </c>
      <c r="AT8">
        <f>(3*Table3[[#This Row],[GR]])+Table3[[#This Row],[PTS2]]</f>
        <v>242</v>
      </c>
      <c r="AU8">
        <f>Table3[[#This Row],[PTS]]+(2 * Table3[[#This Row],[GR]] * Table3[[#This Row],[PTS%]])</f>
        <v>123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3-1-0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3</v>
      </c>
      <c r="AZ8">
        <f>SUMIF(DataRegularSeason20242025!$D$3:$D$1315,$A8, DataRegularSeason20242025!$K$3:$K$1315)</f>
        <v>1</v>
      </c>
      <c r="BA8">
        <f t="shared" si="3"/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10</v>
      </c>
      <c r="BD8">
        <f>SUMIF(DataRegularSeason20242025!$E$3:$E$1315,$A8,DataRegularSeason20242025!$J$3:$J$1315)</f>
        <v>8</v>
      </c>
      <c r="BE8">
        <f t="shared" si="4"/>
        <v>2</v>
      </c>
      <c r="BF8">
        <f t="shared" si="5"/>
        <v>13</v>
      </c>
      <c r="BG8">
        <f t="shared" si="6"/>
        <v>9</v>
      </c>
      <c r="BH8">
        <f t="shared" si="7"/>
        <v>4</v>
      </c>
      <c r="BI8" s="12">
        <f>Table3[[#This Row],[GF]]/Table3[[#This Row],[GP]]</f>
        <v>3.25</v>
      </c>
      <c r="BJ8" s="12">
        <f>Table3[[#This Row],[GA]]/Table3[[#This Row],[GP]]</f>
        <v>2.25</v>
      </c>
      <c r="BK8" s="12">
        <f>(Table3[[#This Row],[GF]]-Table3[[#This Row],[GA]])/Table3[[#This Row],[GP]]</f>
        <v>1</v>
      </c>
      <c r="BL8" s="42" t="str">
        <f>_xlfn.CONCAT(TEXT(Table3[[#This Row],[W_H]], "0"), "-", TEXT(Table3[[#This Row],[RL_H]],"0"), "-", TEXT(Table3[[#This Row],[OTL_H]]+Table3[[#This Row],[SOL_H]], "0"))</f>
        <v>2-1-0</v>
      </c>
      <c r="BM8" s="42" t="str">
        <f>_xlfn.CONCAT(TEXT(Table3[[#This Row],[W_A]], "0"), "-", TEXT(Table3[[#This Row],[RL_A]],"0"), "-", TEXT(Table3[[#This Row],[OTL_A]]+Table3[[#This Row],[SOL_A]], "0"))</f>
        <v>1-0-0</v>
      </c>
      <c r="BN8" s="42">
        <f>((2*(Table3[[#This Row],[W_H]]))+Table3[[#This Row],[OTL_H]]+Table3[[#This Row],[SOL_H]])/(2*Table3[[#This Row],[GP_H]])</f>
        <v>0.66666666666666663</v>
      </c>
      <c r="BO8" s="42">
        <f>((2*(Table3[[#This Row],[W_A]]))+Table3[[#This Row],[OTL_A]]+Table3[[#This Row],[SOL_A]])/(2*Table3[[#This Row],[GP_A]])</f>
        <v>1</v>
      </c>
      <c r="BP8" s="16">
        <f>(Table3[[#This Row],[W]]*$CX$3)+(Table3[[#This Row],[L]]*$CX$4)+(Table3[[#This Row],[GF]]*$CX$5)+(Table3[[#This Row],[GA]]*$CX$6)</f>
        <v>4.6500000000000004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</v>
      </c>
      <c r="BR8" s="16">
        <f>(Table3[[#This Row],[W]]*0.7) + ((Table3[[#This Row],[GF]] - Table3[[#This Row],[GA]])*0.25)+(Table3[[#This Row],[GF]]*0.1)+(Table3[[#This Row],[GA]]*0.05)+(Table3[[#This Row],[L]]*0.3)</f>
        <v>5.1499999999999995</v>
      </c>
      <c r="BS8" s="16">
        <f>Table3[[#This Row],[TeamCost83]]/Table3[[#This Row],[GP]]</f>
        <v>1.2874999999999999</v>
      </c>
      <c r="BT8">
        <f>COUNTIFS(Table2[AwayTeam],$A8,Table2[PredictedWinner], $A8, Table2[GameIsOver], 1)</f>
        <v>0</v>
      </c>
      <c r="BU8">
        <f>COUNTIFS(Table2[HomeTeam],$A8,Table2[PredictedWinner], $A8, Table2[GameIsOver], 1)</f>
        <v>2</v>
      </c>
      <c r="BV8">
        <f t="shared" si="8"/>
        <v>2</v>
      </c>
      <c r="BW8">
        <f t="shared" si="9"/>
        <v>1</v>
      </c>
      <c r="BX8">
        <f t="shared" si="10"/>
        <v>1</v>
      </c>
      <c r="BY8">
        <f t="shared" si="11"/>
        <v>2</v>
      </c>
      <c r="BZ8">
        <f>Table3[[#This Row],[TimesPredictedWinner]]/Table3[[#This Row],[GP]]</f>
        <v>0.5</v>
      </c>
      <c r="CB8">
        <v>2011</v>
      </c>
      <c r="CC8" s="1">
        <v>45752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</v>
      </c>
      <c r="CJ8">
        <f>SUMIFS(Table2[GamePredictionScore], Table2[HomeTeam], Table3[[#This Row],[Teams]])</f>
        <v>2.6</v>
      </c>
      <c r="CK8">
        <f>Table3[[#This Row],[Column4]]+Table3[[#This Row],[Column3]]</f>
        <v>2.6</v>
      </c>
      <c r="CL8">
        <f>Table3[[#This Row],[Column5]]/Table3[[#This Row],[GP]]</f>
        <v>0.65</v>
      </c>
      <c r="CR8" t="s">
        <v>143</v>
      </c>
      <c r="CS8">
        <f>SUM($AI$2:$AI$33)</f>
        <v>4</v>
      </c>
      <c r="CY8" t="s">
        <v>153</v>
      </c>
      <c r="CZ8" s="17">
        <f>CZ7*82</f>
        <v>91.566666666666663</v>
      </c>
      <c r="DA8" s="16">
        <f>DA7+((82-CY2)*CZ7)</f>
        <v>91.566666666666663</v>
      </c>
    </row>
    <row r="9" spans="1:144" x14ac:dyDescent="0.25">
      <c r="A9" t="s">
        <v>13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3</v>
      </c>
      <c r="E9" s="10">
        <f>Table3[[#This Row],[Watched]]/Table3[[#This Row],[GP]]</f>
        <v>0.75</v>
      </c>
      <c r="F9">
        <f>COUNTIFS(DataRegularSeason20242025!$N$3:$N$1315,1,DataRegularSeason20242025!$D$3:$D$1315,$A9)</f>
        <v>1</v>
      </c>
      <c r="G9">
        <f>41-Table3[[#This Row],[GP_A]]</f>
        <v>40</v>
      </c>
      <c r="H9">
        <f>COUNTIFS(DataRegularSeason20242025!$E$3:$E$1315,$A9,DataRegularSeason20242025!$N$3:$N$1315,1)</f>
        <v>3</v>
      </c>
      <c r="I9">
        <f>41-Table3[[#This Row],[GP_H]]</f>
        <v>38</v>
      </c>
      <c r="J9">
        <f t="shared" si="0"/>
        <v>4</v>
      </c>
      <c r="K9">
        <f>82-Table3[[#This Row],[GP]]</f>
        <v>78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1</v>
      </c>
      <c r="Q9">
        <f>COUNTIFS(DataRegularSeason20242025!$D$3:$D$1315,$A9, DataRegularSeason20242025!$S$3:$S$1315, $A9,DataRegularSeason20242025!$M$3:$M$1315,"REG")</f>
        <v>1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0.75</v>
      </c>
      <c r="AC9">
        <f>Table3[[#This Row],[W_A]]+Table3[[#This Row],[W_H]]</f>
        <v>3</v>
      </c>
      <c r="AD9">
        <f>Table3[[#This Row],[L_A]]+Table3[[#This Row],[L_H]]</f>
        <v>1</v>
      </c>
      <c r="AE9">
        <f>Table3[[#This Row],[RW_A]]+Table3[[#This Row],[RW_H]]</f>
        <v>3</v>
      </c>
      <c r="AF9">
        <f>Table3[[#This Row],[RL_A]]+Table3[[#This Row],[RL_H]]</f>
        <v>1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6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9" s="10">
        <f>Table3[[#This Row],[PTS]]/(2*Table3[[#This Row],[GP]])</f>
        <v>0.75</v>
      </c>
      <c r="AR9" s="10">
        <f>Table3[[#This Row],[PTS2]]/(3*Table3[[#This Row],[GP]])</f>
        <v>0.75</v>
      </c>
      <c r="AS9">
        <f>(2*Table3[[#This Row],[GR]])+Table3[[#This Row],[PTS]]</f>
        <v>162</v>
      </c>
      <c r="AT9">
        <f>(3*Table3[[#This Row],[GR]])+Table3[[#This Row],[PTS2]]</f>
        <v>243</v>
      </c>
      <c r="AU9">
        <f>Table3[[#This Row],[PTS]]+(2 * Table3[[#This Row],[GR]] * Table3[[#This Row],[PTS%]])</f>
        <v>123</v>
      </c>
      <c r="AV9">
        <f>Table3[[#This Row],[PTS2]]+(3 * Table3[[#This Row],[GR]] * Table3[[#This Row],[PTS%2]])</f>
        <v>184.5</v>
      </c>
      <c r="AW9" s="15" t="str">
        <f>_xlfn.CONCAT(TEXT(Table3[[#This Row],[W]], "0"), "-", TEXT(Table3[[#This Row],[RL]],"0"), "-", TEXT(Table3[[#This Row],[OTL]]+Table3[[#This Row],[SOL]], "0"))</f>
        <v>3-1-0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2</v>
      </c>
      <c r="AZ9">
        <f>SUMIF(DataRegularSeason20242025!$D$3:$D$1315,$A9, DataRegularSeason20242025!$K$3:$K$1315)</f>
        <v>5</v>
      </c>
      <c r="BA9">
        <f t="shared" si="3"/>
        <v>-3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11</v>
      </c>
      <c r="BD9">
        <f>SUMIF(DataRegularSeason20242025!$E$3:$E$1315,$A9,DataRegularSeason20242025!$J$3:$J$1315)</f>
        <v>5</v>
      </c>
      <c r="BE9">
        <f t="shared" si="4"/>
        <v>6</v>
      </c>
      <c r="BF9">
        <f t="shared" si="5"/>
        <v>13</v>
      </c>
      <c r="BG9">
        <f t="shared" si="6"/>
        <v>10</v>
      </c>
      <c r="BH9">
        <f t="shared" si="7"/>
        <v>3</v>
      </c>
      <c r="BI9" s="12">
        <f>Table3[[#This Row],[GF]]/Table3[[#This Row],[GP]]</f>
        <v>3.25</v>
      </c>
      <c r="BJ9" s="12">
        <f>Table3[[#This Row],[GA]]/Table3[[#This Row],[GP]]</f>
        <v>2.5</v>
      </c>
      <c r="BK9" s="12">
        <f>(Table3[[#This Row],[GF]]-Table3[[#This Row],[GA]])/Table3[[#This Row],[GP]]</f>
        <v>0.75</v>
      </c>
      <c r="BL9" s="42" t="str">
        <f>_xlfn.CONCAT(TEXT(Table3[[#This Row],[W_H]], "0"), "-", TEXT(Table3[[#This Row],[RL_H]],"0"), "-", TEXT(Table3[[#This Row],[OTL_H]]+Table3[[#This Row],[SOL_H]], "0"))</f>
        <v>3-0-0</v>
      </c>
      <c r="BM9" s="42" t="str">
        <f>_xlfn.CONCAT(TEXT(Table3[[#This Row],[W_A]], "0"), "-", TEXT(Table3[[#This Row],[RL_A]],"0"), "-", TEXT(Table3[[#This Row],[OTL_A]]+Table3[[#This Row],[SOL_A]], "0"))</f>
        <v>0-1-0</v>
      </c>
      <c r="BN9" s="42">
        <f>((2*(Table3[[#This Row],[W_H]]))+Table3[[#This Row],[OTL_H]]+Table3[[#This Row],[SOL_H]])/(2*Table3[[#This Row],[GP_H]])</f>
        <v>1</v>
      </c>
      <c r="BO9" s="42">
        <f>((2*(Table3[[#This Row],[W_A]]))+Table3[[#This Row],[OTL_A]]+Table3[[#This Row],[SOL_A]])/(2*Table3[[#This Row],[GP_A]])</f>
        <v>0</v>
      </c>
      <c r="BP9" s="16">
        <f>(Table3[[#This Row],[W]]*$CX$3)+(Table3[[#This Row],[L]]*$CX$4)+(Table3[[#This Row],[GF]]*$CX$5)+(Table3[[#This Row],[GA]]*$CX$6)</f>
        <v>4.75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74.45</v>
      </c>
      <c r="BR9" s="16">
        <f>(Table3[[#This Row],[W]]*0.7) + ((Table3[[#This Row],[GF]] - Table3[[#This Row],[GA]])*0.25)+(Table3[[#This Row],[GF]]*0.1)+(Table3[[#This Row],[GA]]*0.05)+(Table3[[#This Row],[L]]*0.3)</f>
        <v>4.9499999999999993</v>
      </c>
      <c r="BS9" s="16">
        <f>Table3[[#This Row],[TeamCost83]]/Table3[[#This Row],[GP]]</f>
        <v>1.2374999999999998</v>
      </c>
      <c r="BT9">
        <f>COUNTIFS(Table2[AwayTeam],$A9,Table2[PredictedWinner], $A9, Table2[GameIsOver], 1)</f>
        <v>1</v>
      </c>
      <c r="BU9">
        <f>COUNTIFS(Table2[HomeTeam],$A9,Table2[PredictedWinner], $A9, Table2[GameIsOver], 1)</f>
        <v>2</v>
      </c>
      <c r="BV9">
        <f t="shared" si="8"/>
        <v>3</v>
      </c>
      <c r="BW9">
        <f t="shared" si="9"/>
        <v>0</v>
      </c>
      <c r="BX9">
        <f t="shared" si="10"/>
        <v>1</v>
      </c>
      <c r="BY9">
        <f t="shared" si="11"/>
        <v>1</v>
      </c>
      <c r="BZ9">
        <f>Table3[[#This Row],[TimesPredictedWinner]]/Table3[[#This Row],[GP]]</f>
        <v>0.75</v>
      </c>
      <c r="CB9">
        <v>2025</v>
      </c>
      <c r="CD9" s="1">
        <v>45752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1.7000000000000002</v>
      </c>
      <c r="CK9">
        <f>Table3[[#This Row],[Column4]]+Table3[[#This Row],[Column3]]</f>
        <v>1.7000000000000002</v>
      </c>
      <c r="CL9">
        <f>Table3[[#This Row],[Column5]]/Table3[[#This Row],[GP]]</f>
        <v>0.42500000000000004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1.1166666666666667</v>
      </c>
    </row>
    <row r="10" spans="1:144" x14ac:dyDescent="0.25">
      <c r="A10" t="s">
        <v>21</v>
      </c>
      <c r="B10" t="s">
        <v>90</v>
      </c>
      <c r="C10" t="s">
        <v>88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1</v>
      </c>
      <c r="E10" s="10">
        <f>Table3[[#This Row],[Watched]]/Table3[[#This Row],[GP]]</f>
        <v>0.33333333333333331</v>
      </c>
      <c r="F10">
        <f>COUNTIFS(DataRegularSeason20242025!$N$3:$N$1315,1,DataRegularSeason20242025!$D$3:$D$1315,$A10)</f>
        <v>1</v>
      </c>
      <c r="G10">
        <f>41-Table3[[#This Row],[GP_A]]</f>
        <v>40</v>
      </c>
      <c r="H10">
        <f>COUNTIFS(DataRegularSeason20242025!$E$3:$E$1315,$A10,DataRegularSeason20242025!$N$3:$N$1315,1)</f>
        <v>2</v>
      </c>
      <c r="I10">
        <f>41-Table3[[#This Row],[GP_H]]</f>
        <v>39</v>
      </c>
      <c r="J10">
        <f t="shared" si="0"/>
        <v>3</v>
      </c>
      <c r="K10">
        <f>82-Table3[[#This Row],[GP]]</f>
        <v>79</v>
      </c>
      <c r="L10">
        <f>COUNTIFS(DataRegularSeason20242025!$D$3:$D$1315,$A10, DataRegularSeason20242025!$L$3:$L$1315, $A10,DataRegularSeason20242025!$N$3:$N$1315,1)</f>
        <v>1</v>
      </c>
      <c r="M10">
        <f>COUNTIFS(DataRegularSeason20242025!$D$3:$D$1315,$A10, DataRegularSeason20242025!$L$3:$L$1315, $A10,DataRegularSeason20242025!$N$3:$N$1315,1,DataRegularSeason20242025!$M$3:$M$1315,"REG")</f>
        <v>1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1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2</v>
      </c>
      <c r="AD10">
        <f>Table3[[#This Row],[L_A]]+Table3[[#This Row],[L_H]]</f>
        <v>1</v>
      </c>
      <c r="AE10">
        <f>Table3[[#This Row],[RW_A]]+Table3[[#This Row],[RW_H]]</f>
        <v>2</v>
      </c>
      <c r="AF10">
        <f>Table3[[#This Row],[RL_A]]+Table3[[#This Row],[RL_H]]</f>
        <v>1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4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0" s="10">
        <f>Table3[[#This Row],[PTS]]/(2*Table3[[#This Row],[GP]])</f>
        <v>0.66666666666666663</v>
      </c>
      <c r="AR10" s="10">
        <f>Table3[[#This Row],[PTS2]]/(3*Table3[[#This Row],[GP]])</f>
        <v>0.66666666666666663</v>
      </c>
      <c r="AS10">
        <f>(2*Table3[[#This Row],[GR]])+Table3[[#This Row],[PTS]]</f>
        <v>162</v>
      </c>
      <c r="AT10">
        <f>(3*Table3[[#This Row],[GR]])+Table3[[#This Row],[PTS2]]</f>
        <v>243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164</v>
      </c>
      <c r="AW10" s="15" t="str">
        <f>_xlfn.CONCAT(TEXT(Table3[[#This Row],[W]], "0"), "-", TEXT(Table3[[#This Row],[RL]],"0"), "-", TEXT(Table3[[#This Row],[OTL]]+Table3[[#This Row],[SOL]], "0"))</f>
        <v>2-1-0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5</v>
      </c>
      <c r="AZ10">
        <f>SUMIF(DataRegularSeason20242025!$D$3:$D$1315,$A10, DataRegularSeason20242025!$K$3:$K$1315)</f>
        <v>2</v>
      </c>
      <c r="BA10">
        <f t="shared" si="3"/>
        <v>3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7</v>
      </c>
      <c r="BD10">
        <f>SUMIF(DataRegularSeason20242025!$E$3:$E$1315,$A10,DataRegularSeason20242025!$J$3:$J$1315)</f>
        <v>7</v>
      </c>
      <c r="BE10">
        <f t="shared" si="4"/>
        <v>0</v>
      </c>
      <c r="BF10">
        <f t="shared" si="5"/>
        <v>12</v>
      </c>
      <c r="BG10">
        <f t="shared" si="6"/>
        <v>9</v>
      </c>
      <c r="BH10">
        <f t="shared" si="7"/>
        <v>3</v>
      </c>
      <c r="BI10" s="12">
        <f>Table3[[#This Row],[GF]]/Table3[[#This Row],[GP]]</f>
        <v>4</v>
      </c>
      <c r="BJ10" s="12">
        <f>Table3[[#This Row],[GA]]/Table3[[#This Row],[GP]]</f>
        <v>3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1-1-0</v>
      </c>
      <c r="BM10" s="42" t="str">
        <f>_xlfn.CONCAT(TEXT(Table3[[#This Row],[W_A]], "0"), "-", TEXT(Table3[[#This Row],[RL_A]],"0"), "-", TEXT(Table3[[#This Row],[OTL_A]]+Table3[[#This Row],[SOL_A]], "0"))</f>
        <v>1-0-0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3.9999999999999996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89.644444444444446</v>
      </c>
      <c r="BR10" s="16">
        <f>(Table3[[#This Row],[W]]*0.7) + ((Table3[[#This Row],[GF]] - Table3[[#This Row],[GA]])*0.25)+(Table3[[#This Row],[GF]]*0.1)+(Table3[[#This Row],[GA]]*0.05)+(Table3[[#This Row],[L]]*0.3)</f>
        <v>4.1000000000000005</v>
      </c>
      <c r="BS10" s="16">
        <f>Table3[[#This Row],[TeamCost83]]/Table3[[#This Row],[GP]]</f>
        <v>1.3666666666666669</v>
      </c>
      <c r="BT10">
        <f>COUNTIFS(Table2[AwayTeam],$A10,Table2[PredictedWinner], $A10, Table2[GameIsOver], 1)</f>
        <v>1</v>
      </c>
      <c r="BU10">
        <f>COUNTIFS(Table2[HomeTeam],$A10,Table2[PredictedWinner], $A10, Table2[GameIsOver], 1)</f>
        <v>1</v>
      </c>
      <c r="BV10">
        <f t="shared" si="8"/>
        <v>2</v>
      </c>
      <c r="BW10">
        <f t="shared" si="9"/>
        <v>0</v>
      </c>
      <c r="BX10">
        <f t="shared" si="10"/>
        <v>1</v>
      </c>
      <c r="BY10">
        <f t="shared" si="11"/>
        <v>1</v>
      </c>
      <c r="BZ10">
        <f>Table3[[#This Row],[TimesPredictedWinner]]/Table3[[#This Row],[GP]]</f>
        <v>0.66666666666666663</v>
      </c>
      <c r="CD10" s="1">
        <v>45741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0.8</v>
      </c>
      <c r="CJ10">
        <f>SUMIFS(Table2[GamePredictionScore], Table2[HomeTeam], Table3[[#This Row],[Teams]])</f>
        <v>1.6</v>
      </c>
      <c r="CK10">
        <f>Table3[[#This Row],[Column4]]+Table3[[#This Row],[Column3]]</f>
        <v>2.4000000000000004</v>
      </c>
      <c r="CL10">
        <f>Table3[[#This Row],[Column5]]/Table3[[#This Row],[GP]]</f>
        <v>0.80000000000000016</v>
      </c>
      <c r="CR10" t="s">
        <v>147</v>
      </c>
      <c r="CS10" s="1">
        <f>_xlfn.MAXIFS(DataRegularSeason20242025!$B$3:$B$1315,DataRegularSeason20242025!$N$3:$N$1315,1)</f>
        <v>45943</v>
      </c>
      <c r="CW10" t="s">
        <v>153</v>
      </c>
      <c r="CX10" s="16">
        <f>CW9*82</f>
        <v>91.566666666666663</v>
      </c>
    </row>
    <row r="11" spans="1:144" x14ac:dyDescent="0.25">
      <c r="A11" t="s">
        <v>18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3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0</v>
      </c>
      <c r="I11">
        <f>41-Table3[[#This Row],[GP_H]]</f>
        <v>41</v>
      </c>
      <c r="J11">
        <f t="shared" si="0"/>
        <v>3</v>
      </c>
      <c r="K11">
        <f>82-Table3[[#This Row],[GP]]</f>
        <v>79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2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1</v>
      </c>
      <c r="Q11">
        <f>COUNTIFS(DataRegularSeason20242025!$D$3:$D$1315,$A11, DataRegularSeason20242025!$S$3:$S$1315, $A11,DataRegularSeason20242025!$M$3:$M$1315,"REG")</f>
        <v>1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0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2</v>
      </c>
      <c r="AD11">
        <f>Table3[[#This Row],[L_A]]+Table3[[#This Row],[L_H]]</f>
        <v>1</v>
      </c>
      <c r="AE11">
        <f>Table3[[#This Row],[RW_A]]+Table3[[#This Row],[RW_H]]</f>
        <v>2</v>
      </c>
      <c r="AF11">
        <f>Table3[[#This Row],[RL_A]]+Table3[[#This Row],[RL_H]]</f>
        <v>1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4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1" s="10">
        <f>Table3[[#This Row],[PTS]]/(2*Table3[[#This Row],[GP]])</f>
        <v>0.66666666666666663</v>
      </c>
      <c r="AR11" s="10">
        <f>Table3[[#This Row],[PTS2]]/(3*Table3[[#This Row],[GP]])</f>
        <v>0.66666666666666663</v>
      </c>
      <c r="AS11">
        <f>(2*Table3[[#This Row],[GR]])+Table3[[#This Row],[PTS]]</f>
        <v>162</v>
      </c>
      <c r="AT11">
        <f>(3*Table3[[#This Row],[GR]])+Table3[[#This Row],[PTS2]]</f>
        <v>243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2-1-0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10</v>
      </c>
      <c r="AZ11">
        <f>SUMIF(DataRegularSeason20242025!$D$3:$D$1315,$A11, DataRegularSeason20242025!$K$3:$K$1315)</f>
        <v>8</v>
      </c>
      <c r="BA11">
        <f t="shared" si="3"/>
        <v>2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0</v>
      </c>
      <c r="BD11">
        <f>SUMIF(DataRegularSeason20242025!$E$3:$E$1315,$A11,DataRegularSeason20242025!$J$3:$J$1315)</f>
        <v>0</v>
      </c>
      <c r="BE11">
        <f t="shared" si="4"/>
        <v>0</v>
      </c>
      <c r="BF11">
        <f t="shared" si="5"/>
        <v>10</v>
      </c>
      <c r="BG11">
        <f t="shared" si="6"/>
        <v>8</v>
      </c>
      <c r="BH11">
        <f t="shared" si="7"/>
        <v>2</v>
      </c>
      <c r="BI11" s="12">
        <f>Table3[[#This Row],[GF]]/Table3[[#This Row],[GP]]</f>
        <v>3.3333333333333335</v>
      </c>
      <c r="BJ11" s="12">
        <f>Table3[[#This Row],[GA]]/Table3[[#This Row],[GP]]</f>
        <v>2.6666666666666665</v>
      </c>
      <c r="BK11" s="12">
        <f>(Table3[[#This Row],[GF]]-Table3[[#This Row],[GA]])/Table3[[#This Row],[GP]]</f>
        <v>0.66666666666666663</v>
      </c>
      <c r="BL11" s="42" t="str">
        <f>_xlfn.CONCAT(TEXT(Table3[[#This Row],[W_H]], "0"), "-", TEXT(Table3[[#This Row],[RL_H]],"0"), "-", TEXT(Table3[[#This Row],[OTL_H]]+Table3[[#This Row],[SOL_H]], "0"))</f>
        <v>0-0-0</v>
      </c>
      <c r="BM11" s="42" t="str">
        <f>_xlfn.CONCAT(TEXT(Table3[[#This Row],[W_A]], "0"), "-", TEXT(Table3[[#This Row],[RL_A]],"0"), "-", TEXT(Table3[[#This Row],[OTL_A]]+Table3[[#This Row],[SOL_A]], "0"))</f>
        <v>2-1-0</v>
      </c>
      <c r="BN11" s="42" t="e">
        <f>((2*(Table3[[#This Row],[W_H]]))+Table3[[#This Row],[OTL_H]]+Table3[[#This Row],[SOL_H]])/(2*Table3[[#This Row],[GP_H]])</f>
        <v>#DIV/0!</v>
      </c>
      <c r="BO11" s="42">
        <f>((2*(Table3[[#This Row],[W_A]]))+Table3[[#This Row],[OTL_A]]+Table3[[#This Row],[SOL_A]])/(2*Table3[[#This Row],[GP_A]])</f>
        <v>0.66666666666666663</v>
      </c>
      <c r="BP11" s="16">
        <f>(Table3[[#This Row],[W]]*$CX$3)+(Table3[[#This Row],[L]]*$CX$4)+(Table3[[#This Row],[GF]]*$CX$5)+(Table3[[#This Row],[GA]]*$CX$6)</f>
        <v>3.5999999999999996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78.311111111111103</v>
      </c>
      <c r="BR11" s="16">
        <f>(Table3[[#This Row],[W]]*0.7) + ((Table3[[#This Row],[GF]] - Table3[[#This Row],[GA]])*0.25)+(Table3[[#This Row],[GF]]*0.1)+(Table3[[#This Row],[GA]]*0.05)+(Table3[[#This Row],[L]]*0.3)</f>
        <v>3.5999999999999996</v>
      </c>
      <c r="BS11" s="16">
        <f>Table3[[#This Row],[TeamCost83]]/Table3[[#This Row],[GP]]</f>
        <v>1.2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0</v>
      </c>
      <c r="BV11">
        <f t="shared" si="8"/>
        <v>2</v>
      </c>
      <c r="BW11">
        <f t="shared" si="9"/>
        <v>1</v>
      </c>
      <c r="BX11">
        <f t="shared" si="10"/>
        <v>0</v>
      </c>
      <c r="BY11">
        <f t="shared" si="11"/>
        <v>1</v>
      </c>
      <c r="BZ11">
        <f>Table3[[#This Row],[TimesPredictedWinner]]/Table3[[#This Row],[GP]]</f>
        <v>0.66666666666666663</v>
      </c>
      <c r="CB11">
        <v>1993</v>
      </c>
      <c r="CD11" s="1">
        <v>45763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2.4000000000000004</v>
      </c>
      <c r="CJ11">
        <f>SUMIFS(Table2[GamePredictionScore], Table2[HomeTeam], Table3[[#This Row],[Teams]])</f>
        <v>0</v>
      </c>
      <c r="CK11">
        <f>Table3[[#This Row],[Column4]]+Table3[[#This Row],[Column3]]</f>
        <v>2.4000000000000004</v>
      </c>
      <c r="CL11">
        <f>Table3[[#This Row],[Column5]]/Table3[[#This Row],[GP]]</f>
        <v>0.80000000000000016</v>
      </c>
      <c r="CR11" t="s">
        <v>148</v>
      </c>
      <c r="CS11">
        <f>$CS$2/($CS$10-$CS$9)</f>
        <v>8</v>
      </c>
      <c r="CW11">
        <f>ROUND(CZ5,0)</f>
        <v>2</v>
      </c>
    </row>
    <row r="12" spans="1:144" x14ac:dyDescent="0.25">
      <c r="A12" t="s">
        <v>36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1</v>
      </c>
      <c r="E12" s="10">
        <f>Table3[[#This Row],[Watched]]/Table3[[#This Row],[GP]]</f>
        <v>0.33333333333333331</v>
      </c>
      <c r="F12">
        <f>COUNTIFS(DataRegularSeason20242025!$N$3:$N$1315,1,DataRegularSeason20242025!$D$3:$D$1315,$A12)</f>
        <v>1</v>
      </c>
      <c r="G12">
        <f>41-Table3[[#This Row],[GP_A]]</f>
        <v>40</v>
      </c>
      <c r="H12">
        <f>COUNTIFS(DataRegularSeason20242025!$E$3:$E$1315,$A12,DataRegularSeason20242025!$N$3:$N$1315,1)</f>
        <v>2</v>
      </c>
      <c r="I12">
        <f>41-Table3[[#This Row],[GP_H]]</f>
        <v>39</v>
      </c>
      <c r="J12">
        <f t="shared" si="0"/>
        <v>3</v>
      </c>
      <c r="K12">
        <f>82-Table3[[#This Row],[GP]]</f>
        <v>79</v>
      </c>
      <c r="L12">
        <f>COUNTIFS(DataRegularSeason20242025!$D$3:$D$1315,$A12, DataRegularSeason20242025!$L$3:$L$1315, $A12,DataRegularSeason20242025!$N$3:$N$1315,1)</f>
        <v>1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1</v>
      </c>
      <c r="X12">
        <f t="shared" si="2"/>
        <v>1</v>
      </c>
      <c r="Y12">
        <f>COUNTIFS(DataRegularSeason20242025!$E$3:$E$1315,$A12, DataRegularSeason20242025!$S$3:$S$1315, $A12,DataRegularSeason20242025!$M$3:$M$1315,"REG")</f>
        <v>1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2</v>
      </c>
      <c r="AD12">
        <f>Table3[[#This Row],[L_A]]+Table3[[#This Row],[L_H]]</f>
        <v>1</v>
      </c>
      <c r="AE12">
        <f>Table3[[#This Row],[RW_A]]+Table3[[#This Row],[RW_H]]</f>
        <v>1</v>
      </c>
      <c r="AF12">
        <f>Table3[[#This Row],[RL_A]]+Table3[[#This Row],[RL_H]]</f>
        <v>1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1-0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1</v>
      </c>
      <c r="AN12">
        <f>Table3[[#This Row],[Total_ExtraTimes]]/MAX(1,Table3[[#This Row],[GP]])</f>
        <v>0.33333333333333331</v>
      </c>
      <c r="AO12">
        <f>(2*(Table3[[#This Row],[W_A]]+Table3[[#This Row],[W_H]]))+Table3[[#This Row],[OTL_A]]+Table3[[#This Row],[SOL_A]]+Table3[[#This Row],[OTL_H]]+Table3[[#This Row],[SOL_H]]</f>
        <v>4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2" s="10">
        <f>Table3[[#This Row],[PTS]]/(2*Table3[[#This Row],[GP]])</f>
        <v>0.66666666666666663</v>
      </c>
      <c r="AR12" s="10">
        <f>Table3[[#This Row],[PTS2]]/(3*Table3[[#This Row],[GP]])</f>
        <v>0.55555555555555558</v>
      </c>
      <c r="AS12">
        <f>(2*Table3[[#This Row],[GR]])+Table3[[#This Row],[PTS]]</f>
        <v>162</v>
      </c>
      <c r="AT12">
        <f>(3*Table3[[#This Row],[GR]])+Table3[[#This Row],[PTS2]]</f>
        <v>242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2-1-0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5</v>
      </c>
      <c r="AZ12">
        <f>SUMIF(DataRegularSeason20242025!$D$3:$D$1315,$A12, DataRegularSeason20242025!$K$3:$K$1315)</f>
        <v>0</v>
      </c>
      <c r="BA12">
        <f t="shared" si="3"/>
        <v>5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10</v>
      </c>
      <c r="BE12">
        <f t="shared" si="4"/>
        <v>-3</v>
      </c>
      <c r="BF12">
        <f t="shared" si="5"/>
        <v>12</v>
      </c>
      <c r="BG12">
        <f t="shared" si="6"/>
        <v>10</v>
      </c>
      <c r="BH12">
        <f t="shared" si="7"/>
        <v>2</v>
      </c>
      <c r="BI12" s="12">
        <f>Table3[[#This Row],[GF]]/Table3[[#This Row],[GP]]</f>
        <v>4</v>
      </c>
      <c r="BJ12" s="12">
        <f>Table3[[#This Row],[GA]]/Table3[[#This Row],[GP]]</f>
        <v>3.3333333333333335</v>
      </c>
      <c r="BK12" s="12">
        <f>(Table3[[#This Row],[GF]]-Table3[[#This Row],[GA]])/Table3[[#This Row],[GP]]</f>
        <v>0.66666666666666663</v>
      </c>
      <c r="BL12" s="42" t="str">
        <f>_xlfn.CONCAT(TEXT(Table3[[#This Row],[W_H]], "0"), "-", TEXT(Table3[[#This Row],[RL_H]],"0"), "-", TEXT(Table3[[#This Row],[OTL_H]]+Table3[[#This Row],[SOL_H]], "0"))</f>
        <v>1-1-0</v>
      </c>
      <c r="BM12" s="42" t="str">
        <f>_xlfn.CONCAT(TEXT(Table3[[#This Row],[W_A]], "0"), "-", TEXT(Table3[[#This Row],[RL_A]],"0"), "-", TEXT(Table3[[#This Row],[OTL_A]]+Table3[[#This Row],[SOL_A]], "0"))</f>
        <v>1-0-0</v>
      </c>
      <c r="BN12" s="42">
        <f>((2*(Table3[[#This Row],[W_H]]))+Table3[[#This Row],[OTL_H]]+Table3[[#This Row],[SOL_H]])/(2*Table3[[#This Row],[GP_H]])</f>
        <v>0.5</v>
      </c>
      <c r="BO12" s="42">
        <f>((2*(Table3[[#This Row],[W_A]]))+Table3[[#This Row],[OTL_A]]+Table3[[#This Row],[SOL_A]])/(2*Table3[[#This Row],[GP_A]])</f>
        <v>1</v>
      </c>
      <c r="BP12" s="16">
        <f>(Table3[[#This Row],[W]]*$CX$3)+(Table3[[#This Row],[L]]*$CX$4)+(Table3[[#This Row],[GF]]*$CX$5)+(Table3[[#This Row],[GA]]*$CX$6)</f>
        <v>4.0999999999999996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92.477777777777774</v>
      </c>
      <c r="BR12" s="16">
        <f>(Table3[[#This Row],[W]]*0.7) + ((Table3[[#This Row],[GF]] - Table3[[#This Row],[GA]])*0.25)+(Table3[[#This Row],[GF]]*0.1)+(Table3[[#This Row],[GA]]*0.05)+(Table3[[#This Row],[L]]*0.3)</f>
        <v>3.9</v>
      </c>
      <c r="BS12" s="16">
        <f>Table3[[#This Row],[TeamCost83]]/Table3[[#This Row],[GP]]</f>
        <v>1.3</v>
      </c>
      <c r="BT12">
        <f>COUNTIFS(Table2[AwayTeam],$A12,Table2[PredictedWinner], $A12, Table2[GameIsOver], 1)</f>
        <v>1</v>
      </c>
      <c r="BU12">
        <f>COUNTIFS(Table2[HomeTeam],$A12,Table2[PredictedWinner], $A12, Table2[GameIsOver], 1)</f>
        <v>2</v>
      </c>
      <c r="BV12">
        <f t="shared" si="8"/>
        <v>3</v>
      </c>
      <c r="BW12">
        <f t="shared" si="9"/>
        <v>0</v>
      </c>
      <c r="BX12">
        <f t="shared" si="10"/>
        <v>0</v>
      </c>
      <c r="BY12">
        <f t="shared" si="11"/>
        <v>0</v>
      </c>
      <c r="BZ12">
        <f>Table3[[#This Row],[TimesPredictedWinner]]/Table3[[#This Row],[GP]]</f>
        <v>1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0.9</v>
      </c>
      <c r="CK12">
        <f>Table3[[#This Row],[Column4]]+Table3[[#This Row],[Column3]]</f>
        <v>1.8</v>
      </c>
      <c r="CL12">
        <f>Table3[[#This Row],[Column5]]/Table3[[#This Row],[GP]]</f>
        <v>0.6</v>
      </c>
      <c r="CR12" t="s">
        <v>149</v>
      </c>
      <c r="CS12">
        <f>$CS$3/($CS$10-$CS$9)</f>
        <v>4.666666666666667</v>
      </c>
    </row>
    <row r="13" spans="1:144" x14ac:dyDescent="0.25">
      <c r="A13" t="s">
        <v>43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1</v>
      </c>
      <c r="E13" s="10">
        <f>Table3[[#This Row],[Watched]]/Table3[[#This Row],[GP]]</f>
        <v>0.33333333333333331</v>
      </c>
      <c r="F13">
        <f>COUNTIFS(DataRegularSeason20242025!$N$3:$N$1315,1,DataRegularSeason20242025!$D$3:$D$1315,$A13)</f>
        <v>2</v>
      </c>
      <c r="G13">
        <f>41-Table3[[#This Row],[GP_A]]</f>
        <v>39</v>
      </c>
      <c r="H13">
        <f>COUNTIFS(DataRegularSeason20242025!$E$3:$E$1315,$A13,DataRegularSeason20242025!$N$3:$N$1315,1)</f>
        <v>1</v>
      </c>
      <c r="I13">
        <f>41-Table3[[#This Row],[GP_H]]</f>
        <v>40</v>
      </c>
      <c r="J13">
        <f t="shared" si="0"/>
        <v>3</v>
      </c>
      <c r="K13">
        <f>82-Table3[[#This Row],[GP]]</f>
        <v>79</v>
      </c>
      <c r="L13">
        <f>COUNTIFS(DataRegularSeason20242025!$D$3:$D$1315,$A13, DataRegularSeason20242025!$L$3:$L$1315, $A13,DataRegularSeason20242025!$N$3:$N$1315,1)</f>
        <v>2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0</v>
      </c>
      <c r="U13">
        <f>COUNTIFS(DataRegularSeason20242025!$E$3:$E$1315,$A13, DataRegularSeason20242025!$L$3:$L$1315, $A13,DataRegularSeason20242025!$N$3:$N$1315,1,DataRegularSeason20242025!$M$3:$M$1315,"REG")</f>
        <v>0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2</v>
      </c>
      <c r="AD13">
        <f>Table3[[#This Row],[L_A]]+Table3[[#This Row],[L_H]]</f>
        <v>1</v>
      </c>
      <c r="AE13">
        <f>Table3[[#This Row],[RW_A]]+Table3[[#This Row],[RW_H]]</f>
        <v>2</v>
      </c>
      <c r="AF13">
        <f>Table3[[#This Row],[RL_A]]+Table3[[#This Row],[RL_H]]</f>
        <v>1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4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3" s="10">
        <f>Table3[[#This Row],[PTS]]/(2*Table3[[#This Row],[GP]])</f>
        <v>0.66666666666666663</v>
      </c>
      <c r="AR13" s="10">
        <f>Table3[[#This Row],[PTS2]]/(3*Table3[[#This Row],[GP]])</f>
        <v>0.66666666666666663</v>
      </c>
      <c r="AS13">
        <f>(2*Table3[[#This Row],[GR]])+Table3[[#This Row],[PTS]]</f>
        <v>162</v>
      </c>
      <c r="AT13">
        <f>(3*Table3[[#This Row],[GR]])+Table3[[#This Row],[PTS2]]</f>
        <v>243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2-1-0</v>
      </c>
      <c r="AX13">
        <f>COUNTIFS(DataRegularSeason20242025!$D$3:$D$1315,Table3[[#This Row],[Teams]],DataRegularSeason20242025!$K$3:$K$1315,0)</f>
        <v>1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2</v>
      </c>
      <c r="BA13">
        <f t="shared" si="3"/>
        <v>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</v>
      </c>
      <c r="BD13">
        <f>SUMIF(DataRegularSeason20242025!$E$3:$E$1315,$A13,DataRegularSeason20242025!$J$3:$J$1315)</f>
        <v>3</v>
      </c>
      <c r="BE13">
        <f t="shared" si="4"/>
        <v>-2</v>
      </c>
      <c r="BF13">
        <f t="shared" si="5"/>
        <v>6</v>
      </c>
      <c r="BG13">
        <f t="shared" si="6"/>
        <v>5</v>
      </c>
      <c r="BH13">
        <f t="shared" si="7"/>
        <v>1</v>
      </c>
      <c r="BI13" s="12">
        <f>Table3[[#This Row],[GF]]/Table3[[#This Row],[GP]]</f>
        <v>2</v>
      </c>
      <c r="BJ13" s="12">
        <f>Table3[[#This Row],[GA]]/Table3[[#This Row],[GP]]</f>
        <v>1.6666666666666667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0-1-0</v>
      </c>
      <c r="BM13" s="42" t="str">
        <f>_xlfn.CONCAT(TEXT(Table3[[#This Row],[W_A]], "0"), "-", TEXT(Table3[[#This Row],[RL_A]],"0"), "-", TEXT(Table3[[#This Row],[OTL_A]]+Table3[[#This Row],[SOL_A]], "0"))</f>
        <v>2-0-0</v>
      </c>
      <c r="BN13" s="42">
        <f>((2*(Table3[[#This Row],[W_H]]))+Table3[[#This Row],[OTL_H]]+Table3[[#This Row],[SOL_H]])/(2*Table3[[#This Row],[GP_H]])</f>
        <v>0</v>
      </c>
      <c r="BO13" s="42">
        <f>((2*(Table3[[#This Row],[W_A]]))+Table3[[#This Row],[OTL_A]]+Table3[[#This Row],[SOL_A]])/(2*Table3[[#This Row],[GP_A]])</f>
        <v>1</v>
      </c>
      <c r="BP13" s="16">
        <f>(Table3[[#This Row],[W]]*$CX$3)+(Table3[[#This Row],[L]]*$CX$4)+(Table3[[#This Row],[GF]]*$CX$5)+(Table3[[#This Row],[GA]]*$CX$6)</f>
        <v>2.7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52.811111111111103</v>
      </c>
      <c r="BR13" s="16">
        <f>(Table3[[#This Row],[W]]*0.7) + ((Table3[[#This Row],[GF]] - Table3[[#This Row],[GA]])*0.25)+(Table3[[#This Row],[GF]]*0.1)+(Table3[[#This Row],[GA]]*0.05)+(Table3[[#This Row],[L]]*0.3)</f>
        <v>2.8</v>
      </c>
      <c r="BS13" s="16">
        <f>Table3[[#This Row],[TeamCost83]]/Table3[[#This Row],[GP]]</f>
        <v>0.93333333333333324</v>
      </c>
      <c r="BT13">
        <f>COUNTIFS(Table2[AwayTeam],$A13,Table2[PredictedWinner], $A13, Table2[GameIsOver], 1)</f>
        <v>2</v>
      </c>
      <c r="BU13">
        <f>COUNTIFS(Table2[HomeTeam],$A13,Table2[PredictedWinner], $A13, Table2[GameIsOver], 1)</f>
        <v>1</v>
      </c>
      <c r="BV13">
        <f t="shared" si="8"/>
        <v>3</v>
      </c>
      <c r="BW13">
        <f t="shared" si="9"/>
        <v>0</v>
      </c>
      <c r="BX13">
        <f t="shared" si="10"/>
        <v>0</v>
      </c>
      <c r="BY13">
        <f t="shared" si="11"/>
        <v>0</v>
      </c>
      <c r="BZ13">
        <f>Table3[[#This Row],[TimesPredictedWinner]]/Table3[[#This Row],[GP]]</f>
        <v>1</v>
      </c>
      <c r="CB13">
        <v>2018</v>
      </c>
      <c r="CD13" s="1">
        <v>45736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1.8</v>
      </c>
      <c r="CJ13">
        <f>SUMIFS(Table2[GamePredictionScore], Table2[HomeTeam], Table3[[#This Row],[Teams]])</f>
        <v>0</v>
      </c>
      <c r="CK13">
        <f>Table3[[#This Row],[Column4]]+Table3[[#This Row],[Column3]]</f>
        <v>1.8</v>
      </c>
      <c r="CL13">
        <f>Table3[[#This Row],[Column5]]/Table3[[#This Row],[GP]]</f>
        <v>0.6</v>
      </c>
      <c r="CR13" t="s">
        <v>154</v>
      </c>
      <c r="CS13">
        <f>(CS5/CS2)/2</f>
        <v>3.0416666666666665</v>
      </c>
    </row>
    <row r="14" spans="1:144" x14ac:dyDescent="0.25">
      <c r="A14" t="s">
        <v>31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0</v>
      </c>
      <c r="E14" s="10">
        <f>Table3[[#This Row],[Watched]]/Table3[[#This Row],[GP]]</f>
        <v>0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0</v>
      </c>
      <c r="I14">
        <f>41-Table3[[#This Row],[GP_H]]</f>
        <v>41</v>
      </c>
      <c r="J14">
        <f t="shared" si="0"/>
        <v>3</v>
      </c>
      <c r="K14">
        <f>82-Table3[[#This Row],[GP]]</f>
        <v>79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2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0</v>
      </c>
      <c r="U14">
        <f>COUNTIFS(DataRegularSeason20242025!$E$3:$E$1315,$A14, DataRegularSeason20242025!$L$3:$L$1315, $A14,DataRegularSeason20242025!$N$3:$N$1315,1,DataRegularSeason20242025!$M$3:$M$1315,"REG")</f>
        <v>0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0.66666666666666663</v>
      </c>
      <c r="AC14">
        <f>Table3[[#This Row],[W_A]]+Table3[[#This Row],[W_H]]</f>
        <v>2</v>
      </c>
      <c r="AD14">
        <f>Table3[[#This Row],[L_A]]+Table3[[#This Row],[L_H]]</f>
        <v>1</v>
      </c>
      <c r="AE14">
        <f>Table3[[#This Row],[RW_A]]+Table3[[#This Row],[RW_H]]</f>
        <v>2</v>
      </c>
      <c r="AF14">
        <f>Table3[[#This Row],[RL_A]]+Table3[[#This Row],[RL_H]]</f>
        <v>1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4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4" s="10">
        <f>Table3[[#This Row],[PTS]]/(2*Table3[[#This Row],[GP]])</f>
        <v>0.66666666666666663</v>
      </c>
      <c r="AR14" s="10">
        <f>Table3[[#This Row],[PTS2]]/(3*Table3[[#This Row],[GP]])</f>
        <v>0.66666666666666663</v>
      </c>
      <c r="AS14">
        <f>(2*Table3[[#This Row],[GR]])+Table3[[#This Row],[PTS]]</f>
        <v>162</v>
      </c>
      <c r="AT14">
        <f>(3*Table3[[#This Row],[GR]])+Table3[[#This Row],[PTS2]]</f>
        <v>243</v>
      </c>
      <c r="AU14">
        <f>Table3[[#This Row],[PTS]]+(2 * Table3[[#This Row],[GR]] * Table3[[#This Row],[PTS%]])</f>
        <v>109.33333333333333</v>
      </c>
      <c r="AV14">
        <f>Table3[[#This Row],[PTS2]]+(3 * Table3[[#This Row],[GR]] * Table3[[#This Row],[PTS%2]])</f>
        <v>164</v>
      </c>
      <c r="AW14" s="15" t="str">
        <f>_xlfn.CONCAT(TEXT(Table3[[#This Row],[W]], "0"), "-", TEXT(Table3[[#This Row],[RL]],"0"), "-", TEXT(Table3[[#This Row],[OTL]]+Table3[[#This Row],[SOL]], "0"))</f>
        <v>2-1-0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11</v>
      </c>
      <c r="BA14">
        <f t="shared" si="3"/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0</v>
      </c>
      <c r="BD14">
        <f>SUMIF(DataRegularSeason20242025!$E$3:$E$1315,$A14,DataRegularSeason20242025!$J$3:$J$1315)</f>
        <v>0</v>
      </c>
      <c r="BE14">
        <f t="shared" si="4"/>
        <v>0</v>
      </c>
      <c r="BF14">
        <f t="shared" si="5"/>
        <v>11</v>
      </c>
      <c r="BG14">
        <f t="shared" si="6"/>
        <v>11</v>
      </c>
      <c r="BH14">
        <f t="shared" si="7"/>
        <v>0</v>
      </c>
      <c r="BI14" s="12">
        <f>Table3[[#This Row],[GF]]/Table3[[#This Row],[GP]]</f>
        <v>3.6666666666666665</v>
      </c>
      <c r="BJ14" s="12">
        <f>Table3[[#This Row],[GA]]/Table3[[#This Row],[GP]]</f>
        <v>3.6666666666666665</v>
      </c>
      <c r="BK14" s="12">
        <f>(Table3[[#This Row],[GF]]-Table3[[#This Row],[GA]])/Table3[[#This Row],[GP]]</f>
        <v>0</v>
      </c>
      <c r="BL14" s="42" t="str">
        <f>_xlfn.CONCAT(TEXT(Table3[[#This Row],[W_H]], "0"), "-", TEXT(Table3[[#This Row],[RL_H]],"0"), "-", TEXT(Table3[[#This Row],[OTL_H]]+Table3[[#This Row],[SOL_H]], "0"))</f>
        <v>0-0-0</v>
      </c>
      <c r="BM14" s="42" t="str">
        <f>_xlfn.CONCAT(TEXT(Table3[[#This Row],[W_A]], "0"), "-", TEXT(Table3[[#This Row],[RL_A]],"0"), "-", TEXT(Table3[[#This Row],[OTL_A]]+Table3[[#This Row],[SOL_A]], "0"))</f>
        <v>2-1-0</v>
      </c>
      <c r="BN14" s="42" t="e">
        <f>((2*(Table3[[#This Row],[W_H]]))+Table3[[#This Row],[OTL_H]]+Table3[[#This Row],[SOL_H]])/(2*Table3[[#This Row],[GP_H]])</f>
        <v>#DIV/0!</v>
      </c>
      <c r="BO14" s="42">
        <f>((2*(Table3[[#This Row],[W_A]]))+Table3[[#This Row],[OTL_A]]+Table3[[#This Row],[SOL_A]])/(2*Table3[[#This Row],[GP_A]])</f>
        <v>0.66666666666666663</v>
      </c>
      <c r="BP14" s="16">
        <f>(Table3[[#This Row],[W]]*$CX$3)+(Table3[[#This Row],[L]]*$CX$4)+(Table3[[#This Row],[GF]]*$CX$5)+(Table3[[#This Row],[GA]]*$CX$6)</f>
        <v>4.0500000000000007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91.061111111111103</v>
      </c>
      <c r="BR14" s="16">
        <f>(Table3[[#This Row],[W]]*0.7) + ((Table3[[#This Row],[GF]] - Table3[[#This Row],[GA]])*0.25)+(Table3[[#This Row],[GF]]*0.1)+(Table3[[#This Row],[GA]]*0.05)+(Table3[[#This Row],[L]]*0.3)</f>
        <v>3.3499999999999996</v>
      </c>
      <c r="BS14" s="16">
        <f>Table3[[#This Row],[TeamCost83]]/Table3[[#This Row],[GP]]</f>
        <v>1.1166666666666665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0</v>
      </c>
      <c r="BV14">
        <f t="shared" si="8"/>
        <v>0</v>
      </c>
      <c r="BW14">
        <f t="shared" si="9"/>
        <v>3</v>
      </c>
      <c r="BX14">
        <f t="shared" si="10"/>
        <v>0</v>
      </c>
      <c r="BY14">
        <f t="shared" si="11"/>
        <v>3</v>
      </c>
      <c r="BZ14">
        <f>Table3[[#This Row],[TimesPredictedWinner]]/Table3[[#This Row],[GP]]</f>
        <v>0</v>
      </c>
      <c r="CB14">
        <v>2003</v>
      </c>
      <c r="CD14" s="1">
        <v>45755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0.9</v>
      </c>
      <c r="CJ14">
        <f>SUMIFS(Table2[GamePredictionScore], Table2[HomeTeam], Table3[[#This Row],[Teams]])</f>
        <v>0</v>
      </c>
      <c r="CK14">
        <f>Table3[[#This Row],[Column4]]+Table3[[#This Row],[Column3]]</f>
        <v>0.9</v>
      </c>
      <c r="CL14">
        <f>Table3[[#This Row],[Column5]]/Table3[[#This Row],[GP]]</f>
        <v>0.3</v>
      </c>
      <c r="CR14" t="s">
        <v>460</v>
      </c>
      <c r="CS14">
        <f>CS7+CS8</f>
        <v>10</v>
      </c>
    </row>
    <row r="15" spans="1:144" ht="15.75" thickBot="1" x14ac:dyDescent="0.3">
      <c r="A15" t="s">
        <v>30</v>
      </c>
      <c r="B15" t="s">
        <v>91</v>
      </c>
      <c r="C15" t="s">
        <v>74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3</v>
      </c>
      <c r="E15" s="10">
        <f>Table3[[#This Row],[Watched]]/Table3[[#This Row],[GP]]</f>
        <v>1</v>
      </c>
      <c r="F15">
        <f>COUNTIFS(DataRegularSeason20242025!$N$3:$N$1315,1,DataRegularSeason20242025!$D$3:$D$1315,$A15)</f>
        <v>1</v>
      </c>
      <c r="G15">
        <f>41-Table3[[#This Row],[GP_A]]</f>
        <v>40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 t="shared" si="0"/>
        <v>3</v>
      </c>
      <c r="K15">
        <f>82-Table3[[#This Row],[GP]]</f>
        <v>79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1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0.66666666666666663</v>
      </c>
      <c r="AC15">
        <f>Table3[[#This Row],[W_A]]+Table3[[#This Row],[W_H]]</f>
        <v>2</v>
      </c>
      <c r="AD15">
        <f>Table3[[#This Row],[L_A]]+Table3[[#This Row],[L_H]]</f>
        <v>1</v>
      </c>
      <c r="AE15">
        <f>Table3[[#This Row],[RW_A]]+Table3[[#This Row],[RW_H]]</f>
        <v>2</v>
      </c>
      <c r="AF15">
        <f>Table3[[#This Row],[RL_A]]+Table3[[#This Row],[RL_H]]</f>
        <v>1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4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5" s="10">
        <f>Table3[[#This Row],[PTS]]/(2*Table3[[#This Row],[GP]])</f>
        <v>0.66666666666666663</v>
      </c>
      <c r="AR15" s="10">
        <f>Table3[[#This Row],[PTS2]]/(3*Table3[[#This Row],[GP]])</f>
        <v>0.66666666666666663</v>
      </c>
      <c r="AS15">
        <f>(2*Table3[[#This Row],[GR]])+Table3[[#This Row],[PTS]]</f>
        <v>162</v>
      </c>
      <c r="AT15">
        <f>(3*Table3[[#This Row],[GR]])+Table3[[#This Row],[PTS2]]</f>
        <v>243</v>
      </c>
      <c r="AU15">
        <f>Table3[[#This Row],[PTS]]+(2 * Table3[[#This Row],[GR]] * Table3[[#This Row],[PTS%]])</f>
        <v>109.33333333333333</v>
      </c>
      <c r="AV15">
        <f>Table3[[#This Row],[PTS2]]+(3 * Table3[[#This Row],[GR]] * Table3[[#This Row],[PTS%2]])</f>
        <v>164</v>
      </c>
      <c r="AW15" s="15" t="str">
        <f>_xlfn.CONCAT(TEXT(Table3[[#This Row],[W]], "0"), "-", TEXT(Table3[[#This Row],[RL]],"0"), "-", TEXT(Table3[[#This Row],[OTL]]+Table3[[#This Row],[SOL]], "0"))</f>
        <v>2-1-0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3</v>
      </c>
      <c r="AZ15">
        <f>SUMIF(DataRegularSeason20242025!$D$3:$D$1315,$A15, DataRegularSeason20242025!$K$3:$K$1315)</f>
        <v>2</v>
      </c>
      <c r="BA15">
        <f t="shared" si="3"/>
        <v>1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7</v>
      </c>
      <c r="BD15">
        <f>SUMIF(DataRegularSeason20242025!$E$3:$E$1315,$A15,DataRegularSeason20242025!$J$3:$J$1315)</f>
        <v>8</v>
      </c>
      <c r="BE15">
        <f t="shared" si="4"/>
        <v>-1</v>
      </c>
      <c r="BF15">
        <f t="shared" si="5"/>
        <v>10</v>
      </c>
      <c r="BG15">
        <f t="shared" si="6"/>
        <v>10</v>
      </c>
      <c r="BH15">
        <f t="shared" si="7"/>
        <v>0</v>
      </c>
      <c r="BI15" s="12">
        <f>Table3[[#This Row],[GF]]/Table3[[#This Row],[GP]]</f>
        <v>3.3333333333333335</v>
      </c>
      <c r="BJ15" s="12">
        <f>Table3[[#This Row],[GA]]/Table3[[#This Row],[GP]]</f>
        <v>3.3333333333333335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1-0-0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3.8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83.977777777777774</v>
      </c>
      <c r="BR15" s="16">
        <f>(Table3[[#This Row],[W]]*0.7) + ((Table3[[#This Row],[GF]] - Table3[[#This Row],[GA]])*0.25)+(Table3[[#This Row],[GF]]*0.1)+(Table3[[#This Row],[GA]]*0.05)+(Table3[[#This Row],[L]]*0.3)</f>
        <v>3.1999999999999997</v>
      </c>
      <c r="BS15" s="16">
        <f>Table3[[#This Row],[TeamCost83]]/Table3[[#This Row],[GP]]</f>
        <v>1.0666666666666667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0</v>
      </c>
      <c r="BV15">
        <f t="shared" si="8"/>
        <v>1</v>
      </c>
      <c r="BW15">
        <f t="shared" si="9"/>
        <v>0</v>
      </c>
      <c r="BX15">
        <f t="shared" si="10"/>
        <v>2</v>
      </c>
      <c r="BY15">
        <f t="shared" si="11"/>
        <v>2</v>
      </c>
      <c r="BZ15">
        <f>Table3[[#This Row],[TimesPredictedWinner]]/Table3[[#This Row],[GP]]</f>
        <v>0.33333333333333331</v>
      </c>
      <c r="CB15">
        <v>2008</v>
      </c>
      <c r="CC15" s="1">
        <v>45759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0.8</v>
      </c>
      <c r="CK15">
        <f>Table3[[#This Row],[Column4]]+Table3[[#This Row],[Column3]]</f>
        <v>1.6</v>
      </c>
      <c r="CL15">
        <f>Table3[[#This Row],[Column5]]/Table3[[#This Row],[GP]]</f>
        <v>0.53333333333333333</v>
      </c>
      <c r="CR15" t="s">
        <v>461</v>
      </c>
      <c r="CS15">
        <f>CS14/CS2</f>
        <v>0.20833333333333334</v>
      </c>
    </row>
    <row r="16" spans="1:144" x14ac:dyDescent="0.25">
      <c r="A16" t="s">
        <v>12</v>
      </c>
      <c r="B16" t="s">
        <v>90</v>
      </c>
      <c r="C16" t="s">
        <v>88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3</v>
      </c>
      <c r="E16" s="10">
        <f>Table3[[#This Row],[Watched]]/Table3[[#This Row],[GP]]</f>
        <v>1</v>
      </c>
      <c r="F16">
        <f>COUNTIFS(DataRegularSeason20242025!$N$3:$N$1315,1,DataRegularSeason20242025!$D$3:$D$1315,$A16)</f>
        <v>2</v>
      </c>
      <c r="G16">
        <f>41-Table3[[#This Row],[GP_A]]</f>
        <v>39</v>
      </c>
      <c r="H16">
        <f>COUNTIFS(DataRegularSeason20242025!$E$3:$E$1315,$A16,DataRegularSeason20242025!$N$3:$N$1315,1)</f>
        <v>1</v>
      </c>
      <c r="I16">
        <f>41-Table3[[#This Row],[GP_H]]</f>
        <v>40</v>
      </c>
      <c r="J16">
        <f t="shared" si="0"/>
        <v>3</v>
      </c>
      <c r="K16">
        <f>82-Table3[[#This Row],[GP]]</f>
        <v>79</v>
      </c>
      <c r="L16">
        <f>COUNTIFS(DataRegularSeason20242025!$D$3:$D$1315,$A16, DataRegularSeason20242025!$L$3:$L$1315, $A16,DataRegularSeason20242025!$N$3:$N$1315,1)</f>
        <v>2</v>
      </c>
      <c r="M16">
        <f>COUNTIFS(DataRegularSeason20242025!$D$3:$D$1315,$A16, DataRegularSeason20242025!$L$3:$L$1315, $A16,DataRegularSeason20242025!$N$3:$N$1315,1,DataRegularSeason20242025!$M$3:$M$1315,"REG")</f>
        <v>2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0</v>
      </c>
      <c r="Q16">
        <f>COUNTIFS(DataRegularSeason20242025!$D$3:$D$1315,$A16, DataRegularSeason20242025!$S$3:$S$1315, $A16,DataRegularSeason20242025!$M$3:$M$1315,"REG")</f>
        <v>0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0</v>
      </c>
      <c r="U16">
        <f>COUNTIFS(DataRegularSeason20242025!$E$3:$E$1315,$A16, DataRegularSeason20242025!$L$3:$L$1315, $A16,DataRegularSeason20242025!$N$3:$N$1315,1,DataRegularSeason20242025!$M$3:$M$1315,"REG")</f>
        <v>0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0.66666666666666663</v>
      </c>
      <c r="AC16">
        <f>Table3[[#This Row],[W_A]]+Table3[[#This Row],[W_H]]</f>
        <v>2</v>
      </c>
      <c r="AD16">
        <f>Table3[[#This Row],[L_A]]+Table3[[#This Row],[L_H]]</f>
        <v>1</v>
      </c>
      <c r="AE16">
        <f>Table3[[#This Row],[RW_A]]+Table3[[#This Row],[RW_H]]</f>
        <v>2</v>
      </c>
      <c r="AF16">
        <f>Table3[[#This Row],[RL_A]]+Table3[[#This Row],[RL_H]]</f>
        <v>1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4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6" s="10">
        <f>Table3[[#This Row],[PTS]]/(2*Table3[[#This Row],[GP]])</f>
        <v>0.66666666666666663</v>
      </c>
      <c r="AR16" s="10">
        <f>Table3[[#This Row],[PTS2]]/(3*Table3[[#This Row],[GP]])</f>
        <v>0.66666666666666663</v>
      </c>
      <c r="AS16">
        <f>(2*Table3[[#This Row],[GR]])+Table3[[#This Row],[PTS]]</f>
        <v>162</v>
      </c>
      <c r="AT16">
        <f>(3*Table3[[#This Row],[GR]])+Table3[[#This Row],[PTS2]]</f>
        <v>243</v>
      </c>
      <c r="AU16">
        <f>Table3[[#This Row],[PTS]]+(2 * Table3[[#This Row],[GR]] * Table3[[#This Row],[PTS%]])</f>
        <v>109.33333333333333</v>
      </c>
      <c r="AV16">
        <f>Table3[[#This Row],[PTS2]]+(3 * Table3[[#This Row],[GR]] * Table3[[#This Row],[PTS%2]])</f>
        <v>164</v>
      </c>
      <c r="AW16" s="15" t="str">
        <f>_xlfn.CONCAT(TEXT(Table3[[#This Row],[W]], "0"), "-", TEXT(Table3[[#This Row],[RL]],"0"), "-", TEXT(Table3[[#This Row],[OTL]]+Table3[[#This Row],[SOL]], "0"))</f>
        <v>2-1-0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9</v>
      </c>
      <c r="AZ16">
        <f>SUMIF(DataRegularSeason20242025!$D$3:$D$1315,$A16, DataRegularSeason20242025!$K$3:$K$1315)</f>
        <v>4</v>
      </c>
      <c r="BA16">
        <f t="shared" si="3"/>
        <v>5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0</v>
      </c>
      <c r="BD16">
        <f>SUMIF(DataRegularSeason20242025!$E$3:$E$1315,$A16,DataRegularSeason20242025!$J$3:$J$1315)</f>
        <v>5</v>
      </c>
      <c r="BE16">
        <f t="shared" si="4"/>
        <v>-5</v>
      </c>
      <c r="BF16">
        <f t="shared" si="5"/>
        <v>9</v>
      </c>
      <c r="BG16">
        <f t="shared" si="6"/>
        <v>9</v>
      </c>
      <c r="BH16">
        <f t="shared" si="7"/>
        <v>0</v>
      </c>
      <c r="BI16" s="12">
        <f>Table3[[#This Row],[GF]]/Table3[[#This Row],[GP]]</f>
        <v>3</v>
      </c>
      <c r="BJ16" s="12">
        <f>Table3[[#This Row],[GA]]/Table3[[#This Row],[GP]]</f>
        <v>3</v>
      </c>
      <c r="BK16" s="12">
        <f>(Table3[[#This Row],[GF]]-Table3[[#This Row],[GA]])/Table3[[#This Row],[GP]]</f>
        <v>0</v>
      </c>
      <c r="BL16" s="42" t="str">
        <f>_xlfn.CONCAT(TEXT(Table3[[#This Row],[W_H]], "0"), "-", TEXT(Table3[[#This Row],[RL_H]],"0"), "-", TEXT(Table3[[#This Row],[OTL_H]]+Table3[[#This Row],[SOL_H]], "0"))</f>
        <v>0-1-0</v>
      </c>
      <c r="BM16" s="42" t="str">
        <f>_xlfn.CONCAT(TEXT(Table3[[#This Row],[W_A]], "0"), "-", TEXT(Table3[[#This Row],[RL_A]],"0"), "-", TEXT(Table3[[#This Row],[OTL_A]]+Table3[[#This Row],[SOL_A]], "0"))</f>
        <v>2-0-0</v>
      </c>
      <c r="BN16" s="42">
        <f>((2*(Table3[[#This Row],[W_H]]))+Table3[[#This Row],[OTL_H]]+Table3[[#This Row],[SOL_H]])/(2*Table3[[#This Row],[GP_H]])</f>
        <v>0</v>
      </c>
      <c r="BO16" s="42">
        <f>((2*(Table3[[#This Row],[W_A]]))+Table3[[#This Row],[OTL_A]]+Table3[[#This Row],[SOL_A]])/(2*Table3[[#This Row],[GP_A]])</f>
        <v>1</v>
      </c>
      <c r="BP16" s="16">
        <f>(Table3[[#This Row],[W]]*$CX$3)+(Table3[[#This Row],[L]]*$CX$4)+(Table3[[#This Row],[GF]]*$CX$5)+(Table3[[#This Row],[GA]]*$CX$6)</f>
        <v>3.55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76.894444444444431</v>
      </c>
      <c r="BR16" s="16">
        <f>(Table3[[#This Row],[W]]*0.7) + ((Table3[[#This Row],[GF]] - Table3[[#This Row],[GA]])*0.25)+(Table3[[#This Row],[GF]]*0.1)+(Table3[[#This Row],[GA]]*0.05)+(Table3[[#This Row],[L]]*0.3)</f>
        <v>3.05</v>
      </c>
      <c r="BS16" s="16">
        <f>Table3[[#This Row],[TeamCost83]]/Table3[[#This Row],[GP]]</f>
        <v>1.0166666666666666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0</v>
      </c>
      <c r="BV16">
        <f t="shared" si="8"/>
        <v>1</v>
      </c>
      <c r="BW16">
        <f t="shared" si="9"/>
        <v>1</v>
      </c>
      <c r="BX16">
        <f t="shared" si="10"/>
        <v>1</v>
      </c>
      <c r="BY16">
        <f t="shared" si="11"/>
        <v>2</v>
      </c>
      <c r="BZ16">
        <f>Table3[[#This Row],[TimesPredictedWinner]]/Table3[[#This Row],[GP]]</f>
        <v>0.33333333333333331</v>
      </c>
      <c r="CB16">
        <v>2019</v>
      </c>
      <c r="CD16" s="1">
        <v>45762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0.8</v>
      </c>
      <c r="CJ16">
        <f>SUMIFS(Table2[GamePredictionScore], Table2[HomeTeam], Table3[[#This Row],[Teams]])</f>
        <v>0.9</v>
      </c>
      <c r="CK16">
        <f>Table3[[#This Row],[Column4]]+Table3[[#This Row],[Column3]]</f>
        <v>1.7000000000000002</v>
      </c>
      <c r="CL16">
        <f>Table3[[#This Row],[Column5]]/Table3[[#This Row],[GP]]</f>
        <v>0.56666666666666676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26</v>
      </c>
      <c r="B17" t="s">
        <v>90</v>
      </c>
      <c r="C17" t="s">
        <v>93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0</v>
      </c>
      <c r="E17" s="10">
        <f>Table3[[#This Row],[Watched]]/Table3[[#This Row],[GP]]</f>
        <v>0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1</v>
      </c>
      <c r="I17">
        <f>41-Table3[[#This Row],[GP_H]]</f>
        <v>40</v>
      </c>
      <c r="J17">
        <f t="shared" si="0"/>
        <v>3</v>
      </c>
      <c r="K17">
        <f>82-Table3[[#This Row],[GP]]</f>
        <v>79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1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1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1</v>
      </c>
      <c r="Y17">
        <f>COUNTIFS(DataRegularSeason20242025!$E$3:$E$1315,$A17, DataRegularSeason20242025!$S$3:$S$1315, $A17,DataRegularSeason20242025!$M$3:$M$1315,"REG")</f>
        <v>0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0.33333333333333331</v>
      </c>
      <c r="AC17">
        <f>Table3[[#This Row],[W_A]]+Table3[[#This Row],[W_H]]</f>
        <v>1</v>
      </c>
      <c r="AD17">
        <f>Table3[[#This Row],[L_A]]+Table3[[#This Row],[L_H]]</f>
        <v>2</v>
      </c>
      <c r="AE17">
        <f>Table3[[#This Row],[RW_A]]+Table3[[#This Row],[RW_H]]</f>
        <v>0</v>
      </c>
      <c r="AF17">
        <f>Table3[[#This Row],[RL_A]]+Table3[[#This Row],[RL_H]]</f>
        <v>0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1</v>
      </c>
      <c r="AO17">
        <f>(2*(Table3[[#This Row],[W_A]]+Table3[[#This Row],[W_H]]))+Table3[[#This Row],[OTL_A]]+Table3[[#This Row],[SOL_A]]+Table3[[#This Row],[OTL_H]]+Table3[[#This Row],[SOL_H]]</f>
        <v>4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17" s="10">
        <f>Table3[[#This Row],[PTS]]/(2*Table3[[#This Row],[GP]])</f>
        <v>0.66666666666666663</v>
      </c>
      <c r="AR17" s="10">
        <f>Table3[[#This Row],[PTS2]]/(3*Table3[[#This Row],[GP]])</f>
        <v>0.44444444444444442</v>
      </c>
      <c r="AS17">
        <f>(2*Table3[[#This Row],[GR]])+Table3[[#This Row],[PTS]]</f>
        <v>162</v>
      </c>
      <c r="AT17">
        <f>(3*Table3[[#This Row],[GR]])+Table3[[#This Row],[PTS2]]</f>
        <v>241</v>
      </c>
      <c r="AU17">
        <f>Table3[[#This Row],[PTS]]+(2 * Table3[[#This Row],[GR]] * Table3[[#This Row],[PTS%]])</f>
        <v>109.33333333333333</v>
      </c>
      <c r="AV17">
        <f>Table3[[#This Row],[PTS2]]+(3 * Table3[[#This Row],[GR]] * Table3[[#This Row],[PTS%2]])</f>
        <v>109.33333333333333</v>
      </c>
      <c r="AW17" s="15" t="str">
        <f>_xlfn.CONCAT(TEXT(Table3[[#This Row],[W]], "0"), "-", TEXT(Table3[[#This Row],[RL]],"0"), "-", TEXT(Table3[[#This Row],[OTL]]+Table3[[#This Row],[SOL]], "0"))</f>
        <v>1-0-2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5</v>
      </c>
      <c r="AZ17">
        <f>SUMIF(DataRegularSeason20242025!$D$3:$D$1315,$A17, DataRegularSeason20242025!$K$3:$K$1315)</f>
        <v>5</v>
      </c>
      <c r="BA17">
        <f t="shared" si="3"/>
        <v>0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5</v>
      </c>
      <c r="BD17">
        <f>SUMIF(DataRegularSeason20242025!$E$3:$E$1315,$A17,DataRegularSeason20242025!$J$3:$J$1315)</f>
        <v>6</v>
      </c>
      <c r="BE17">
        <f t="shared" si="4"/>
        <v>-1</v>
      </c>
      <c r="BF17">
        <f t="shared" si="5"/>
        <v>10</v>
      </c>
      <c r="BG17">
        <f t="shared" si="6"/>
        <v>11</v>
      </c>
      <c r="BH17">
        <f t="shared" si="7"/>
        <v>-1</v>
      </c>
      <c r="BI17" s="12">
        <f>Table3[[#This Row],[GF]]/Table3[[#This Row],[GP]]</f>
        <v>3.3333333333333335</v>
      </c>
      <c r="BJ17" s="12">
        <f>Table3[[#This Row],[GA]]/Table3[[#This Row],[GP]]</f>
        <v>3.6666666666666665</v>
      </c>
      <c r="BK17" s="12">
        <f>(Table3[[#This Row],[GF]]-Table3[[#This Row],[GA]])/Table3[[#This Row],[GP]]</f>
        <v>-0.33333333333333331</v>
      </c>
      <c r="BL17" s="42" t="str">
        <f>_xlfn.CONCAT(TEXT(Table3[[#This Row],[W_H]], "0"), "-", TEXT(Table3[[#This Row],[RL_H]],"0"), "-", TEXT(Table3[[#This Row],[OTL_H]]+Table3[[#This Row],[SOL_H]], "0"))</f>
        <v>0-0-1</v>
      </c>
      <c r="BM17" s="42" t="str">
        <f>_xlfn.CONCAT(TEXT(Table3[[#This Row],[W_A]], "0"), "-", TEXT(Table3[[#This Row],[RL_A]],"0"), "-", TEXT(Table3[[#This Row],[OTL_A]]+Table3[[#This Row],[SOL_A]], "0"))</f>
        <v>1-0-1</v>
      </c>
      <c r="BN17" s="42">
        <f>((2*(Table3[[#This Row],[W_H]]))+Table3[[#This Row],[OTL_H]]+Table3[[#This Row],[SOL_H]])/(2*Table3[[#This Row],[GP_H]])</f>
        <v>0.5</v>
      </c>
      <c r="BO17" s="42">
        <f>((2*(Table3[[#This Row],[W_A]]))+Table3[[#This Row],[OTL_A]]+Table3[[#This Row],[SOL_A]])/(2*Table3[[#This Row],[GP_A]])</f>
        <v>0.75</v>
      </c>
      <c r="BP17" s="16">
        <f>(Table3[[#This Row],[W]]*$CX$3)+(Table3[[#This Row],[L]]*$CX$4)+(Table3[[#This Row],[GF]]*$CX$5)+(Table3[[#This Row],[GA]]*$CX$6)</f>
        <v>3.7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86.6111111111111</v>
      </c>
      <c r="BR17" s="16">
        <f>(Table3[[#This Row],[W]]*0.7) + ((Table3[[#This Row],[GF]] - Table3[[#This Row],[GA]])*0.25)+(Table3[[#This Row],[GF]]*0.1)+(Table3[[#This Row],[GA]]*0.05)+(Table3[[#This Row],[L]]*0.3)</f>
        <v>2.6</v>
      </c>
      <c r="BS17" s="16">
        <f>Table3[[#This Row],[TeamCost83]]/Table3[[#This Row],[GP]]</f>
        <v>0.8666666666666667</v>
      </c>
      <c r="BT17">
        <f>COUNTIFS(Table2[AwayTeam],$A17,Table2[PredictedWinner], $A17, Table2[GameIsOver], 1)</f>
        <v>2</v>
      </c>
      <c r="BU17">
        <f>COUNTIFS(Table2[HomeTeam],$A17,Table2[PredictedWinner], $A17, Table2[GameIsOver], 1)</f>
        <v>1</v>
      </c>
      <c r="BV17">
        <f t="shared" si="8"/>
        <v>3</v>
      </c>
      <c r="BW17">
        <f t="shared" si="9"/>
        <v>0</v>
      </c>
      <c r="BX17">
        <f t="shared" si="10"/>
        <v>0</v>
      </c>
      <c r="BY17">
        <f t="shared" si="11"/>
        <v>0</v>
      </c>
      <c r="BZ17">
        <f>Table3[[#This Row],[TimesPredictedWinner]]/Table3[[#This Row],[GP]]</f>
        <v>1</v>
      </c>
      <c r="CB17">
        <v>2023</v>
      </c>
      <c r="CD17" s="1">
        <v>45748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</v>
      </c>
      <c r="CJ17">
        <f>SUMIFS(Table2[GamePredictionScore], Table2[HomeTeam], Table3[[#This Row],[Teams]])</f>
        <v>0</v>
      </c>
      <c r="CK17">
        <f>Table3[[#This Row],[Column4]]+Table3[[#This Row],[Column3]]</f>
        <v>1</v>
      </c>
      <c r="CL17">
        <f>Table3[[#This Row],[Column5]]/Table3[[#This Row],[GP]]</f>
        <v>0.33333333333333331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20</v>
      </c>
      <c r="B18" t="s">
        <v>91</v>
      </c>
      <c r="C18" t="s">
        <v>92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1</v>
      </c>
      <c r="E18" s="10">
        <f>Table3[[#This Row],[Watched]]/Table3[[#This Row],[GP]]</f>
        <v>0.33333333333333331</v>
      </c>
      <c r="F18">
        <f>COUNTIFS(DataRegularSeason20242025!$N$3:$N$1315,1,DataRegularSeason20242025!$D$3:$D$1315,$A18)</f>
        <v>1</v>
      </c>
      <c r="G18">
        <f>41-Table3[[#This Row],[GP_A]]</f>
        <v>40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 t="shared" si="0"/>
        <v>3</v>
      </c>
      <c r="K18">
        <f>82-Table3[[#This Row],[GP]]</f>
        <v>79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0</v>
      </c>
      <c r="Q18">
        <f>COUNTIFS(DataRegularSeason20242025!$D$3:$D$1315,$A18, DataRegularSeason20242025!$S$3:$S$1315, $A18,DataRegularSeason20242025!$M$3:$M$1315,"REG")</f>
        <v>0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1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0.66666666666666663</v>
      </c>
      <c r="AC18">
        <f>Table3[[#This Row],[W_A]]+Table3[[#This Row],[W_H]]</f>
        <v>2</v>
      </c>
      <c r="AD18">
        <f>Table3[[#This Row],[L_A]]+Table3[[#This Row],[L_H]]</f>
        <v>1</v>
      </c>
      <c r="AE18">
        <f>Table3[[#This Row],[RW_A]]+Table3[[#This Row],[RW_H]]</f>
        <v>2</v>
      </c>
      <c r="AF18">
        <f>Table3[[#This Row],[RL_A]]+Table3[[#This Row],[RL_H]]</f>
        <v>1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0-0</v>
      </c>
      <c r="AL18">
        <f>SUM(Table3[[#This Row],[OTW]],Table3[[#This Row],[OTL]],Table3[[#This Row],[SOW]],Table3[[#This Row],[SOL]])</f>
        <v>0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</v>
      </c>
      <c r="AO18">
        <f>(2*(Table3[[#This Row],[W_A]]+Table3[[#This Row],[W_H]]))+Table3[[#This Row],[OTL_A]]+Table3[[#This Row],[SOL_A]]+Table3[[#This Row],[OTL_H]]+Table3[[#This Row],[SOL_H]]</f>
        <v>4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8" s="10">
        <f>Table3[[#This Row],[PTS]]/(2*Table3[[#This Row],[GP]])</f>
        <v>0.66666666666666663</v>
      </c>
      <c r="AR18" s="10">
        <f>Table3[[#This Row],[PTS2]]/(3*Table3[[#This Row],[GP]])</f>
        <v>0.66666666666666663</v>
      </c>
      <c r="AS18">
        <f>(2*Table3[[#This Row],[GR]])+Table3[[#This Row],[PTS]]</f>
        <v>162</v>
      </c>
      <c r="AT18">
        <f>(3*Table3[[#This Row],[GR]])+Table3[[#This Row],[PTS2]]</f>
        <v>243</v>
      </c>
      <c r="AU18">
        <f>Table3[[#This Row],[PTS]]+(2 * Table3[[#This Row],[GR]] * Table3[[#This Row],[PTS%]])</f>
        <v>109.33333333333333</v>
      </c>
      <c r="AV18">
        <f>Table3[[#This Row],[PTS2]]+(3 * Table3[[#This Row],[GR]] * Table3[[#This Row],[PTS%2]])</f>
        <v>164</v>
      </c>
      <c r="AW18" s="15" t="str">
        <f>_xlfn.CONCAT(TEXT(Table3[[#This Row],[W]], "0"), "-", TEXT(Table3[[#This Row],[RL]],"0"), "-", TEXT(Table3[[#This Row],[OTL]]+Table3[[#This Row],[SOL]], "0"))</f>
        <v>2-1-0</v>
      </c>
      <c r="AX18">
        <f>COUNTIFS(DataRegularSeason20242025!$D$3:$D$1315,Table3[[#This Row],[Teams]],DataRegularSeason20242025!$K$3:$K$1315,0)</f>
        <v>1</v>
      </c>
      <c r="AY18">
        <f>SUMIF(DataRegularSeason20242025!$D$3:$D$1315,$A18, DataRegularSeason20242025!$J$3:$J$1315)</f>
        <v>3</v>
      </c>
      <c r="AZ18">
        <f>SUMIF(DataRegularSeason20242025!$D$3:$D$1315,$A18, DataRegularSeason20242025!$K$3:$K$1315)</f>
        <v>0</v>
      </c>
      <c r="BA18">
        <f t="shared" si="3"/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5</v>
      </c>
      <c r="BD18">
        <f>SUMIF(DataRegularSeason20242025!$E$3:$E$1315,$A18,DataRegularSeason20242025!$J$3:$J$1315)</f>
        <v>9</v>
      </c>
      <c r="BE18">
        <f t="shared" si="4"/>
        <v>-4</v>
      </c>
      <c r="BF18">
        <f t="shared" si="5"/>
        <v>8</v>
      </c>
      <c r="BG18">
        <f t="shared" si="6"/>
        <v>9</v>
      </c>
      <c r="BH18">
        <f t="shared" si="7"/>
        <v>-1</v>
      </c>
      <c r="BI18" s="12">
        <f>Table3[[#This Row],[GF]]/Table3[[#This Row],[GP]]</f>
        <v>2.6666666666666665</v>
      </c>
      <c r="BJ18" s="12">
        <f>Table3[[#This Row],[GA]]/Table3[[#This Row],[GP]]</f>
        <v>3</v>
      </c>
      <c r="BK18" s="12">
        <f>(Table3[[#This Row],[GF]]-Table3[[#This Row],[GA]])/Table3[[#This Row],[GP]]</f>
        <v>-0.33333333333333331</v>
      </c>
      <c r="BL18" s="42" t="str">
        <f>_xlfn.CONCAT(TEXT(Table3[[#This Row],[W_H]], "0"), "-", TEXT(Table3[[#This Row],[RL_H]],"0"), "-", TEXT(Table3[[#This Row],[OTL_H]]+Table3[[#This Row],[SOL_H]], "0"))</f>
        <v>1-1-0</v>
      </c>
      <c r="BM18" s="42" t="str">
        <f>_xlfn.CONCAT(TEXT(Table3[[#This Row],[W_A]], "0"), "-", TEXT(Table3[[#This Row],[RL_A]],"0"), "-", TEXT(Table3[[#This Row],[OTL_A]]+Table3[[#This Row],[SOL_A]], "0"))</f>
        <v>1-0-0</v>
      </c>
      <c r="BN18" s="42">
        <f>((2*(Table3[[#This Row],[W_H]]))+Table3[[#This Row],[OTL_H]]+Table3[[#This Row],[SOL_H]])/(2*Table3[[#This Row],[GP_H]])</f>
        <v>0.5</v>
      </c>
      <c r="BO18" s="42">
        <f>((2*(Table3[[#This Row],[W_A]]))+Table3[[#This Row],[OTL_A]]+Table3[[#This Row],[SOL_A]])/(2*Table3[[#This Row],[GP_A]])</f>
        <v>1</v>
      </c>
      <c r="BP18" s="16">
        <f>(Table3[[#This Row],[W]]*$CX$3)+(Table3[[#This Row],[L]]*$CX$4)+(Table3[[#This Row],[GF]]*$CX$5)+(Table3[[#This Row],[GA]]*$CX$6)</f>
        <v>3.4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72.644444444444446</v>
      </c>
      <c r="BR18" s="16">
        <f>(Table3[[#This Row],[W]]*0.7) + ((Table3[[#This Row],[GF]] - Table3[[#This Row],[GA]])*0.25)+(Table3[[#This Row],[GF]]*0.1)+(Table3[[#This Row],[GA]]*0.05)+(Table3[[#This Row],[L]]*0.3)</f>
        <v>2.6999999999999997</v>
      </c>
      <c r="BS18" s="16">
        <f>Table3[[#This Row],[TeamCost83]]/Table3[[#This Row],[GP]]</f>
        <v>0.89999999999999991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2</v>
      </c>
      <c r="BV18">
        <f t="shared" si="8"/>
        <v>2</v>
      </c>
      <c r="BW18">
        <f t="shared" si="9"/>
        <v>1</v>
      </c>
      <c r="BX18">
        <f t="shared" si="10"/>
        <v>0</v>
      </c>
      <c r="BY18">
        <f t="shared" si="11"/>
        <v>1</v>
      </c>
      <c r="BZ18">
        <f>Table3[[#This Row],[TimesPredictedWinner]]/Table3[[#This Row],[GP]]</f>
        <v>0.66666666666666663</v>
      </c>
      <c r="CB18">
        <v>2017</v>
      </c>
      <c r="CC18" s="1">
        <v>45753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0.1</v>
      </c>
      <c r="CJ18">
        <f>SUMIFS(Table2[GamePredictionScore], Table2[HomeTeam], Table3[[#This Row],[Teams]])</f>
        <v>0.9</v>
      </c>
      <c r="CK18">
        <f>Table3[[#This Row],[Column4]]+Table3[[#This Row],[Column3]]</f>
        <v>1</v>
      </c>
      <c r="CL18">
        <f>Table3[[#This Row],[Column5]]/Table3[[#This Row],[GP]]</f>
        <v>0.33333333333333331</v>
      </c>
      <c r="CR18">
        <f>LARGE($AO$2:$AO$33,1)</f>
        <v>7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44</v>
      </c>
      <c r="B19" t="s">
        <v>90</v>
      </c>
      <c r="C19" t="s">
        <v>93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1</v>
      </c>
      <c r="E19" s="10">
        <f>Table3[[#This Row],[Watched]]/Table3[[#This Row],[GP]]</f>
        <v>0.5</v>
      </c>
      <c r="F19">
        <f>COUNTIFS(DataRegularSeason20242025!$N$3:$N$1315,1,DataRegularSeason20242025!$D$3:$D$1315,$A19)</f>
        <v>2</v>
      </c>
      <c r="G19">
        <f>41-Table3[[#This Row],[GP_A]]</f>
        <v>39</v>
      </c>
      <c r="H19">
        <f>COUNTIFS(DataRegularSeason20242025!$E$3:$E$1315,$A19,DataRegularSeason20242025!$N$3:$N$1315,1)</f>
        <v>0</v>
      </c>
      <c r="I19">
        <f>41-Table3[[#This Row],[GP_H]]</f>
        <v>41</v>
      </c>
      <c r="J19">
        <f t="shared" si="0"/>
        <v>2</v>
      </c>
      <c r="K19">
        <f>82-Table3[[#This Row],[GP]]</f>
        <v>80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1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0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1</v>
      </c>
      <c r="AD19">
        <f>Table3[[#This Row],[L_A]]+Table3[[#This Row],[L_H]]</f>
        <v>1</v>
      </c>
      <c r="AE19">
        <f>Table3[[#This Row],[RW_A]]+Table3[[#This Row],[RW_H]]</f>
        <v>0</v>
      </c>
      <c r="AF19">
        <f>Table3[[#This Row],[RL_A]]+Table3[[#This Row],[RL_H]]</f>
        <v>1</v>
      </c>
      <c r="AG19">
        <f>Table3[[#This Row],[OTW_A]]+Table3[[#This Row],[OTW_H]]</f>
        <v>1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1-0</v>
      </c>
      <c r="AL19">
        <f>SUM(Table3[[#This Row],[OTW]],Table3[[#This Row],[OTL]],Table3[[#This Row],[SOW]],Table3[[#This Row],[SOL]])</f>
        <v>1</v>
      </c>
      <c r="AM19">
        <f>(Table3[[#This Row],[OTW]]+Table3[[#This Row],[SOW]])/IF(Table3[[#This Row],[Total_ExtraTimes]]=0,1,Table3[[#This Row],[Total_ExtraTimes]])</f>
        <v>1</v>
      </c>
      <c r="AN19">
        <f>Table3[[#This Row],[Total_ExtraTimes]]/MAX(1,Table3[[#This Row],[GP]])</f>
        <v>0.5</v>
      </c>
      <c r="AO19">
        <f>(2*(Table3[[#This Row],[W_A]]+Table3[[#This Row],[W_H]]))+Table3[[#This Row],[OTL_A]]+Table3[[#This Row],[SOL_A]]+Table3[[#This Row],[OTL_H]]+Table3[[#This Row],[SOL_H]]</f>
        <v>2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19" s="10">
        <f>Table3[[#This Row],[PTS]]/(2*Table3[[#This Row],[GP]])</f>
        <v>0.5</v>
      </c>
      <c r="AR19" s="10">
        <f>Table3[[#This Row],[PTS2]]/(3*Table3[[#This Row],[GP]])</f>
        <v>0.33333333333333331</v>
      </c>
      <c r="AS19">
        <f>(2*Table3[[#This Row],[GR]])+Table3[[#This Row],[PTS]]</f>
        <v>162</v>
      </c>
      <c r="AT19">
        <f>(3*Table3[[#This Row],[GR]])+Table3[[#This Row],[PTS2]]</f>
        <v>242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82</v>
      </c>
      <c r="AW19" s="15" t="str">
        <f>_xlfn.CONCAT(TEXT(Table3[[#This Row],[W]], "0"), "-", TEXT(Table3[[#This Row],[RL]],"0"), "-", TEXT(Table3[[#This Row],[OTL]]+Table3[[#This Row],[SOL]], "0"))</f>
        <v>1-1-0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8</v>
      </c>
      <c r="AZ19">
        <f>SUMIF(DataRegularSeason20242025!$D$3:$D$1315,$A19, DataRegularSeason20242025!$K$3:$K$1315)</f>
        <v>9</v>
      </c>
      <c r="BA19">
        <f t="shared" si="3"/>
        <v>-1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0</v>
      </c>
      <c r="BD19">
        <f>SUMIF(DataRegularSeason20242025!$E$3:$E$1315,$A19,DataRegularSeason20242025!$J$3:$J$1315)</f>
        <v>0</v>
      </c>
      <c r="BE19">
        <f t="shared" si="4"/>
        <v>0</v>
      </c>
      <c r="BF19">
        <f t="shared" si="5"/>
        <v>8</v>
      </c>
      <c r="BG19">
        <f t="shared" si="6"/>
        <v>9</v>
      </c>
      <c r="BH19">
        <f t="shared" si="7"/>
        <v>-1</v>
      </c>
      <c r="BI19" s="12">
        <f>Table3[[#This Row],[GF]]/Table3[[#This Row],[GP]]</f>
        <v>4</v>
      </c>
      <c r="BJ19" s="12">
        <f>Table3[[#This Row],[GA]]/Table3[[#This Row],[GP]]</f>
        <v>4.5</v>
      </c>
      <c r="BK19" s="12">
        <f>(Table3[[#This Row],[GF]]-Table3[[#This Row],[GA]])/Table3[[#This Row],[GP]]</f>
        <v>-0.5</v>
      </c>
      <c r="BL19" s="42" t="str">
        <f>_xlfn.CONCAT(TEXT(Table3[[#This Row],[W_H]], "0"), "-", TEXT(Table3[[#This Row],[RL_H]],"0"), "-", TEXT(Table3[[#This Row],[OTL_H]]+Table3[[#This Row],[SOL_H]], "0"))</f>
        <v>0-0-0</v>
      </c>
      <c r="BM19" s="42" t="str">
        <f>_xlfn.CONCAT(TEXT(Table3[[#This Row],[W_A]], "0"), "-", TEXT(Table3[[#This Row],[RL_A]],"0"), "-", TEXT(Table3[[#This Row],[OTL_A]]+Table3[[#This Row],[SOL_A]], "0"))</f>
        <v>1-1-0</v>
      </c>
      <c r="BN19" s="42" t="e">
        <f>((2*(Table3[[#This Row],[W_H]]))+Table3[[#This Row],[OTL_H]]+Table3[[#This Row],[SOL_H]])/(2*Table3[[#This Row],[GP_H]])</f>
        <v>#DIV/0!</v>
      </c>
      <c r="BO19" s="42">
        <f>((2*(Table3[[#This Row],[W_A]]))+Table3[[#This Row],[OTL_A]]+Table3[[#This Row],[SOL_A]])/(2*Table3[[#This Row],[GP_A]])</f>
        <v>0.5</v>
      </c>
      <c r="BP19" s="16">
        <f>(Table3[[#This Row],[W]]*$CX$3)+(Table3[[#This Row],[L]]*$CX$4)+(Table3[[#This Row],[GF]]*$CX$5)+(Table3[[#This Row],[GA]]*$CX$6)</f>
        <v>2.9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105.4</v>
      </c>
      <c r="BR19" s="16">
        <f>(Table3[[#This Row],[W]]*0.7) + ((Table3[[#This Row],[GF]] - Table3[[#This Row],[GA]])*0.25)+(Table3[[#This Row],[GF]]*0.1)+(Table3[[#This Row],[GA]]*0.05)+(Table3[[#This Row],[L]]*0.3)</f>
        <v>2</v>
      </c>
      <c r="BS19" s="16">
        <f>Table3[[#This Row],[TeamCost83]]/Table3[[#This Row],[GP]]</f>
        <v>1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0</v>
      </c>
      <c r="BV19">
        <f t="shared" si="8"/>
        <v>1</v>
      </c>
      <c r="BW19">
        <f t="shared" si="9"/>
        <v>1</v>
      </c>
      <c r="BX19">
        <f t="shared" si="10"/>
        <v>0</v>
      </c>
      <c r="BY19">
        <f t="shared" si="11"/>
        <v>1</v>
      </c>
      <c r="BZ19">
        <f>Table3[[#This Row],[TimesPredictedWinner]]/Table3[[#This Row],[GP]]</f>
        <v>0.5</v>
      </c>
      <c r="CA19" s="4"/>
      <c r="CB19">
        <v>2007</v>
      </c>
      <c r="CC19" s="1">
        <v>45750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1.6</v>
      </c>
      <c r="CJ19">
        <f>SUMIFS(Table2[GamePredictionScore], Table2[HomeTeam], Table3[[#This Row],[Teams]])</f>
        <v>0</v>
      </c>
      <c r="CK19">
        <f>Table3[[#This Row],[Column4]]+Table3[[#This Row],[Column3]]</f>
        <v>1.6</v>
      </c>
      <c r="CL19">
        <f>Table3[[#This Row],[Column5]]/Table3[[#This Row],[GP]]</f>
        <v>0.8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37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0</v>
      </c>
      <c r="E20" s="10">
        <f>Table3[[#This Row],[Watched]]/Table3[[#This Row],[GP]]</f>
        <v>0</v>
      </c>
      <c r="F20">
        <f>COUNTIFS(DataRegularSeason20242025!$N$3:$N$1315,1,DataRegularSeason20242025!$D$3:$D$1315,$A20)</f>
        <v>0</v>
      </c>
      <c r="G20">
        <f>41-Table3[[#This Row],[GP_A]]</f>
        <v>41</v>
      </c>
      <c r="H20">
        <f>COUNTIFS(DataRegularSeason20242025!$E$3:$E$1315,$A20,DataRegularSeason20242025!$N$3:$N$1315,1)</f>
        <v>2</v>
      </c>
      <c r="I20">
        <f>41-Table3[[#This Row],[GP_H]]</f>
        <v>39</v>
      </c>
      <c r="J20">
        <f t="shared" si="0"/>
        <v>2</v>
      </c>
      <c r="K20">
        <f>82-Table3[[#This Row],[GP]]</f>
        <v>80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0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2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2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</v>
      </c>
      <c r="AC20">
        <f>Table3[[#This Row],[W_A]]+Table3[[#This Row],[W_H]]</f>
        <v>0</v>
      </c>
      <c r="AD20">
        <f>Table3[[#This Row],[L_A]]+Table3[[#This Row],[L_H]]</f>
        <v>2</v>
      </c>
      <c r="AE20">
        <f>Table3[[#This Row],[RW_A]]+Table3[[#This Row],[RW_H]]</f>
        <v>0</v>
      </c>
      <c r="AF20">
        <f>Table3[[#This Row],[RL_A]]+Table3[[#This Row],[RL_H]]</f>
        <v>0</v>
      </c>
      <c r="AG20">
        <f>Table3[[#This Row],[OTW_A]]+Table3[[#This Row],[OTW_H]]</f>
        <v>0</v>
      </c>
      <c r="AH20">
        <f>Table3[[#This Row],[OTL_A]]+Table3[[#This Row],[OTL_H]]</f>
        <v>2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0-2</v>
      </c>
      <c r="AL20">
        <f>SUM(Table3[[#This Row],[OTW]],Table3[[#This Row],[OTL]],Table3[[#This Row],[SOW]],Table3[[#This Row],[SOL]])</f>
        <v>2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1</v>
      </c>
      <c r="AO20">
        <f>(2*(Table3[[#This Row],[W_A]]+Table3[[#This Row],[W_H]]))+Table3[[#This Row],[OTL_A]]+Table3[[#This Row],[SOL_A]]+Table3[[#This Row],[OTL_H]]+Table3[[#This Row],[SOL_H]]</f>
        <v>2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0" s="10">
        <f>Table3[[#This Row],[PTS]]/(2*Table3[[#This Row],[GP]])</f>
        <v>0.5</v>
      </c>
      <c r="AR20" s="10">
        <f>Table3[[#This Row],[PTS2]]/(3*Table3[[#This Row],[GP]])</f>
        <v>0.33333333333333331</v>
      </c>
      <c r="AS20">
        <f>(2*Table3[[#This Row],[GR]])+Table3[[#This Row],[PTS]]</f>
        <v>162</v>
      </c>
      <c r="AT20">
        <f>(3*Table3[[#This Row],[GR]])+Table3[[#This Row],[PTS2]]</f>
        <v>242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82</v>
      </c>
      <c r="AW20" s="15" t="str">
        <f>_xlfn.CONCAT(TEXT(Table3[[#This Row],[W]], "0"), "-", TEXT(Table3[[#This Row],[RL]],"0"), "-", TEXT(Table3[[#This Row],[OTL]]+Table3[[#This Row],[SOL]], "0"))</f>
        <v>0-0-2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0</v>
      </c>
      <c r="AZ20">
        <f>SUMIF(DataRegularSeason20242025!$D$3:$D$1315,$A20, DataRegularSeason20242025!$K$3:$K$1315)</f>
        <v>0</v>
      </c>
      <c r="BA20">
        <f t="shared" si="3"/>
        <v>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9</v>
      </c>
      <c r="BD20">
        <f>SUMIF(DataRegularSeason20242025!$E$3:$E$1315,$A20,DataRegularSeason20242025!$J$3:$J$1315)</f>
        <v>11</v>
      </c>
      <c r="BE20">
        <f t="shared" si="4"/>
        <v>-2</v>
      </c>
      <c r="BF20">
        <f t="shared" si="5"/>
        <v>9</v>
      </c>
      <c r="BG20">
        <f t="shared" si="6"/>
        <v>11</v>
      </c>
      <c r="BH20">
        <f t="shared" si="7"/>
        <v>-2</v>
      </c>
      <c r="BI20" s="12">
        <f>Table3[[#This Row],[GF]]/Table3[[#This Row],[GP]]</f>
        <v>4.5</v>
      </c>
      <c r="BJ20" s="12">
        <f>Table3[[#This Row],[GA]]/Table3[[#This Row],[GP]]</f>
        <v>5.5</v>
      </c>
      <c r="BK20" s="12">
        <f>(Table3[[#This Row],[GF]]-Table3[[#This Row],[GA]])/Table3[[#This Row],[GP]]</f>
        <v>-1</v>
      </c>
      <c r="BL20" s="42" t="str">
        <f>_xlfn.CONCAT(TEXT(Table3[[#This Row],[W_H]], "0"), "-", TEXT(Table3[[#This Row],[RL_H]],"0"), "-", TEXT(Table3[[#This Row],[OTL_H]]+Table3[[#This Row],[SOL_H]], "0"))</f>
        <v>0-0-2</v>
      </c>
      <c r="BM20" s="42" t="str">
        <f>_xlfn.CONCAT(TEXT(Table3[[#This Row],[W_A]], "0"), "-", TEXT(Table3[[#This Row],[RL_A]],"0"), "-", TEXT(Table3[[#This Row],[OTL_A]]+Table3[[#This Row],[SOL_A]], "0"))</f>
        <v>0-0-0</v>
      </c>
      <c r="BN20" s="42">
        <f>((2*(Table3[[#This Row],[W_H]]))+Table3[[#This Row],[OTL_H]]+Table3[[#This Row],[SOL_H]])/(2*Table3[[#This Row],[GP_H]])</f>
        <v>0.5</v>
      </c>
      <c r="BO20" s="42" t="e">
        <f>((2*(Table3[[#This Row],[W_A]]))+Table3[[#This Row],[OTL_A]]+Table3[[#This Row],[SOL_A]])/(2*Table3[[#This Row],[GP_A]])</f>
        <v>#DIV/0!</v>
      </c>
      <c r="BP20" s="16">
        <f>(Table3[[#This Row],[W]]*$CX$3)+(Table3[[#This Row],[L]]*$CX$4)+(Table3[[#This Row],[GF]]*$CX$5)+(Table3[[#This Row],[GA]]*$CX$6)</f>
        <v>3.05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119.89999999999999</v>
      </c>
      <c r="BR20" s="16">
        <f>(Table3[[#This Row],[W]]*0.7) + ((Table3[[#This Row],[GF]] - Table3[[#This Row],[GA]])*0.25)+(Table3[[#This Row],[GF]]*0.1)+(Table3[[#This Row],[GA]]*0.05)+(Table3[[#This Row],[L]]*0.3)</f>
        <v>1.55</v>
      </c>
      <c r="BS20" s="16">
        <f>Table3[[#This Row],[TeamCost83]]/Table3[[#This Row],[GP]]</f>
        <v>0.77500000000000002</v>
      </c>
      <c r="BT20">
        <f>COUNTIFS(Table2[AwayTeam],$A20,Table2[PredictedWinner], $A20, Table2[GameIsOver], 1)</f>
        <v>0</v>
      </c>
      <c r="BU20">
        <f>COUNTIFS(Table2[HomeTeam],$A20,Table2[PredictedWinner], $A20, Table2[GameIsOver], 1)</f>
        <v>0</v>
      </c>
      <c r="BV20">
        <f t="shared" si="8"/>
        <v>0</v>
      </c>
      <c r="BW20">
        <f t="shared" si="9"/>
        <v>0</v>
      </c>
      <c r="BX20">
        <f t="shared" si="10"/>
        <v>2</v>
      </c>
      <c r="BY20">
        <f t="shared" si="11"/>
        <v>2</v>
      </c>
      <c r="BZ20">
        <f>Table3[[#This Row],[TimesPredictedWinner]]/Table3[[#This Row],[GP]]</f>
        <v>0</v>
      </c>
      <c r="CC20" s="1">
        <v>45732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1.8</v>
      </c>
      <c r="CK20">
        <f>Table3[[#This Row],[Column4]]+Table3[[#This Row],[Column3]]</f>
        <v>1.8</v>
      </c>
      <c r="CL20">
        <f>Table3[[#This Row],[Column5]]/Table3[[#This Row],[GP]]</f>
        <v>0.9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42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2</v>
      </c>
      <c r="E21" s="10">
        <f>Table3[[#This Row],[Watched]]/Table3[[#This Row],[GP]]</f>
        <v>0.66666666666666663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1</v>
      </c>
      <c r="I21">
        <f>41-Table3[[#This Row],[GP_H]]</f>
        <v>40</v>
      </c>
      <c r="J21">
        <f t="shared" si="0"/>
        <v>3</v>
      </c>
      <c r="K21">
        <f>82-Table3[[#This Row],[GP]]</f>
        <v>79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2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0.33333333333333331</v>
      </c>
      <c r="AC21">
        <f>Table3[[#This Row],[W_A]]+Table3[[#This Row],[W_H]]</f>
        <v>1</v>
      </c>
      <c r="AD21">
        <f>Table3[[#This Row],[L_A]]+Table3[[#This Row],[L_H]]</f>
        <v>2</v>
      </c>
      <c r="AE21">
        <f>Table3[[#This Row],[RW_A]]+Table3[[#This Row],[RW_H]]</f>
        <v>1</v>
      </c>
      <c r="AF21">
        <f>Table3[[#This Row],[RL_A]]+Table3[[#This Row],[RL_H]]</f>
        <v>1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0-1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0.33333333333333331</v>
      </c>
      <c r="AO21">
        <f>(2*(Table3[[#This Row],[W_A]]+Table3[[#This Row],[W_H]]))+Table3[[#This Row],[OTL_A]]+Table3[[#This Row],[SOL_A]]+Table3[[#This Row],[OTL_H]]+Table3[[#This Row],[SOL_H]]</f>
        <v>3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1" s="10">
        <f>Table3[[#This Row],[PTS]]/(2*Table3[[#This Row],[GP]])</f>
        <v>0.5</v>
      </c>
      <c r="AR21" s="10">
        <f>Table3[[#This Row],[PTS2]]/(3*Table3[[#This Row],[GP]])</f>
        <v>0.44444444444444442</v>
      </c>
      <c r="AS21">
        <f>(2*Table3[[#This Row],[GR]])+Table3[[#This Row],[PTS]]</f>
        <v>161</v>
      </c>
      <c r="AT21">
        <f>(3*Table3[[#This Row],[GR]])+Table3[[#This Row],[PTS2]]</f>
        <v>241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109.33333333333333</v>
      </c>
      <c r="AW21" s="15" t="str">
        <f>_xlfn.CONCAT(TEXT(Table3[[#This Row],[W]], "0"), "-", TEXT(Table3[[#This Row],[RL]],"0"), "-", TEXT(Table3[[#This Row],[OTL]]+Table3[[#This Row],[SOL]], "0"))</f>
        <v>1-1-1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4</v>
      </c>
      <c r="AZ21">
        <f>SUMIF(DataRegularSeason20242025!$D$3:$D$1315,$A21, DataRegularSeason20242025!$K$3:$K$1315)</f>
        <v>6</v>
      </c>
      <c r="BA21">
        <f t="shared" si="3"/>
        <v>-2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5</v>
      </c>
      <c r="BD21">
        <f>SUMIF(DataRegularSeason20242025!$E$3:$E$1315,$A21,DataRegularSeason20242025!$J$3:$J$1315)</f>
        <v>2</v>
      </c>
      <c r="BE21">
        <f t="shared" si="4"/>
        <v>3</v>
      </c>
      <c r="BF21">
        <f t="shared" si="5"/>
        <v>9</v>
      </c>
      <c r="BG21">
        <f t="shared" si="6"/>
        <v>8</v>
      </c>
      <c r="BH21">
        <f t="shared" si="7"/>
        <v>1</v>
      </c>
      <c r="BI21" s="12">
        <f>Table3[[#This Row],[GF]]/Table3[[#This Row],[GP]]</f>
        <v>3</v>
      </c>
      <c r="BJ21" s="12">
        <f>Table3[[#This Row],[GA]]/Table3[[#This Row],[GP]]</f>
        <v>2.6666666666666665</v>
      </c>
      <c r="BK21" s="12">
        <f>(Table3[[#This Row],[GF]]-Table3[[#This Row],[GA]])/Table3[[#This Row],[GP]]</f>
        <v>0.33333333333333331</v>
      </c>
      <c r="BL21" s="42" t="str">
        <f>_xlfn.CONCAT(TEXT(Table3[[#This Row],[W_H]], "0"), "-", TEXT(Table3[[#This Row],[RL_H]],"0"), "-", TEXT(Table3[[#This Row],[OTL_H]]+Table3[[#This Row],[SOL_H]], "0"))</f>
        <v>1-0-0</v>
      </c>
      <c r="BM21" s="42" t="str">
        <f>_xlfn.CONCAT(TEXT(Table3[[#This Row],[W_A]], "0"), "-", TEXT(Table3[[#This Row],[RL_A]],"0"), "-", TEXT(Table3[[#This Row],[OTL_A]]+Table3[[#This Row],[SOL_A]], "0"))</f>
        <v>0-1-1</v>
      </c>
      <c r="BN21" s="42">
        <f>((2*(Table3[[#This Row],[W_H]]))+Table3[[#This Row],[OTL_H]]+Table3[[#This Row],[SOL_H]])/(2*Table3[[#This Row],[GP_H]])</f>
        <v>1</v>
      </c>
      <c r="BO21" s="42">
        <f>((2*(Table3[[#This Row],[W_A]]))+Table3[[#This Row],[OTL_A]]+Table3[[#This Row],[SOL_A]])/(2*Table3[[#This Row],[GP_A]])</f>
        <v>0.25</v>
      </c>
      <c r="BP21" s="16">
        <f>(Table3[[#This Row],[W]]*$CX$3)+(Table3[[#This Row],[L]]*$CX$4)+(Table3[[#This Row],[GF]]*$CX$5)+(Table3[[#This Row],[GA]]*$CX$6)</f>
        <v>3.25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72.949999999999989</v>
      </c>
      <c r="BR21" s="16">
        <f>(Table3[[#This Row],[W]]*0.7) + ((Table3[[#This Row],[GF]] - Table3[[#This Row],[GA]])*0.25)+(Table3[[#This Row],[GF]]*0.1)+(Table3[[#This Row],[GA]]*0.05)+(Table3[[#This Row],[L]]*0.3)</f>
        <v>2.85</v>
      </c>
      <c r="BS21" s="16">
        <f>Table3[[#This Row],[TeamCost83]]/Table3[[#This Row],[GP]]</f>
        <v>0.95000000000000007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 t="shared" si="8"/>
        <v>0</v>
      </c>
      <c r="BW21">
        <f t="shared" si="9"/>
        <v>2</v>
      </c>
      <c r="BX21">
        <f t="shared" si="10"/>
        <v>1</v>
      </c>
      <c r="BY21">
        <f t="shared" si="11"/>
        <v>3</v>
      </c>
      <c r="BZ21">
        <f>Table3[[#This Row],[TimesPredictedWinner]]/Table3[[#This Row],[GP]]</f>
        <v>0</v>
      </c>
      <c r="CB21">
        <v>1975</v>
      </c>
      <c r="CC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1.7000000000000002</v>
      </c>
      <c r="CJ21">
        <f>SUMIFS(Table2[GamePredictionScore], Table2[HomeTeam], Table3[[#This Row],[Teams]])</f>
        <v>0</v>
      </c>
      <c r="CK21">
        <f>Table3[[#This Row],[Column4]]+Table3[[#This Row],[Column3]]</f>
        <v>1.7000000000000002</v>
      </c>
      <c r="CL21">
        <f>Table3[[#This Row],[Column5]]/Table3[[#This Row],[GP]]</f>
        <v>0.56666666666666676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19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2</v>
      </c>
      <c r="E22" s="10">
        <f>Table3[[#This Row],[Watched]]/Table3[[#This Row],[GP]]</f>
        <v>0.5</v>
      </c>
      <c r="F22">
        <f>COUNTIFS(DataRegularSeason20242025!$N$3:$N$1315,1,DataRegularSeason20242025!$D$3:$D$1315,$A22)</f>
        <v>2</v>
      </c>
      <c r="G22">
        <f>41-Table3[[#This Row],[GP_A]]</f>
        <v>39</v>
      </c>
      <c r="H22">
        <f>COUNTIFS(DataRegularSeason20242025!$E$3:$E$1315,$A22,DataRegularSeason20242025!$N$3:$N$1315,1)</f>
        <v>2</v>
      </c>
      <c r="I22">
        <f>41-Table3[[#This Row],[GP_H]]</f>
        <v>39</v>
      </c>
      <c r="J22">
        <f t="shared" si="0"/>
        <v>4</v>
      </c>
      <c r="K22">
        <f>82-Table3[[#This Row],[GP]]</f>
        <v>78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0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2</v>
      </c>
      <c r="Y22">
        <f>COUNTIFS(DataRegularSeason20242025!$E$3:$E$1315,$A22, DataRegularSeason20242025!$S$3:$S$1315, $A22,DataRegularSeason20242025!$M$3:$M$1315,"REG")</f>
        <v>2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0.5</v>
      </c>
      <c r="AC22">
        <f>Table3[[#This Row],[W_A]]+Table3[[#This Row],[W_H]]</f>
        <v>2</v>
      </c>
      <c r="AD22">
        <f>Table3[[#This Row],[L_A]]+Table3[[#This Row],[L_H]]</f>
        <v>2</v>
      </c>
      <c r="AE22">
        <f>Table3[[#This Row],[RW_A]]+Table3[[#This Row],[RW_H]]</f>
        <v>2</v>
      </c>
      <c r="AF22">
        <f>Table3[[#This Row],[RL_A]]+Table3[[#This Row],[RL_H]]</f>
        <v>2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4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2" s="10">
        <f>Table3[[#This Row],[PTS]]/(2*Table3[[#This Row],[GP]])</f>
        <v>0.5</v>
      </c>
      <c r="AR22" s="10">
        <f>Table3[[#This Row],[PTS2]]/(3*Table3[[#This Row],[GP]])</f>
        <v>0.5</v>
      </c>
      <c r="AS22">
        <f>(2*Table3[[#This Row],[GR]])+Table3[[#This Row],[PTS]]</f>
        <v>160</v>
      </c>
      <c r="AT22">
        <f>(3*Table3[[#This Row],[GR]])+Table3[[#This Row],[PTS2]]</f>
        <v>240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123</v>
      </c>
      <c r="AW22" s="15" t="str">
        <f>_xlfn.CONCAT(TEXT(Table3[[#This Row],[W]], "0"), "-", TEXT(Table3[[#This Row],[RL]],"0"), "-", TEXT(Table3[[#This Row],[OTL]]+Table3[[#This Row],[SOL]], "0"))</f>
        <v>2-2-0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10</v>
      </c>
      <c r="AZ22">
        <f>SUMIF(DataRegularSeason20242025!$D$3:$D$1315,$A22, DataRegularSeason20242025!$K$3:$K$1315)</f>
        <v>1</v>
      </c>
      <c r="BA22">
        <f t="shared" si="3"/>
        <v>9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0</v>
      </c>
      <c r="BD22">
        <f>SUMIF(DataRegularSeason20242025!$E$3:$E$1315,$A22,DataRegularSeason20242025!$J$3:$J$1315)</f>
        <v>4</v>
      </c>
      <c r="BE22">
        <f t="shared" si="4"/>
        <v>-4</v>
      </c>
      <c r="BF22">
        <f t="shared" si="5"/>
        <v>10</v>
      </c>
      <c r="BG22">
        <f t="shared" si="6"/>
        <v>5</v>
      </c>
      <c r="BH22">
        <f t="shared" si="7"/>
        <v>5</v>
      </c>
      <c r="BI22" s="12">
        <f>Table3[[#This Row],[GF]]/Table3[[#This Row],[GP]]</f>
        <v>2.5</v>
      </c>
      <c r="BJ22" s="12">
        <f>Table3[[#This Row],[GA]]/Table3[[#This Row],[GP]]</f>
        <v>1.25</v>
      </c>
      <c r="BK22" s="12">
        <f>(Table3[[#This Row],[GF]]-Table3[[#This Row],[GA]])/Table3[[#This Row],[GP]]</f>
        <v>1.25</v>
      </c>
      <c r="BL22" s="42" t="str">
        <f>_xlfn.CONCAT(TEXT(Table3[[#This Row],[W_H]], "0"), "-", TEXT(Table3[[#This Row],[RL_H]],"0"), "-", TEXT(Table3[[#This Row],[OTL_H]]+Table3[[#This Row],[SOL_H]], "0"))</f>
        <v>0-2-0</v>
      </c>
      <c r="BM22" s="42" t="str">
        <f>_xlfn.CONCAT(TEXT(Table3[[#This Row],[W_A]], "0"), "-", TEXT(Table3[[#This Row],[RL_A]],"0"), "-", TEXT(Table3[[#This Row],[OTL_A]]+Table3[[#This Row],[SOL_A]], "0"))</f>
        <v>2-0-0</v>
      </c>
      <c r="BN22" s="42">
        <f>((2*(Table3[[#This Row],[W_H]]))+Table3[[#This Row],[OTL_H]]+Table3[[#This Row],[SOL_H]])/(2*Table3[[#This Row],[GP_H]])</f>
        <v>0</v>
      </c>
      <c r="BO22" s="42">
        <f>((2*(Table3[[#This Row],[W_A]]))+Table3[[#This Row],[OTL_A]]+Table3[[#This Row],[SOL_A]])/(2*Table3[[#This Row],[GP_A]])</f>
        <v>1</v>
      </c>
      <c r="BP22" s="16">
        <f>(Table3[[#This Row],[W]]*$CX$3)+(Table3[[#This Row],[L]]*$CX$4)+(Table3[[#This Row],[GF]]*$CX$5)+(Table3[[#This Row],[GA]]*$CX$6)</f>
        <v>3.6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52.8</v>
      </c>
      <c r="BR22" s="16">
        <f>(Table3[[#This Row],[W]]*0.7) + ((Table3[[#This Row],[GF]] - Table3[[#This Row],[GA]])*0.25)+(Table3[[#This Row],[GF]]*0.1)+(Table3[[#This Row],[GA]]*0.05)+(Table3[[#This Row],[L]]*0.3)</f>
        <v>4.5</v>
      </c>
      <c r="BS22" s="16">
        <f>Table3[[#This Row],[TeamCost83]]/Table3[[#This Row],[GP]]</f>
        <v>1.125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1</v>
      </c>
      <c r="BV22">
        <f t="shared" si="8"/>
        <v>1</v>
      </c>
      <c r="BW22">
        <f t="shared" si="9"/>
        <v>2</v>
      </c>
      <c r="BX22">
        <f t="shared" si="10"/>
        <v>1</v>
      </c>
      <c r="BY22">
        <f t="shared" si="11"/>
        <v>3</v>
      </c>
      <c r="BZ22">
        <f>Table3[[#This Row],[TimesPredictedWinner]]/Table3[[#This Row],[GP]]</f>
        <v>0.25</v>
      </c>
      <c r="CB22">
        <v>1994</v>
      </c>
      <c r="CC22" s="1">
        <v>45759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0.9</v>
      </c>
      <c r="CK22">
        <f>Table3[[#This Row],[Column4]]+Table3[[#This Row],[Column3]]</f>
        <v>0.9</v>
      </c>
      <c r="CL22">
        <f>Table3[[#This Row],[Column5]]/Table3[[#This Row],[GP]]</f>
        <v>0.22500000000000001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35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0</v>
      </c>
      <c r="E23" s="10">
        <f>Table3[[#This Row],[Watched]]/Table3[[#This Row],[GP]]</f>
        <v>0</v>
      </c>
      <c r="F23">
        <f>COUNTIFS(DataRegularSeason20242025!$N$3:$N$1315,1,DataRegularSeason20242025!$D$3:$D$1315,$A23)</f>
        <v>2</v>
      </c>
      <c r="G23">
        <f>41-Table3[[#This Row],[GP_A]]</f>
        <v>39</v>
      </c>
      <c r="H23">
        <f>COUNTIFS(DataRegularSeason20242025!$E$3:$E$1315,$A23,DataRegularSeason20242025!$N$3:$N$1315,1)</f>
        <v>1</v>
      </c>
      <c r="I23">
        <f>41-Table3[[#This Row],[GP_H]]</f>
        <v>40</v>
      </c>
      <c r="J23">
        <f t="shared" si="0"/>
        <v>3</v>
      </c>
      <c r="K23">
        <f>82-Table3[[#This Row],[GP]]</f>
        <v>79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1</v>
      </c>
      <c r="Q23">
        <f>COUNTIFS(DataRegularSeason20242025!$D$3:$D$1315,$A23, DataRegularSeason20242025!$S$3:$S$1315, $A23,DataRegularSeason20242025!$M$3:$M$1315,"REG")</f>
        <v>1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1</v>
      </c>
      <c r="Y23">
        <f>COUNTIFS(DataRegularSeason20242025!$E$3:$E$1315,$A23, DataRegularSeason20242025!$S$3:$S$1315, $A23,DataRegularSeason20242025!$M$3:$M$1315,"REG")</f>
        <v>1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0.33333333333333331</v>
      </c>
      <c r="AC23">
        <f>Table3[[#This Row],[W_A]]+Table3[[#This Row],[W_H]]</f>
        <v>1</v>
      </c>
      <c r="AD23">
        <f>Table3[[#This Row],[L_A]]+Table3[[#This Row],[L_H]]</f>
        <v>2</v>
      </c>
      <c r="AE23">
        <f>Table3[[#This Row],[RW_A]]+Table3[[#This Row],[RW_H]]</f>
        <v>1</v>
      </c>
      <c r="AF23">
        <f>Table3[[#This Row],[RL_A]]+Table3[[#This Row],[RL_H]]</f>
        <v>2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2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3" s="10">
        <f>Table3[[#This Row],[PTS]]/(2*Table3[[#This Row],[GP]])</f>
        <v>0.33333333333333331</v>
      </c>
      <c r="AR23" s="10">
        <f>Table3[[#This Row],[PTS2]]/(3*Table3[[#This Row],[GP]])</f>
        <v>0.33333333333333331</v>
      </c>
      <c r="AS23">
        <f>(2*Table3[[#This Row],[GR]])+Table3[[#This Row],[PTS]]</f>
        <v>160</v>
      </c>
      <c r="AT23">
        <f>(3*Table3[[#This Row],[GR]])+Table3[[#This Row],[PTS2]]</f>
        <v>240</v>
      </c>
      <c r="AU23">
        <f>Table3[[#This Row],[PTS]]+(2 * Table3[[#This Row],[GR]] * Table3[[#This Row],[PTS%]])</f>
        <v>54.666666666666664</v>
      </c>
      <c r="AV23">
        <f>Table3[[#This Row],[PTS2]]+(3 * Table3[[#This Row],[GR]] * Table3[[#This Row],[PTS%2]])</f>
        <v>82</v>
      </c>
      <c r="AW23" s="15" t="str">
        <f>_xlfn.CONCAT(TEXT(Table3[[#This Row],[W]], "0"), "-", TEXT(Table3[[#This Row],[RL]],"0"), "-", TEXT(Table3[[#This Row],[OTL]]+Table3[[#This Row],[SOL]], "0"))</f>
        <v>1-2-0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8</v>
      </c>
      <c r="AZ23">
        <f>SUMIF(DataRegularSeason20242025!$D$3:$D$1315,$A23, DataRegularSeason20242025!$K$3:$K$1315)</f>
        <v>5</v>
      </c>
      <c r="BA23">
        <f t="shared" si="3"/>
        <v>3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2</v>
      </c>
      <c r="BD23">
        <f>SUMIF(DataRegularSeason20242025!$E$3:$E$1315,$A23,DataRegularSeason20242025!$J$3:$J$1315)</f>
        <v>3</v>
      </c>
      <c r="BE23">
        <f t="shared" si="4"/>
        <v>-1</v>
      </c>
      <c r="BF23">
        <f t="shared" si="5"/>
        <v>10</v>
      </c>
      <c r="BG23">
        <f t="shared" si="6"/>
        <v>8</v>
      </c>
      <c r="BH23">
        <f t="shared" si="7"/>
        <v>2</v>
      </c>
      <c r="BI23" s="12">
        <f>Table3[[#This Row],[GF]]/Table3[[#This Row],[GP]]</f>
        <v>3.3333333333333335</v>
      </c>
      <c r="BJ23" s="12">
        <f>Table3[[#This Row],[GA]]/Table3[[#This Row],[GP]]</f>
        <v>2.6666666666666665</v>
      </c>
      <c r="BK23" s="12">
        <f>(Table3[[#This Row],[GF]]-Table3[[#This Row],[GA]])/Table3[[#This Row],[GP]]</f>
        <v>0.66666666666666663</v>
      </c>
      <c r="BL23" s="42" t="str">
        <f>_xlfn.CONCAT(TEXT(Table3[[#This Row],[W_H]], "0"), "-", TEXT(Table3[[#This Row],[RL_H]],"0"), "-", TEXT(Table3[[#This Row],[OTL_H]]+Table3[[#This Row],[SOL_H]], "0"))</f>
        <v>0-1-0</v>
      </c>
      <c r="BM23" s="42" t="str">
        <f>_xlfn.CONCAT(TEXT(Table3[[#This Row],[W_A]], "0"), "-", TEXT(Table3[[#This Row],[RL_A]],"0"), "-", TEXT(Table3[[#This Row],[OTL_A]]+Table3[[#This Row],[SOL_A]], "0"))</f>
        <v>1-1-0</v>
      </c>
      <c r="BN23" s="42">
        <f>((2*(Table3[[#This Row],[W_H]]))+Table3[[#This Row],[OTL_H]]+Table3[[#This Row],[SOL_H]])/(2*Table3[[#This Row],[GP_H]])</f>
        <v>0</v>
      </c>
      <c r="BO23" s="42">
        <f>((2*(Table3[[#This Row],[W_A]]))+Table3[[#This Row],[OTL_A]]+Table3[[#This Row],[SOL_A]])/(2*Table3[[#This Row],[GP_A]])</f>
        <v>0.5</v>
      </c>
      <c r="BP23" s="16">
        <f>(Table3[[#This Row],[W]]*$CX$3)+(Table3[[#This Row],[L]]*$CX$4)+(Table3[[#This Row],[GF]]*$CX$5)+(Table3[[#This Row],[GA]]*$CX$6)</f>
        <v>3.4000000000000004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76.288888888888891</v>
      </c>
      <c r="BR23" s="16">
        <f>(Table3[[#This Row],[W]]*0.7) + ((Table3[[#This Row],[GF]] - Table3[[#This Row],[GA]])*0.25)+(Table3[[#This Row],[GF]]*0.1)+(Table3[[#This Row],[GA]]*0.05)+(Table3[[#This Row],[L]]*0.3)</f>
        <v>3.2</v>
      </c>
      <c r="BS23" s="16">
        <f>Table3[[#This Row],[TeamCost83]]/Table3[[#This Row],[GP]]</f>
        <v>1.0666666666666667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1</v>
      </c>
      <c r="BV23">
        <f t="shared" si="8"/>
        <v>1</v>
      </c>
      <c r="BW23">
        <f t="shared" si="9"/>
        <v>2</v>
      </c>
      <c r="BX23">
        <f t="shared" si="10"/>
        <v>0</v>
      </c>
      <c r="BY23">
        <f t="shared" si="11"/>
        <v>2</v>
      </c>
      <c r="BZ23">
        <f>Table3[[#This Row],[TimesPredictedWinner]]/Table3[[#This Row],[GP]]</f>
        <v>0.33333333333333331</v>
      </c>
      <c r="CC23" s="1">
        <v>45763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0.8</v>
      </c>
      <c r="CJ23">
        <f>SUMIFS(Table2[GamePredictionScore], Table2[HomeTeam], Table3[[#This Row],[Teams]])</f>
        <v>0</v>
      </c>
      <c r="CK23">
        <f>Table3[[#This Row],[Column4]]+Table3[[#This Row],[Column3]]</f>
        <v>0.8</v>
      </c>
      <c r="CL23">
        <f>Table3[[#This Row],[Column5]]/Table3[[#This Row],[GP]]</f>
        <v>0.26666666666666666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24</v>
      </c>
      <c r="B24" t="s">
        <v>90</v>
      </c>
      <c r="C24" t="s">
        <v>93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3</v>
      </c>
      <c r="E24" s="10">
        <f>Table3[[#This Row],[Watched]]/Table3[[#This Row],[GP]]</f>
        <v>1</v>
      </c>
      <c r="F24">
        <f>COUNTIFS(DataRegularSeason20242025!$N$3:$N$1315,1,DataRegularSeason20242025!$D$3:$D$1315,$A24)</f>
        <v>1</v>
      </c>
      <c r="G24">
        <f>41-Table3[[#This Row],[GP_A]]</f>
        <v>40</v>
      </c>
      <c r="H24">
        <f>COUNTIFS(DataRegularSeason20242025!$E$3:$E$1315,$A24,DataRegularSeason20242025!$N$3:$N$1315,1)</f>
        <v>2</v>
      </c>
      <c r="I24">
        <f>41-Table3[[#This Row],[GP_H]]</f>
        <v>39</v>
      </c>
      <c r="J24">
        <f t="shared" si="0"/>
        <v>3</v>
      </c>
      <c r="K24">
        <f>82-Table3[[#This Row],[GP]]</f>
        <v>79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1</v>
      </c>
      <c r="Q24">
        <f>COUNTIFS(DataRegularSeason20242025!$D$3:$D$1315,$A24, DataRegularSeason20242025!$S$3:$S$1315, $A24,DataRegularSeason20242025!$M$3:$M$1315,"REG")</f>
        <v>1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1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1</v>
      </c>
      <c r="Y24">
        <f>COUNTIFS(DataRegularSeason20242025!$E$3:$E$1315,$A24, DataRegularSeason20242025!$S$3:$S$1315, $A24,DataRegularSeason20242025!$M$3:$M$1315,"REG")</f>
        <v>1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0.33333333333333331</v>
      </c>
      <c r="AC24">
        <f>Table3[[#This Row],[W_A]]+Table3[[#This Row],[W_H]]</f>
        <v>1</v>
      </c>
      <c r="AD24">
        <f>Table3[[#This Row],[L_A]]+Table3[[#This Row],[L_H]]</f>
        <v>2</v>
      </c>
      <c r="AE24">
        <f>Table3[[#This Row],[RW_A]]+Table3[[#This Row],[RW_H]]</f>
        <v>1</v>
      </c>
      <c r="AF24">
        <f>Table3[[#This Row],[RL_A]]+Table3[[#This Row],[RL_H]]</f>
        <v>2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2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4" s="10">
        <f>Table3[[#This Row],[PTS]]/(2*Table3[[#This Row],[GP]])</f>
        <v>0.33333333333333331</v>
      </c>
      <c r="AR24" s="10">
        <f>Table3[[#This Row],[PTS2]]/(3*Table3[[#This Row],[GP]])</f>
        <v>0.33333333333333331</v>
      </c>
      <c r="AS24">
        <f>(2*Table3[[#This Row],[GR]])+Table3[[#This Row],[PTS]]</f>
        <v>160</v>
      </c>
      <c r="AT24">
        <f>(3*Table3[[#This Row],[GR]])+Table3[[#This Row],[PTS2]]</f>
        <v>240</v>
      </c>
      <c r="AU24">
        <f>Table3[[#This Row],[PTS]]+(2 * Table3[[#This Row],[GR]] * Table3[[#This Row],[PTS%]])</f>
        <v>54.666666666666664</v>
      </c>
      <c r="AV24">
        <f>Table3[[#This Row],[PTS2]]+(3 * Table3[[#This Row],[GR]] * Table3[[#This Row],[PTS%2]])</f>
        <v>82</v>
      </c>
      <c r="AW24" s="15" t="str">
        <f>_xlfn.CONCAT(TEXT(Table3[[#This Row],[W]], "0"), "-", TEXT(Table3[[#This Row],[RL]],"0"), "-", TEXT(Table3[[#This Row],[OTL]]+Table3[[#This Row],[SOL]], "0"))</f>
        <v>1-2-0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</v>
      </c>
      <c r="AZ24">
        <f>SUMIF(DataRegularSeason20242025!$D$3:$D$1315,$A24, DataRegularSeason20242025!$K$3:$K$1315)</f>
        <v>3</v>
      </c>
      <c r="BA24">
        <f t="shared" si="3"/>
        <v>-2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7</v>
      </c>
      <c r="BD24">
        <f>SUMIF(DataRegularSeason20242025!$E$3:$E$1315,$A24,DataRegularSeason20242025!$J$3:$J$1315)</f>
        <v>6</v>
      </c>
      <c r="BE24">
        <f t="shared" si="4"/>
        <v>1</v>
      </c>
      <c r="BF24">
        <f t="shared" si="5"/>
        <v>8</v>
      </c>
      <c r="BG24">
        <f t="shared" si="6"/>
        <v>9</v>
      </c>
      <c r="BH24">
        <f t="shared" si="7"/>
        <v>-1</v>
      </c>
      <c r="BI24" s="12">
        <f>Table3[[#This Row],[GF]]/Table3[[#This Row],[GP]]</f>
        <v>2.6666666666666665</v>
      </c>
      <c r="BJ24" s="12">
        <f>Table3[[#This Row],[GA]]/Table3[[#This Row],[GP]]</f>
        <v>3</v>
      </c>
      <c r="BK24" s="12">
        <f>(Table3[[#This Row],[GF]]-Table3[[#This Row],[GA]])/Table3[[#This Row],[GP]]</f>
        <v>-0.33333333333333331</v>
      </c>
      <c r="BL24" s="42" t="str">
        <f>_xlfn.CONCAT(TEXT(Table3[[#This Row],[W_H]], "0"), "-", TEXT(Table3[[#This Row],[RL_H]],"0"), "-", TEXT(Table3[[#This Row],[OTL_H]]+Table3[[#This Row],[SOL_H]], "0"))</f>
        <v>1-1-0</v>
      </c>
      <c r="BM24" s="42" t="str">
        <f>_xlfn.CONCAT(TEXT(Table3[[#This Row],[W_A]], "0"), "-", TEXT(Table3[[#This Row],[RL_A]],"0"), "-", TEXT(Table3[[#This Row],[OTL_A]]+Table3[[#This Row],[SOL_A]], "0"))</f>
        <v>0-1-0</v>
      </c>
      <c r="BN24" s="42">
        <f>((2*(Table3[[#This Row],[W_H]]))+Table3[[#This Row],[OTL_H]]+Table3[[#This Row],[SOL_H]])/(2*Table3[[#This Row],[GP_H]])</f>
        <v>0.5</v>
      </c>
      <c r="BO24" s="42">
        <f>((2*(Table3[[#This Row],[W_A]]))+Table3[[#This Row],[OTL_A]]+Table3[[#This Row],[SOL_A]])/(2*Table3[[#This Row],[GP_A]])</f>
        <v>0</v>
      </c>
      <c r="BP24" s="16">
        <f>(Table3[[#This Row],[W]]*$CX$3)+(Table3[[#This Row],[L]]*$CX$4)+(Table3[[#This Row],[GF]]*$CX$5)+(Table3[[#This Row],[GA]]*$CX$6)</f>
        <v>3.1999999999999997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70.622222222222234</v>
      </c>
      <c r="BR24" s="16">
        <f>(Table3[[#This Row],[W]]*0.7) + ((Table3[[#This Row],[GF]] - Table3[[#This Row],[GA]])*0.25)+(Table3[[#This Row],[GF]]*0.1)+(Table3[[#This Row],[GA]]*0.05)+(Table3[[#This Row],[L]]*0.3)</f>
        <v>2.2999999999999998</v>
      </c>
      <c r="BS24" s="16">
        <f>Table3[[#This Row],[TeamCost83]]/Table3[[#This Row],[GP]]</f>
        <v>0.76666666666666661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1</v>
      </c>
      <c r="BV24">
        <f t="shared" si="8"/>
        <v>2</v>
      </c>
      <c r="BW24">
        <f t="shared" si="9"/>
        <v>0</v>
      </c>
      <c r="BX24">
        <f t="shared" si="10"/>
        <v>1</v>
      </c>
      <c r="BY24">
        <f t="shared" si="11"/>
        <v>1</v>
      </c>
      <c r="BZ24">
        <f>Table3[[#This Row],[TimesPredictedWinner]]/Table3[[#This Row],[GP]]</f>
        <v>0.66666666666666663</v>
      </c>
      <c r="CC24" s="1">
        <v>45756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0.1</v>
      </c>
      <c r="CJ24">
        <f>SUMIFS(Table2[GamePredictionScore], Table2[HomeTeam], Table3[[#This Row],[Teams]])</f>
        <v>1.6</v>
      </c>
      <c r="CK24">
        <f>Table3[[#This Row],[Column4]]+Table3[[#This Row],[Column3]]</f>
        <v>1.7000000000000002</v>
      </c>
      <c r="CL24">
        <f>Table3[[#This Row],[Column5]]/Table3[[#This Row],[GP]]</f>
        <v>0.56666666666666676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17</v>
      </c>
      <c r="B25" t="s">
        <v>91</v>
      </c>
      <c r="C25" t="s">
        <v>74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3</v>
      </c>
      <c r="E25" s="10">
        <f>Table3[[#This Row],[Watched]]/Table3[[#This Row],[GP]]</f>
        <v>1</v>
      </c>
      <c r="F25">
        <f>COUNTIFS(DataRegularSeason20242025!$N$3:$N$1315,1,DataRegularSeason20242025!$D$3:$D$1315,$A25)</f>
        <v>1</v>
      </c>
      <c r="G25">
        <f>41-Table3[[#This Row],[GP_A]]</f>
        <v>40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 t="shared" si="0"/>
        <v>3</v>
      </c>
      <c r="K25">
        <f>82-Table3[[#This Row],[GP]]</f>
        <v>79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1</v>
      </c>
      <c r="Q25">
        <f>COUNTIFS(DataRegularSeason20242025!$D$3:$D$1315,$A25, DataRegularSeason20242025!$S$3:$S$1315, $A25,DataRegularSeason20242025!$M$3:$M$1315,"REG")</f>
        <v>1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1</v>
      </c>
      <c r="U25">
        <f>COUNTIFS(DataRegularSeason20242025!$E$3:$E$1315,$A25, DataRegularSeason20242025!$L$3:$L$1315, $A25,DataRegularSeason20242025!$N$3:$N$1315,1,DataRegularSeason20242025!$M$3:$M$1315,"REG")</f>
        <v>1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1</v>
      </c>
      <c r="Y25">
        <f>COUNTIFS(DataRegularSeason20242025!$E$3:$E$1315,$A25, DataRegularSeason20242025!$S$3:$S$1315, $A25,DataRegularSeason20242025!$M$3:$M$1315,"REG")</f>
        <v>1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0.33333333333333331</v>
      </c>
      <c r="AC25">
        <f>Table3[[#This Row],[W_A]]+Table3[[#This Row],[W_H]]</f>
        <v>1</v>
      </c>
      <c r="AD25">
        <f>Table3[[#This Row],[L_A]]+Table3[[#This Row],[L_H]]</f>
        <v>2</v>
      </c>
      <c r="AE25">
        <f>Table3[[#This Row],[RW_A]]+Table3[[#This Row],[RW_H]]</f>
        <v>1</v>
      </c>
      <c r="AF25">
        <f>Table3[[#This Row],[RL_A]]+Table3[[#This Row],[RL_H]]</f>
        <v>2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0-0</v>
      </c>
      <c r="AL25">
        <f>SUM(Table3[[#This Row],[OTW]],Table3[[#This Row],[OTL]],Table3[[#This Row],[SOW]],Table3[[#This Row],[SOL]])</f>
        <v>0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</v>
      </c>
      <c r="AO25">
        <f>(2*(Table3[[#This Row],[W_A]]+Table3[[#This Row],[W_H]]))+Table3[[#This Row],[OTL_A]]+Table3[[#This Row],[SOL_A]]+Table3[[#This Row],[OTL_H]]+Table3[[#This Row],[SOL_H]]</f>
        <v>2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5" s="10">
        <f>Table3[[#This Row],[PTS]]/(2*Table3[[#This Row],[GP]])</f>
        <v>0.33333333333333331</v>
      </c>
      <c r="AR25" s="10">
        <f>Table3[[#This Row],[PTS2]]/(3*Table3[[#This Row],[GP]])</f>
        <v>0.33333333333333331</v>
      </c>
      <c r="AS25">
        <f>(2*Table3[[#This Row],[GR]])+Table3[[#This Row],[PTS]]</f>
        <v>160</v>
      </c>
      <c r="AT25">
        <f>(3*Table3[[#This Row],[GR]])+Table3[[#This Row],[PTS2]]</f>
        <v>240</v>
      </c>
      <c r="AU25">
        <f>Table3[[#This Row],[PTS]]+(2 * Table3[[#This Row],[GR]] * Table3[[#This Row],[PTS%]])</f>
        <v>54.666666666666664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1-2-0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3</v>
      </c>
      <c r="AZ25">
        <f>SUMIF(DataRegularSeason20242025!$D$3:$D$1315,$A25, DataRegularSeason20242025!$K$3:$K$1315)</f>
        <v>6</v>
      </c>
      <c r="BA25">
        <f t="shared" si="3"/>
        <v>-3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7</v>
      </c>
      <c r="BD25">
        <f>SUMIF(DataRegularSeason20242025!$E$3:$E$1315,$A25,DataRegularSeason20242025!$J$3:$J$1315)</f>
        <v>5</v>
      </c>
      <c r="BE25">
        <f t="shared" si="4"/>
        <v>2</v>
      </c>
      <c r="BF25">
        <f t="shared" si="5"/>
        <v>10</v>
      </c>
      <c r="BG25">
        <f t="shared" si="6"/>
        <v>11</v>
      </c>
      <c r="BH25">
        <f t="shared" si="7"/>
        <v>-1</v>
      </c>
      <c r="BI25" s="12">
        <f>Table3[[#This Row],[GF]]/Table3[[#This Row],[GP]]</f>
        <v>3.3333333333333335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-0.33333333333333331</v>
      </c>
      <c r="BL25" s="42" t="str">
        <f>_xlfn.CONCAT(TEXT(Table3[[#This Row],[W_H]], "0"), "-", TEXT(Table3[[#This Row],[RL_H]],"0"), "-", TEXT(Table3[[#This Row],[OTL_H]]+Table3[[#This Row],[SOL_H]], "0"))</f>
        <v>1-1-0</v>
      </c>
      <c r="BM25" s="42" t="str">
        <f>_xlfn.CONCAT(TEXT(Table3[[#This Row],[W_A]], "0"), "-", TEXT(Table3[[#This Row],[RL_A]],"0"), "-", TEXT(Table3[[#This Row],[OTL_A]]+Table3[[#This Row],[SOL_A]], "0"))</f>
        <v>0-1-0</v>
      </c>
      <c r="BN25" s="42">
        <f>((2*(Table3[[#This Row],[W_H]]))+Table3[[#This Row],[OTL_H]]+Table3[[#This Row],[SOL_H]])/(2*Table3[[#This Row],[GP_H]])</f>
        <v>0.5</v>
      </c>
      <c r="BO25" s="42">
        <f>((2*(Table3[[#This Row],[W_A]]))+Table3[[#This Row],[OTL_A]]+Table3[[#This Row],[SOL_A]])/(2*Table3[[#This Row],[GP_A]])</f>
        <v>0</v>
      </c>
      <c r="BP25" s="16">
        <f>(Table3[[#This Row],[W]]*$CX$3)+(Table3[[#This Row],[L]]*$CX$4)+(Table3[[#This Row],[GF]]*$CX$5)+(Table3[[#This Row],[GA]]*$CX$6)</f>
        <v>3.7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84.788888888888877</v>
      </c>
      <c r="BR25" s="16">
        <f>(Table3[[#This Row],[W]]*0.7) + ((Table3[[#This Row],[GF]] - Table3[[#This Row],[GA]])*0.25)+(Table3[[#This Row],[GF]]*0.1)+(Table3[[#This Row],[GA]]*0.05)+(Table3[[#This Row],[L]]*0.3)</f>
        <v>2.6</v>
      </c>
      <c r="BS25" s="16">
        <f>Table3[[#This Row],[TeamCost83]]/Table3[[#This Row],[GP]]</f>
        <v>0.8666666666666667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1</v>
      </c>
      <c r="BV25">
        <f t="shared" si="8"/>
        <v>2</v>
      </c>
      <c r="BW25">
        <f t="shared" si="9"/>
        <v>0</v>
      </c>
      <c r="BX25">
        <f t="shared" si="10"/>
        <v>1</v>
      </c>
      <c r="BY25">
        <f t="shared" si="11"/>
        <v>1</v>
      </c>
      <c r="BZ25">
        <f>Table3[[#This Row],[TimesPredictedWinner]]/Table3[[#This Row],[GP]]</f>
        <v>0.66666666666666663</v>
      </c>
      <c r="CB25">
        <v>1967</v>
      </c>
      <c r="CD25" s="1">
        <v>45749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1.6</v>
      </c>
      <c r="CK25">
        <f>Table3[[#This Row],[Column4]]+Table3[[#This Row],[Column3]]</f>
        <v>1.6</v>
      </c>
      <c r="CL25">
        <f>Table3[[#This Row],[Column5]]/Table3[[#This Row],[GP]]</f>
        <v>0.53333333333333333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14</v>
      </c>
      <c r="B26" t="s">
        <v>90</v>
      </c>
      <c r="C26" t="s">
        <v>88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3</v>
      </c>
      <c r="E26" s="10">
        <f>Table3[[#This Row],[Watched]]/Table3[[#This Row],[GP]]</f>
        <v>1</v>
      </c>
      <c r="F26">
        <f>COUNTIFS(DataRegularSeason20242025!$N$3:$N$1315,1,DataRegularSeason20242025!$D$3:$D$1315,$A26)</f>
        <v>3</v>
      </c>
      <c r="G26">
        <f>41-Table3[[#This Row],[GP_A]]</f>
        <v>38</v>
      </c>
      <c r="H26">
        <f>COUNTIFS(DataRegularSeason20242025!$E$3:$E$1315,$A26,DataRegularSeason20242025!$N$3:$N$1315,1)</f>
        <v>0</v>
      </c>
      <c r="I26">
        <f>41-Table3[[#This Row],[GP_H]]</f>
        <v>41</v>
      </c>
      <c r="J26">
        <f t="shared" si="0"/>
        <v>3</v>
      </c>
      <c r="K26">
        <f>82-Table3[[#This Row],[GP]]</f>
        <v>79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1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2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0</v>
      </c>
      <c r="Y26">
        <f>COUNTIFS(DataRegularSeason20242025!$E$3:$E$1315,$A26, DataRegularSeason20242025!$S$3:$S$1315, $A26,DataRegularSeason20242025!$M$3:$M$1315,"REG")</f>
        <v>0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0.33333333333333331</v>
      </c>
      <c r="AC26">
        <f>Table3[[#This Row],[W_A]]+Table3[[#This Row],[W_H]]</f>
        <v>1</v>
      </c>
      <c r="AD26">
        <f>Table3[[#This Row],[L_A]]+Table3[[#This Row],[L_H]]</f>
        <v>2</v>
      </c>
      <c r="AE26">
        <f>Table3[[#This Row],[RW_A]]+Table3[[#This Row],[RW_H]]</f>
        <v>0</v>
      </c>
      <c r="AF26">
        <f>Table3[[#This Row],[RL_A]]+Table3[[#This Row],[RL_H]]</f>
        <v>2</v>
      </c>
      <c r="AG26">
        <f>Table3[[#This Row],[OTW_A]]+Table3[[#This Row],[OTW_H]]</f>
        <v>1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1-0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1</v>
      </c>
      <c r="AN26">
        <f>Table3[[#This Row],[Total_ExtraTimes]]/MAX(1,Table3[[#This Row],[GP]])</f>
        <v>0.33333333333333331</v>
      </c>
      <c r="AO26">
        <f>(2*(Table3[[#This Row],[W_A]]+Table3[[#This Row],[W_H]]))+Table3[[#This Row],[OTL_A]]+Table3[[#This Row],[SOL_A]]+Table3[[#This Row],[OTL_H]]+Table3[[#This Row],[SOL_H]]</f>
        <v>2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6" s="10">
        <f>Table3[[#This Row],[PTS]]/(2*Table3[[#This Row],[GP]])</f>
        <v>0.33333333333333331</v>
      </c>
      <c r="AR26" s="10">
        <f>Table3[[#This Row],[PTS2]]/(3*Table3[[#This Row],[GP]])</f>
        <v>0.22222222222222221</v>
      </c>
      <c r="AS26">
        <f>(2*Table3[[#This Row],[GR]])+Table3[[#This Row],[PTS]]</f>
        <v>160</v>
      </c>
      <c r="AT26">
        <f>(3*Table3[[#This Row],[GR]])+Table3[[#This Row],[PTS2]]</f>
        <v>239</v>
      </c>
      <c r="AU26">
        <f>Table3[[#This Row],[PTS]]+(2 * Table3[[#This Row],[GR]] * Table3[[#This Row],[PTS%]])</f>
        <v>54.666666666666664</v>
      </c>
      <c r="AV26">
        <f>Table3[[#This Row],[PTS2]]+(3 * Table3[[#This Row],[GR]] * Table3[[#This Row],[PTS%2]])</f>
        <v>54.666666666666664</v>
      </c>
      <c r="AW26" s="15" t="str">
        <f>_xlfn.CONCAT(TEXT(Table3[[#This Row],[W]], "0"), "-", TEXT(Table3[[#This Row],[RL]],"0"), "-", TEXT(Table3[[#This Row],[OTL]]+Table3[[#This Row],[SOL]], "0"))</f>
        <v>1-2-0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5</v>
      </c>
      <c r="AZ26">
        <f>SUMIF(DataRegularSeason20242025!$D$3:$D$1315,$A26, DataRegularSeason20242025!$K$3:$K$1315)</f>
        <v>7</v>
      </c>
      <c r="BA26">
        <f t="shared" si="3"/>
        <v>-2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0</v>
      </c>
      <c r="BD26">
        <f>SUMIF(DataRegularSeason20242025!$E$3:$E$1315,$A26,DataRegularSeason20242025!$J$3:$J$1315)</f>
        <v>0</v>
      </c>
      <c r="BE26">
        <f t="shared" si="4"/>
        <v>0</v>
      </c>
      <c r="BF26">
        <f t="shared" si="5"/>
        <v>5</v>
      </c>
      <c r="BG26">
        <f t="shared" si="6"/>
        <v>7</v>
      </c>
      <c r="BH26">
        <f t="shared" si="7"/>
        <v>-2</v>
      </c>
      <c r="BI26" s="12">
        <f>Table3[[#This Row],[GF]]/Table3[[#This Row],[GP]]</f>
        <v>1.6666666666666667</v>
      </c>
      <c r="BJ26" s="12">
        <f>Table3[[#This Row],[GA]]/Table3[[#This Row],[GP]]</f>
        <v>2.3333333333333335</v>
      </c>
      <c r="BK26" s="12">
        <f>(Table3[[#This Row],[GF]]-Table3[[#This Row],[GA]])/Table3[[#This Row],[GP]]</f>
        <v>-0.66666666666666663</v>
      </c>
      <c r="BL26" s="42" t="str">
        <f>_xlfn.CONCAT(TEXT(Table3[[#This Row],[W_H]], "0"), "-", TEXT(Table3[[#This Row],[RL_H]],"0"), "-", TEXT(Table3[[#This Row],[OTL_H]]+Table3[[#This Row],[SOL_H]], "0"))</f>
        <v>0-0-0</v>
      </c>
      <c r="BM26" s="42" t="str">
        <f>_xlfn.CONCAT(TEXT(Table3[[#This Row],[W_A]], "0"), "-", TEXT(Table3[[#This Row],[RL_A]],"0"), "-", TEXT(Table3[[#This Row],[OTL_A]]+Table3[[#This Row],[SOL_A]], "0"))</f>
        <v>1-2-0</v>
      </c>
      <c r="BN26" s="42" t="e">
        <f>((2*(Table3[[#This Row],[W_H]]))+Table3[[#This Row],[OTL_H]]+Table3[[#This Row],[SOL_H]])/(2*Table3[[#This Row],[GP_H]])</f>
        <v>#DIV/0!</v>
      </c>
      <c r="BO26" s="42">
        <f>((2*(Table3[[#This Row],[W_A]]))+Table3[[#This Row],[OTL_A]]+Table3[[#This Row],[SOL_A]])/(2*Table3[[#This Row],[GP_A]])</f>
        <v>0.33333333333333331</v>
      </c>
      <c r="BP26" s="16">
        <f>(Table3[[#This Row],[W]]*$CX$3)+(Table3[[#This Row],[L]]*$CX$4)+(Table3[[#This Row],[GF]]*$CX$5)+(Table3[[#This Row],[GA]]*$CX$6)</f>
        <v>2.5500000000000003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52.205555555555563</v>
      </c>
      <c r="BR26" s="16">
        <f>(Table3[[#This Row],[W]]*0.7) + ((Table3[[#This Row],[GF]] - Table3[[#This Row],[GA]])*0.25)+(Table3[[#This Row],[GF]]*0.1)+(Table3[[#This Row],[GA]]*0.05)+(Table3[[#This Row],[L]]*0.3)</f>
        <v>1.65</v>
      </c>
      <c r="BS26" s="16">
        <f>Table3[[#This Row],[TeamCost83]]/Table3[[#This Row],[GP]]</f>
        <v>0.54999999999999993</v>
      </c>
      <c r="BT26">
        <f>COUNTIFS(Table2[AwayTeam],$A26,Table2[PredictedWinner], $A26, Table2[GameIsOver], 1)</f>
        <v>2</v>
      </c>
      <c r="BU26">
        <f>COUNTIFS(Table2[HomeTeam],$A26,Table2[PredictedWinner], $A26, Table2[GameIsOver], 1)</f>
        <v>0</v>
      </c>
      <c r="BV26">
        <f t="shared" si="8"/>
        <v>2</v>
      </c>
      <c r="BW26">
        <f t="shared" si="9"/>
        <v>1</v>
      </c>
      <c r="BX26">
        <f t="shared" si="10"/>
        <v>0</v>
      </c>
      <c r="BY26">
        <f t="shared" si="11"/>
        <v>1</v>
      </c>
      <c r="BZ26">
        <f>Table3[[#This Row],[TimesPredictedWinner]]/Table3[[#This Row],[GP]]</f>
        <v>0.66666666666666663</v>
      </c>
      <c r="CC26" s="1">
        <v>45756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1.6</v>
      </c>
      <c r="CJ26">
        <f>SUMIFS(Table2[GamePredictionScore], Table2[HomeTeam], Table3[[#This Row],[Teams]])</f>
        <v>0</v>
      </c>
      <c r="CK26">
        <f>Table3[[#This Row],[Column4]]+Table3[[#This Row],[Column3]]</f>
        <v>1.6</v>
      </c>
      <c r="CL26">
        <f>Table3[[#This Row],[Column5]]/Table3[[#This Row],[GP]]</f>
        <v>0.53333333333333333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40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2</v>
      </c>
      <c r="E27" s="10">
        <f>Table3[[#This Row],[Watched]]/Table3[[#This Row],[GP]]</f>
        <v>0.66666666666666663</v>
      </c>
      <c r="F27">
        <f>COUNTIFS(DataRegularSeason20242025!$N$3:$N$1315,1,DataRegularSeason20242025!$D$3:$D$1315,$A27)</f>
        <v>1</v>
      </c>
      <c r="G27">
        <f>41-Table3[[#This Row],[GP_A]]</f>
        <v>40</v>
      </c>
      <c r="H27">
        <f>COUNTIFS(DataRegularSeason20242025!$E$3:$E$1315,$A27,DataRegularSeason20242025!$N$3:$N$1315,1)</f>
        <v>2</v>
      </c>
      <c r="I27">
        <f>41-Table3[[#This Row],[GP_H]]</f>
        <v>39</v>
      </c>
      <c r="J27">
        <f t="shared" si="0"/>
        <v>3</v>
      </c>
      <c r="K27">
        <f>82-Table3[[#This Row],[GP]]</f>
        <v>79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2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0.33333333333333331</v>
      </c>
      <c r="AC27">
        <f>Table3[[#This Row],[W_A]]+Table3[[#This Row],[W_H]]</f>
        <v>1</v>
      </c>
      <c r="AD27">
        <f>Table3[[#This Row],[L_A]]+Table3[[#This Row],[L_H]]</f>
        <v>2</v>
      </c>
      <c r="AE27">
        <f>Table3[[#This Row],[RW_A]]+Table3[[#This Row],[RW_H]]</f>
        <v>1</v>
      </c>
      <c r="AF27">
        <f>Table3[[#This Row],[RL_A]]+Table3[[#This Row],[RL_H]]</f>
        <v>2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2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7" s="10">
        <f>Table3[[#This Row],[PTS]]/(2*Table3[[#This Row],[GP]])</f>
        <v>0.33333333333333331</v>
      </c>
      <c r="AR27" s="10">
        <f>Table3[[#This Row],[PTS2]]/(3*Table3[[#This Row],[GP]])</f>
        <v>0.33333333333333331</v>
      </c>
      <c r="AS27">
        <f>(2*Table3[[#This Row],[GR]])+Table3[[#This Row],[PTS]]</f>
        <v>160</v>
      </c>
      <c r="AT27">
        <f>(3*Table3[[#This Row],[GR]])+Table3[[#This Row],[PTS2]]</f>
        <v>240</v>
      </c>
      <c r="AU27">
        <f>Table3[[#This Row],[PTS]]+(2 * Table3[[#This Row],[GR]] * Table3[[#This Row],[PTS%]])</f>
        <v>54.666666666666664</v>
      </c>
      <c r="AV27">
        <f>Table3[[#This Row],[PTS2]]+(3 * Table3[[#This Row],[GR]] * Table3[[#This Row],[PTS%2]])</f>
        <v>82</v>
      </c>
      <c r="AW27" s="15" t="str">
        <f>_xlfn.CONCAT(TEXT(Table3[[#This Row],[W]], "0"), "-", TEXT(Table3[[#This Row],[RL]],"0"), "-", TEXT(Table3[[#This Row],[OTL]]+Table3[[#This Row],[SOL]], "0"))</f>
        <v>1-2-0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4</v>
      </c>
      <c r="AZ27">
        <f>SUMIF(DataRegularSeason20242025!$D$3:$D$1315,$A27, DataRegularSeason20242025!$K$3:$K$1315)</f>
        <v>3</v>
      </c>
      <c r="BA27">
        <f t="shared" si="3"/>
        <v>1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7</v>
      </c>
      <c r="BD27">
        <f>SUMIF(DataRegularSeason20242025!$E$3:$E$1315,$A27,DataRegularSeason20242025!$J$3:$J$1315)</f>
        <v>10</v>
      </c>
      <c r="BE27">
        <f t="shared" si="4"/>
        <v>-3</v>
      </c>
      <c r="BF27">
        <f t="shared" si="5"/>
        <v>11</v>
      </c>
      <c r="BG27">
        <f t="shared" si="6"/>
        <v>13</v>
      </c>
      <c r="BH27">
        <f t="shared" si="7"/>
        <v>-2</v>
      </c>
      <c r="BI27" s="12">
        <f>Table3[[#This Row],[GF]]/Table3[[#This Row],[GP]]</f>
        <v>3.6666666666666665</v>
      </c>
      <c r="BJ27" s="12">
        <f>Table3[[#This Row],[GA]]/Table3[[#This Row],[GP]]</f>
        <v>4.333333333333333</v>
      </c>
      <c r="BK27" s="12">
        <f>(Table3[[#This Row],[GF]]-Table3[[#This Row],[GA]])/Table3[[#This Row],[GP]]</f>
        <v>-0.66666666666666663</v>
      </c>
      <c r="BL27" s="42" t="str">
        <f>_xlfn.CONCAT(TEXT(Table3[[#This Row],[W_H]], "0"), "-", TEXT(Table3[[#This Row],[RL_H]],"0"), "-", TEXT(Table3[[#This Row],[OTL_H]]+Table3[[#This Row],[SOL_H]], "0"))</f>
        <v>0-2-0</v>
      </c>
      <c r="BM27" s="42" t="str">
        <f>_xlfn.CONCAT(TEXT(Table3[[#This Row],[W_A]], "0"), "-", TEXT(Table3[[#This Row],[RL_A]],"0"), "-", TEXT(Table3[[#This Row],[OTL_A]]+Table3[[#This Row],[SOL_A]], "0"))</f>
        <v>1-0-0</v>
      </c>
      <c r="BN27" s="42">
        <f>((2*(Table3[[#This Row],[W_H]]))+Table3[[#This Row],[OTL_H]]+Table3[[#This Row],[SOL_H]])/(2*Table3[[#This Row],[GP_H]])</f>
        <v>0</v>
      </c>
      <c r="BO27" s="42">
        <f>((2*(Table3[[#This Row],[W_A]]))+Table3[[#This Row],[OTL_A]]+Table3[[#This Row],[SOL_A]])/(2*Table3[[#This Row],[GP_A]])</f>
        <v>1</v>
      </c>
      <c r="BP27" s="16">
        <f>(Table3[[#This Row],[W]]*$CX$3)+(Table3[[#This Row],[L]]*$CX$4)+(Table3[[#This Row],[GF]]*$CX$5)+(Table3[[#This Row],[GA]]*$CX$6)</f>
        <v>4.05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94.705555555555534</v>
      </c>
      <c r="BR27" s="16">
        <f>(Table3[[#This Row],[W]]*0.7) + ((Table3[[#This Row],[GF]] - Table3[[#This Row],[GA]])*0.25)+(Table3[[#This Row],[GF]]*0.1)+(Table3[[#This Row],[GA]]*0.05)+(Table3[[#This Row],[L]]*0.3)</f>
        <v>2.5500000000000003</v>
      </c>
      <c r="BS27" s="16">
        <f>Table3[[#This Row],[TeamCost83]]/Table3[[#This Row],[GP]]</f>
        <v>0.85000000000000009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2</v>
      </c>
      <c r="BV27">
        <f t="shared" si="8"/>
        <v>3</v>
      </c>
      <c r="BW27">
        <f t="shared" si="9"/>
        <v>0</v>
      </c>
      <c r="BX27">
        <f t="shared" si="10"/>
        <v>0</v>
      </c>
      <c r="BY27">
        <f t="shared" si="11"/>
        <v>0</v>
      </c>
      <c r="BZ27">
        <f>Table3[[#This Row],[TimesPredictedWinner]]/Table3[[#This Row],[GP]]</f>
        <v>1</v>
      </c>
      <c r="CB27">
        <v>2021</v>
      </c>
      <c r="CD27" s="1">
        <v>45751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0.8</v>
      </c>
      <c r="CJ27">
        <f>SUMIFS(Table2[GamePredictionScore], Table2[HomeTeam], Table3[[#This Row],[Teams]])</f>
        <v>0.1</v>
      </c>
      <c r="CK27">
        <f>Table3[[#This Row],[Column4]]+Table3[[#This Row],[Column3]]</f>
        <v>0.9</v>
      </c>
      <c r="CL27">
        <f>Table3[[#This Row],[Column5]]/Table3[[#This Row],[GP]]</f>
        <v>0.3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23</v>
      </c>
      <c r="B28" t="s">
        <v>90</v>
      </c>
      <c r="C28" t="s">
        <v>93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3</v>
      </c>
      <c r="E28" s="10">
        <f>Table3[[#This Row],[Watched]]/Table3[[#This Row],[GP]]</f>
        <v>1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 t="shared" si="0"/>
        <v>3</v>
      </c>
      <c r="K28">
        <f>82-Table3[[#This Row],[GP]]</f>
        <v>79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1</v>
      </c>
      <c r="P28">
        <f t="shared" si="1"/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1</v>
      </c>
      <c r="Y28">
        <f>COUNTIFS(DataRegularSeason20242025!$E$3:$E$1315,$A28, DataRegularSeason20242025!$S$3:$S$1315, $A28,DataRegularSeason20242025!$M$3:$M$1315,"REG")</f>
        <v>1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1</v>
      </c>
      <c r="AD28">
        <f>Table3[[#This Row],[L_A]]+Table3[[#This Row],[L_H]]</f>
        <v>2</v>
      </c>
      <c r="AE28">
        <f>Table3[[#This Row],[RW_A]]+Table3[[#This Row],[RW_H]]</f>
        <v>0</v>
      </c>
      <c r="AF28">
        <f>Table3[[#This Row],[RL_A]]+Table3[[#This Row],[RL_H]]</f>
        <v>2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1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0.33333333333333331</v>
      </c>
      <c r="AO28">
        <f>(2*(Table3[[#This Row],[W_A]]+Table3[[#This Row],[W_H]]))+Table3[[#This Row],[OTL_A]]+Table3[[#This Row],[SOL_A]]+Table3[[#This Row],[OTL_H]]+Table3[[#This Row],[SOL_H]]</f>
        <v>2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8" s="10">
        <f>Table3[[#This Row],[PTS]]/(2*Table3[[#This Row],[GP]])</f>
        <v>0.33333333333333331</v>
      </c>
      <c r="AR28" s="10">
        <f>Table3[[#This Row],[PTS2]]/(3*Table3[[#This Row],[GP]])</f>
        <v>0.22222222222222221</v>
      </c>
      <c r="AS28">
        <f>(2*Table3[[#This Row],[GR]])+Table3[[#This Row],[PTS]]</f>
        <v>160</v>
      </c>
      <c r="AT28">
        <f>(3*Table3[[#This Row],[GR]])+Table3[[#This Row],[PTS2]]</f>
        <v>239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54.666666666666664</v>
      </c>
      <c r="AW28" s="15" t="str">
        <f>_xlfn.CONCAT(TEXT(Table3[[#This Row],[W]], "0"), "-", TEXT(Table3[[#This Row],[RL]],"0"), "-", TEXT(Table3[[#This Row],[OTL]]+Table3[[#This Row],[SOL]], "0"))</f>
        <v>1-2-0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5</v>
      </c>
      <c r="AZ28">
        <f>SUMIF(DataRegularSeason20242025!$D$3:$D$1315,$A28, DataRegularSeason20242025!$K$3:$K$1315)</f>
        <v>8</v>
      </c>
      <c r="BA28">
        <f t="shared" si="3"/>
        <v>-3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</v>
      </c>
      <c r="BD28">
        <f>SUMIF(DataRegularSeason20242025!$E$3:$E$1315,$A28,DataRegularSeason20242025!$J$3:$J$1315)</f>
        <v>4</v>
      </c>
      <c r="BE28">
        <f t="shared" si="4"/>
        <v>-2</v>
      </c>
      <c r="BF28">
        <f t="shared" si="5"/>
        <v>7</v>
      </c>
      <c r="BG28">
        <f t="shared" si="6"/>
        <v>12</v>
      </c>
      <c r="BH28">
        <f t="shared" si="7"/>
        <v>-5</v>
      </c>
      <c r="BI28" s="12">
        <f>Table3[[#This Row],[GF]]/Table3[[#This Row],[GP]]</f>
        <v>2.3333333333333335</v>
      </c>
      <c r="BJ28" s="12">
        <f>Table3[[#This Row],[GA]]/Table3[[#This Row],[GP]]</f>
        <v>4</v>
      </c>
      <c r="BK28" s="12">
        <f>(Table3[[#This Row],[GF]]-Table3[[#This Row],[GA]])/Table3[[#This Row],[GP]]</f>
        <v>-1.6666666666666667</v>
      </c>
      <c r="BL28" s="42" t="str">
        <f>_xlfn.CONCAT(TEXT(Table3[[#This Row],[W_H]], "0"), "-", TEXT(Table3[[#This Row],[RL_H]],"0"), "-", TEXT(Table3[[#This Row],[OTL_H]]+Table3[[#This Row],[SOL_H]], "0"))</f>
        <v>0-1-0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3.3500000000000005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74.87222222222222</v>
      </c>
      <c r="BR28" s="16">
        <f>(Table3[[#This Row],[W]]*0.7) + ((Table3[[#This Row],[GF]] - Table3[[#This Row],[GA]])*0.25)+(Table3[[#This Row],[GF]]*0.1)+(Table3[[#This Row],[GA]]*0.05)+(Table3[[#This Row],[L]]*0.3)</f>
        <v>1.35</v>
      </c>
      <c r="BS28" s="16">
        <f>Table3[[#This Row],[TeamCost83]]/Table3[[#This Row],[GP]]</f>
        <v>0.45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 t="shared" si="8"/>
        <v>1</v>
      </c>
      <c r="BW28">
        <f t="shared" si="9"/>
        <v>2</v>
      </c>
      <c r="BX28">
        <f t="shared" si="10"/>
        <v>0</v>
      </c>
      <c r="BY28">
        <f t="shared" si="11"/>
        <v>2</v>
      </c>
      <c r="BZ28">
        <f>Table3[[#This Row],[TimesPredictedWinner]]/Table3[[#This Row],[GP]]</f>
        <v>0.33333333333333331</v>
      </c>
      <c r="CB28">
        <v>1989</v>
      </c>
      <c r="CC28" s="1">
        <v>45762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0.9</v>
      </c>
      <c r="CJ28">
        <f>SUMIFS(Table2[GamePredictionScore], Table2[HomeTeam], Table3[[#This Row],[Teams]])</f>
        <v>0</v>
      </c>
      <c r="CK28">
        <f>Table3[[#This Row],[Column4]]+Table3[[#This Row],[Column3]]</f>
        <v>0.9</v>
      </c>
      <c r="CL28">
        <f>Table3[[#This Row],[Column5]]/Table3[[#This Row],[GP]]</f>
        <v>0.3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29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2</v>
      </c>
      <c r="E29" s="10">
        <f>Table3[[#This Row],[Watched]]/Table3[[#This Row],[GP]]</f>
        <v>0.66666666666666663</v>
      </c>
      <c r="F29">
        <f>COUNTIFS(DataRegularSeason20242025!$N$3:$N$1315,1,DataRegularSeason20242025!$D$3:$D$1315,$A29)</f>
        <v>2</v>
      </c>
      <c r="G29">
        <f>41-Table3[[#This Row],[GP_A]]</f>
        <v>39</v>
      </c>
      <c r="H29">
        <f>COUNTIFS(DataRegularSeason20242025!$E$3:$E$1315,$A29,DataRegularSeason20242025!$N$3:$N$1315,1)</f>
        <v>1</v>
      </c>
      <c r="I29">
        <f>41-Table3[[#This Row],[GP_H]]</f>
        <v>40</v>
      </c>
      <c r="J29">
        <f t="shared" si="0"/>
        <v>3</v>
      </c>
      <c r="K29">
        <f>82-Table3[[#This Row],[GP]]</f>
        <v>79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0.33333333333333331</v>
      </c>
      <c r="AC29">
        <f>Table3[[#This Row],[W_A]]+Table3[[#This Row],[W_H]]</f>
        <v>1</v>
      </c>
      <c r="AD29">
        <f>Table3[[#This Row],[L_A]]+Table3[[#This Row],[L_H]]</f>
        <v>2</v>
      </c>
      <c r="AE29">
        <f>Table3[[#This Row],[RW_A]]+Table3[[#This Row],[RW_H]]</f>
        <v>1</v>
      </c>
      <c r="AF29">
        <f>Table3[[#This Row],[RL_A]]+Table3[[#This Row],[RL_H]]</f>
        <v>2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2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9" s="10">
        <f>Table3[[#This Row],[PTS]]/(2*Table3[[#This Row],[GP]])</f>
        <v>0.33333333333333331</v>
      </c>
      <c r="AR29" s="10">
        <f>Table3[[#This Row],[PTS2]]/(3*Table3[[#This Row],[GP]])</f>
        <v>0.33333333333333331</v>
      </c>
      <c r="AS29">
        <f>(2*Table3[[#This Row],[GR]])+Table3[[#This Row],[PTS]]</f>
        <v>160</v>
      </c>
      <c r="AT29">
        <f>(3*Table3[[#This Row],[GR]])+Table3[[#This Row],[PTS2]]</f>
        <v>240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1-2-0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7</v>
      </c>
      <c r="AZ29">
        <f>SUMIF(DataRegularSeason20242025!$D$3:$D$1315,$A29, DataRegularSeason20242025!$K$3:$K$1315)</f>
        <v>10</v>
      </c>
      <c r="BA29">
        <f t="shared" si="3"/>
        <v>-3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</v>
      </c>
      <c r="BD29">
        <f>SUMIF(DataRegularSeason20242025!$E$3:$E$1315,$A29,DataRegularSeason20242025!$J$3:$J$1315)</f>
        <v>4</v>
      </c>
      <c r="BE29">
        <f t="shared" si="4"/>
        <v>-3</v>
      </c>
      <c r="BF29">
        <f t="shared" si="5"/>
        <v>8</v>
      </c>
      <c r="BG29">
        <f t="shared" si="6"/>
        <v>14</v>
      </c>
      <c r="BH29">
        <f t="shared" si="7"/>
        <v>-6</v>
      </c>
      <c r="BI29" s="12">
        <f>Table3[[#This Row],[GF]]/Table3[[#This Row],[GP]]</f>
        <v>2.6666666666666665</v>
      </c>
      <c r="BJ29" s="12">
        <f>Table3[[#This Row],[GA]]/Table3[[#This Row],[GP]]</f>
        <v>4.666666666666667</v>
      </c>
      <c r="BK29" s="12">
        <f>(Table3[[#This Row],[GF]]-Table3[[#This Row],[GA]])/Table3[[#This Row],[GP]]</f>
        <v>-2</v>
      </c>
      <c r="BL29" s="42" t="str">
        <f>_xlfn.CONCAT(TEXT(Table3[[#This Row],[W_H]], "0"), "-", TEXT(Table3[[#This Row],[RL_H]],"0"), "-", TEXT(Table3[[#This Row],[OTL_H]]+Table3[[#This Row],[SOL_H]], "0"))</f>
        <v>0-1-0</v>
      </c>
      <c r="BM29" s="42" t="str">
        <f>_xlfn.CONCAT(TEXT(Table3[[#This Row],[W_A]], "0"), "-", TEXT(Table3[[#This Row],[RL_A]],"0"), "-", TEXT(Table3[[#This Row],[OTL_A]]+Table3[[#This Row],[SOL_A]], "0"))</f>
        <v>1-1-0</v>
      </c>
      <c r="BN29" s="42">
        <f>((2*(Table3[[#This Row],[W_H]]))+Table3[[#This Row],[OTL_H]]+Table3[[#This Row],[SOL_H]])/(2*Table3[[#This Row],[GP_H]])</f>
        <v>0</v>
      </c>
      <c r="BO29" s="42">
        <f>((2*(Table3[[#This Row],[W_A]]))+Table3[[#This Row],[OTL_A]]+Table3[[#This Row],[SOL_A]])/(2*Table3[[#This Row],[GP_A]])</f>
        <v>0.5</v>
      </c>
      <c r="BP29" s="16">
        <f>(Table3[[#This Row],[W]]*$CX$3)+(Table3[[#This Row],[L]]*$CX$4)+(Table3[[#This Row],[GF]]*$CX$5)+(Table3[[#This Row],[GA]]*$CX$6)</f>
        <v>3.7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84.788888888888891</v>
      </c>
      <c r="BR29" s="16">
        <f>(Table3[[#This Row],[W]]*0.7) + ((Table3[[#This Row],[GF]] - Table3[[#This Row],[GA]])*0.25)+(Table3[[#This Row],[GF]]*0.1)+(Table3[[#This Row],[GA]]*0.05)+(Table3[[#This Row],[L]]*0.3)</f>
        <v>1.3</v>
      </c>
      <c r="BS29" s="16">
        <f>Table3[[#This Row],[TeamCost83]]/Table3[[#This Row],[GP]]</f>
        <v>0.43333333333333335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1</v>
      </c>
      <c r="BV29">
        <f t="shared" si="8"/>
        <v>2</v>
      </c>
      <c r="BW29">
        <f t="shared" si="9"/>
        <v>1</v>
      </c>
      <c r="BX29">
        <f t="shared" si="10"/>
        <v>0</v>
      </c>
      <c r="BY29">
        <f t="shared" si="11"/>
        <v>1</v>
      </c>
      <c r="BZ29">
        <f>Table3[[#This Row],[TimesPredictedWinner]]/Table3[[#This Row],[GP]]</f>
        <v>0.66666666666666663</v>
      </c>
      <c r="CD29" s="1">
        <v>45755</v>
      </c>
      <c r="CE29" t="str">
        <f>INDEX(Table2[AwayTeam], Table3[[#This Row],[Column2]])</f>
        <v>CHI</v>
      </c>
      <c r="CF29">
        <f>LARGE((Table2[[#This Row],[AwayTeam]]=Table3[[#This Row],[Teams]]), 1)</f>
        <v>1</v>
      </c>
      <c r="CI29">
        <f>SUMIFS(Table2[GamePredictionScore], Table2[AwayTeam], Table3[[#This Row],[Teams]])</f>
        <v>0</v>
      </c>
      <c r="CJ29">
        <f>SUMIFS(Table2[GamePredictionScore], Table2[HomeTeam], Table3[[#This Row],[Teams]])</f>
        <v>0</v>
      </c>
      <c r="CK29">
        <f>Table3[[#This Row],[Column4]]+Table3[[#This Row],[Column3]]</f>
        <v>0</v>
      </c>
      <c r="CL29">
        <f>Table3[[#This Row],[Column5]]/Table3[[#This Row],[GP]]</f>
        <v>0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16</v>
      </c>
      <c r="B30" t="s">
        <v>90</v>
      </c>
      <c r="C30" t="s">
        <v>88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4</v>
      </c>
      <c r="E30" s="10">
        <f>Table3[[#This Row],[Watched]]/Table3[[#This Row],[GP]]</f>
        <v>1</v>
      </c>
      <c r="F30">
        <f>COUNTIFS(DataRegularSeason20242025!$N$3:$N$1315,1,DataRegularSeason20242025!$D$3:$D$1315,$A30)</f>
        <v>2</v>
      </c>
      <c r="G30">
        <f>41-Table3[[#This Row],[GP_A]]</f>
        <v>39</v>
      </c>
      <c r="H30">
        <f>COUNTIFS(DataRegularSeason20242025!$E$3:$E$1315,$A30,DataRegularSeason20242025!$N$3:$N$1315,1)</f>
        <v>2</v>
      </c>
      <c r="I30">
        <f>41-Table3[[#This Row],[GP_H]]</f>
        <v>39</v>
      </c>
      <c r="J30">
        <f t="shared" si="0"/>
        <v>4</v>
      </c>
      <c r="K30">
        <f>82-Table3[[#This Row],[GP]]</f>
        <v>78</v>
      </c>
      <c r="L30">
        <f>COUNTIFS(DataRegularSeason20242025!$D$3:$D$1315,$A30, DataRegularSeason20242025!$L$3:$L$1315, $A30,DataRegularSeason20242025!$N$3:$N$1315,1)</f>
        <v>0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1</v>
      </c>
      <c r="R30">
        <f>COUNTIFS(DataRegularSeason20242025!$D$3:$D$1315,$A30, DataRegularSeason20242025!$S$3:$S$1315, $A30,DataRegularSeason20242025!$M$3:$M$1315,"OT")</f>
        <v>1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1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1</v>
      </c>
      <c r="Y30">
        <f>COUNTIFS(DataRegularSeason20242025!$E$3:$E$1315,$A30, DataRegularSeason20242025!$S$3:$S$1315, $A30,DataRegularSeason20242025!$M$3:$M$1315,"REG")</f>
        <v>1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0.25</v>
      </c>
      <c r="AC30">
        <f>Table3[[#This Row],[W_A]]+Table3[[#This Row],[W_H]]</f>
        <v>1</v>
      </c>
      <c r="AD30">
        <f>Table3[[#This Row],[L_A]]+Table3[[#This Row],[L_H]]</f>
        <v>3</v>
      </c>
      <c r="AE30">
        <f>Table3[[#This Row],[RW_A]]+Table3[[#This Row],[RW_H]]</f>
        <v>1</v>
      </c>
      <c r="AF30">
        <f>Table3[[#This Row],[RL_A]]+Table3[[#This Row],[RL_H]]</f>
        <v>2</v>
      </c>
      <c r="AG30">
        <f>Table3[[#This Row],[OTW_A]]+Table3[[#This Row],[OTW_H]]</f>
        <v>0</v>
      </c>
      <c r="AH30">
        <f>Table3[[#This Row],[OTL_A]]+Table3[[#This Row],[OTL_H]]</f>
        <v>1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0-1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0.25</v>
      </c>
      <c r="AO30">
        <f>(2*(Table3[[#This Row],[W_A]]+Table3[[#This Row],[W_H]]))+Table3[[#This Row],[OTL_A]]+Table3[[#This Row],[SOL_A]]+Table3[[#This Row],[OTL_H]]+Table3[[#This Row],[SOL_H]]</f>
        <v>3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30" s="10">
        <f>Table3[[#This Row],[PTS]]/(2*Table3[[#This Row],[GP]])</f>
        <v>0.375</v>
      </c>
      <c r="AR30" s="10">
        <f>Table3[[#This Row],[PTS2]]/(3*Table3[[#This Row],[GP]])</f>
        <v>0.33333333333333331</v>
      </c>
      <c r="AS30">
        <f>(2*Table3[[#This Row],[GR]])+Table3[[#This Row],[PTS]]</f>
        <v>159</v>
      </c>
      <c r="AT30">
        <f>(3*Table3[[#This Row],[GR]])+Table3[[#This Row],[PTS2]]</f>
        <v>238</v>
      </c>
      <c r="AU30">
        <f>Table3[[#This Row],[PTS]]+(2 * Table3[[#This Row],[GR]] * Table3[[#This Row],[PTS%]])</f>
        <v>61.5</v>
      </c>
      <c r="AV30">
        <f>Table3[[#This Row],[PTS2]]+(3 * Table3[[#This Row],[GR]] * Table3[[#This Row],[PTS%2]])</f>
        <v>82</v>
      </c>
      <c r="AW30" s="15" t="str">
        <f>_xlfn.CONCAT(TEXT(Table3[[#This Row],[W]], "0"), "-", TEXT(Table3[[#This Row],[RL]],"0"), "-", TEXT(Table3[[#This Row],[OTL]]+Table3[[#This Row],[SOL]], "0"))</f>
        <v>1-2-1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5</v>
      </c>
      <c r="AZ30">
        <f>SUMIF(DataRegularSeason20242025!$D$3:$D$1315,$A30, DataRegularSeason20242025!$K$3:$K$1315)</f>
        <v>7</v>
      </c>
      <c r="BA30">
        <f t="shared" si="3"/>
        <v>-2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5</v>
      </c>
      <c r="BD30">
        <f>SUMIF(DataRegularSeason20242025!$E$3:$E$1315,$A30,DataRegularSeason20242025!$J$3:$J$1315)</f>
        <v>4</v>
      </c>
      <c r="BE30">
        <f t="shared" si="4"/>
        <v>1</v>
      </c>
      <c r="BF30">
        <f t="shared" si="5"/>
        <v>10</v>
      </c>
      <c r="BG30">
        <f t="shared" si="6"/>
        <v>11</v>
      </c>
      <c r="BH30">
        <f t="shared" si="7"/>
        <v>-1</v>
      </c>
      <c r="BI30" s="12">
        <f>Table3[[#This Row],[GF]]/Table3[[#This Row],[GP]]</f>
        <v>2.5</v>
      </c>
      <c r="BJ30" s="12">
        <f>Table3[[#This Row],[GA]]/Table3[[#This Row],[GP]]</f>
        <v>2.75</v>
      </c>
      <c r="BK30" s="12">
        <f>(Table3[[#This Row],[GF]]-Table3[[#This Row],[GA]])/Table3[[#This Row],[GP]]</f>
        <v>-0.25</v>
      </c>
      <c r="BL30" s="42" t="str">
        <f>_xlfn.CONCAT(TEXT(Table3[[#This Row],[W_H]], "0"), "-", TEXT(Table3[[#This Row],[RL_H]],"0"), "-", TEXT(Table3[[#This Row],[OTL_H]]+Table3[[#This Row],[SOL_H]], "0"))</f>
        <v>1-1-0</v>
      </c>
      <c r="BM30" s="42" t="str">
        <f>_xlfn.CONCAT(TEXT(Table3[[#This Row],[W_A]], "0"), "-", TEXT(Table3[[#This Row],[RL_A]],"0"), "-", TEXT(Table3[[#This Row],[OTL_A]]+Table3[[#This Row],[SOL_A]], "0"))</f>
        <v>0-1-1</v>
      </c>
      <c r="BN30" s="42">
        <f>((2*(Table3[[#This Row],[W_H]]))+Table3[[#This Row],[OTL_H]]+Table3[[#This Row],[SOL_H]])/(2*Table3[[#This Row],[GP_H]])</f>
        <v>0.5</v>
      </c>
      <c r="BO30" s="42">
        <f>((2*(Table3[[#This Row],[W_A]]))+Table3[[#This Row],[OTL_A]]+Table3[[#This Row],[SOL_A]])/(2*Table3[[#This Row],[GP_A]])</f>
        <v>0.25</v>
      </c>
      <c r="BP30" s="16">
        <f>(Table3[[#This Row],[W]]*$CX$3)+(Table3[[#This Row],[L]]*$CX$4)+(Table3[[#This Row],[GF]]*$CX$5)+(Table3[[#This Row],[GA]]*$CX$6)</f>
        <v>4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64.987499999999997</v>
      </c>
      <c r="BR30" s="16">
        <f>(Table3[[#This Row],[W]]*0.7) + ((Table3[[#This Row],[GF]] - Table3[[#This Row],[GA]])*0.25)+(Table3[[#This Row],[GF]]*0.1)+(Table3[[#This Row],[GA]]*0.05)+(Table3[[#This Row],[L]]*0.3)</f>
        <v>2.9</v>
      </c>
      <c r="BS30" s="16">
        <f>Table3[[#This Row],[TeamCost83]]/Table3[[#This Row],[GP]]</f>
        <v>0.72499999999999998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0</v>
      </c>
      <c r="BV30">
        <f t="shared" si="8"/>
        <v>0</v>
      </c>
      <c r="BW30">
        <f t="shared" si="9"/>
        <v>2</v>
      </c>
      <c r="BX30">
        <f t="shared" si="10"/>
        <v>2</v>
      </c>
      <c r="BY30">
        <f t="shared" si="11"/>
        <v>4</v>
      </c>
      <c r="BZ30">
        <f>Table3[[#This Row],[TimesPredictedWinner]]/Table3[[#This Row],[GP]]</f>
        <v>0</v>
      </c>
      <c r="CB30">
        <v>2015</v>
      </c>
      <c r="CC30" s="1">
        <v>45736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1.8</v>
      </c>
      <c r="CJ30">
        <f>SUMIFS(Table2[GamePredictionScore], Table2[HomeTeam], Table3[[#This Row],[Teams]])</f>
        <v>0.8</v>
      </c>
      <c r="CK30">
        <f>Table3[[#This Row],[Column4]]+Table3[[#This Row],[Column3]]</f>
        <v>2.6</v>
      </c>
      <c r="CL30">
        <f>Table3[[#This Row],[Column5]]/Table3[[#This Row],[GP]]</f>
        <v>0.65</v>
      </c>
      <c r="CU30" s="57"/>
      <c r="CV30" s="178" t="s">
        <v>543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27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2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3</v>
      </c>
      <c r="G31">
        <f>41-Table3[[#This Row],[GP_A]]</f>
        <v>38</v>
      </c>
      <c r="H31">
        <f>COUNTIFS(DataRegularSeason20242025!$E$3:$E$1315,$A31,DataRegularSeason20242025!$N$3:$N$1315,1)</f>
        <v>1</v>
      </c>
      <c r="I31">
        <f>41-Table3[[#This Row],[GP_H]]</f>
        <v>40</v>
      </c>
      <c r="J31">
        <f t="shared" si="0"/>
        <v>4</v>
      </c>
      <c r="K31">
        <f>82-Table3[[#This Row],[GP]]</f>
        <v>78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 t="shared" si="1"/>
        <v>2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1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1</v>
      </c>
      <c r="Y31">
        <f>COUNTIFS(DataRegularSeason20242025!$E$3:$E$1315,$A31, DataRegularSeason20242025!$S$3:$S$1315, $A31,DataRegularSeason20242025!$M$3:$M$1315,"REG")</f>
        <v>1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0.25</v>
      </c>
      <c r="AC31">
        <f>Table3[[#This Row],[W_A]]+Table3[[#This Row],[W_H]]</f>
        <v>1</v>
      </c>
      <c r="AD31">
        <f>Table3[[#This Row],[L_A]]+Table3[[#This Row],[L_H]]</f>
        <v>3</v>
      </c>
      <c r="AE31">
        <f>Table3[[#This Row],[RW_A]]+Table3[[#This Row],[RW_H]]</f>
        <v>0</v>
      </c>
      <c r="AF31">
        <f>Table3[[#This Row],[RL_A]]+Table3[[#This Row],[RL_H]]</f>
        <v>2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1</v>
      </c>
      <c r="AJ31">
        <f>Table3[[#This Row],[SOL_A]]+Table3[[#This Row],[SOL_H]]</f>
        <v>1</v>
      </c>
      <c r="AK31" s="15" t="str">
        <f>_xlfn.CONCAT(TEXT(Table3[[#This Row],[OTW]]+Table3[[#This Row],[SOW]], "0"), "-", TEXT(Table3[[#This Row],[OTL]]+Table3[[#This Row],[SOL]],"0"))</f>
        <v>1-1</v>
      </c>
      <c r="AL31">
        <f>SUM(Table3[[#This Row],[OTW]],Table3[[#This Row],[OTL]],Table3[[#This Row],[SOW]],Table3[[#This Row],[SOL]])</f>
        <v>2</v>
      </c>
      <c r="AM31">
        <f>(Table3[[#This Row],[OTW]]+Table3[[#This Row],[SOW]])/IF(Table3[[#This Row],[Total_ExtraTimes]]=0,1,Table3[[#This Row],[Total_ExtraTimes]])</f>
        <v>0.5</v>
      </c>
      <c r="AN31">
        <f>Table3[[#This Row],[Total_ExtraTimes]]/MAX(1,Table3[[#This Row],[GP]])</f>
        <v>0.5</v>
      </c>
      <c r="AO31">
        <f>(2*(Table3[[#This Row],[W_A]]+Table3[[#This Row],[W_H]]))+Table3[[#This Row],[OTL_A]]+Table3[[#This Row],[SOL_A]]+Table3[[#This Row],[OTL_H]]+Table3[[#This Row],[SOL_H]]</f>
        <v>3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1" s="10">
        <f>Table3[[#This Row],[PTS]]/(2*Table3[[#This Row],[GP]])</f>
        <v>0.375</v>
      </c>
      <c r="AR31" s="10">
        <f>Table3[[#This Row],[PTS2]]/(3*Table3[[#This Row],[GP]])</f>
        <v>0.25</v>
      </c>
      <c r="AS31">
        <f>(2*Table3[[#This Row],[GR]])+Table3[[#This Row],[PTS]]</f>
        <v>159</v>
      </c>
      <c r="AT31">
        <f>(3*Table3[[#This Row],[GR]])+Table3[[#This Row],[PTS2]]</f>
        <v>237</v>
      </c>
      <c r="AU31">
        <f>Table3[[#This Row],[PTS]]+(2 * Table3[[#This Row],[GR]] * Table3[[#This Row],[PTS%]])</f>
        <v>61.5</v>
      </c>
      <c r="AV31">
        <f>Table3[[#This Row],[PTS2]]+(3 * Table3[[#This Row],[GR]] * Table3[[#This Row],[PTS%2]])</f>
        <v>61.5</v>
      </c>
      <c r="AW31" s="15" t="str">
        <f>_xlfn.CONCAT(TEXT(Table3[[#This Row],[W]], "0"), "-", TEXT(Table3[[#This Row],[RL]],"0"), "-", TEXT(Table3[[#This Row],[OTL]]+Table3[[#This Row],[SOL]], "0"))</f>
        <v>1-2-1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11</v>
      </c>
      <c r="AZ31">
        <f>SUMIF(DataRegularSeason20242025!$D$3:$D$1315,$A31, DataRegularSeason20242025!$K$3:$K$1315)</f>
        <v>12</v>
      </c>
      <c r="BA31">
        <f t="shared" si="3"/>
        <v>-1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</v>
      </c>
      <c r="BD31">
        <f>SUMIF(DataRegularSeason20242025!$E$3:$E$1315,$A31,DataRegularSeason20242025!$J$3:$J$1315)</f>
        <v>4</v>
      </c>
      <c r="BE31">
        <f t="shared" si="4"/>
        <v>-3</v>
      </c>
      <c r="BF31">
        <f t="shared" si="5"/>
        <v>12</v>
      </c>
      <c r="BG31">
        <f t="shared" si="6"/>
        <v>16</v>
      </c>
      <c r="BH31">
        <f t="shared" si="7"/>
        <v>-4</v>
      </c>
      <c r="BI31" s="12">
        <f>Table3[[#This Row],[GF]]/Table3[[#This Row],[GP]]</f>
        <v>3</v>
      </c>
      <c r="BJ31" s="12">
        <f>Table3[[#This Row],[GA]]/Table3[[#This Row],[GP]]</f>
        <v>4</v>
      </c>
      <c r="BK31" s="12">
        <f>(Table3[[#This Row],[GF]]-Table3[[#This Row],[GA]])/Table3[[#This Row],[GP]]</f>
        <v>-1</v>
      </c>
      <c r="BL31" s="42" t="str">
        <f>_xlfn.CONCAT(TEXT(Table3[[#This Row],[W_H]], "0"), "-", TEXT(Table3[[#This Row],[RL_H]],"0"), "-", TEXT(Table3[[#This Row],[OTL_H]]+Table3[[#This Row],[SOL_H]], "0"))</f>
        <v>0-1-0</v>
      </c>
      <c r="BM31" s="42" t="str">
        <f>_xlfn.CONCAT(TEXT(Table3[[#This Row],[W_A]], "0"), "-", TEXT(Table3[[#This Row],[RL_A]],"0"), "-", TEXT(Table3[[#This Row],[OTL_A]]+Table3[[#This Row],[SOL_A]], "0"))</f>
        <v>1-1-1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4.8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82.1875</v>
      </c>
      <c r="BR31" s="16">
        <f>(Table3[[#This Row],[W]]*0.7) + ((Table3[[#This Row],[GF]] - Table3[[#This Row],[GA]])*0.25)+(Table3[[#This Row],[GF]]*0.1)+(Table3[[#This Row],[GA]]*0.05)+(Table3[[#This Row],[L]]*0.3)</f>
        <v>2.6</v>
      </c>
      <c r="BS31" s="16">
        <f>Table3[[#This Row],[TeamCost83]]/Table3[[#This Row],[GP]]</f>
        <v>0.65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0</v>
      </c>
      <c r="BV31">
        <f t="shared" si="8"/>
        <v>0</v>
      </c>
      <c r="BW31">
        <f t="shared" si="9"/>
        <v>3</v>
      </c>
      <c r="BX31">
        <f t="shared" si="10"/>
        <v>1</v>
      </c>
      <c r="BY31">
        <f t="shared" si="11"/>
        <v>4</v>
      </c>
      <c r="BZ31">
        <f>Table3[[#This Row],[TimesPredictedWinner]]/Table3[[#This Row],[GP]]</f>
        <v>0</v>
      </c>
      <c r="CB31">
        <v>2014</v>
      </c>
      <c r="CD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0.8</v>
      </c>
      <c r="CK31">
        <f>Table3[[#This Row],[Column4]]+Table3[[#This Row],[Column3]]</f>
        <v>2.5</v>
      </c>
      <c r="CL31">
        <f>Table3[[#This Row],[Column5]]/Table3[[#This Row],[GP]]</f>
        <v>0.625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32</v>
      </c>
      <c r="B32" t="s">
        <v>91</v>
      </c>
      <c r="C32" t="s">
        <v>92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0</v>
      </c>
      <c r="E32" s="10">
        <f>Table3[[#This Row],[Watched]]/Table3[[#This Row],[GP]]</f>
        <v>0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2</v>
      </c>
      <c r="I32">
        <f>41-Table3[[#This Row],[GP_H]]</f>
        <v>39</v>
      </c>
      <c r="J32">
        <f t="shared" si="0"/>
        <v>3</v>
      </c>
      <c r="K32">
        <f>82-Table3[[#This Row],[GP]]</f>
        <v>79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2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3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>
        <f>Table3[[#This Row],[PTS]]/(2*Table3[[#This Row],[GP]])</f>
        <v>0</v>
      </c>
      <c r="AR32" s="10">
        <f>Table3[[#This Row],[PTS2]]/(3*Table3[[#This Row],[GP]])</f>
        <v>0</v>
      </c>
      <c r="AS32">
        <f>(2*Table3[[#This Row],[GR]])+Table3[[#This Row],[PTS]]</f>
        <v>158</v>
      </c>
      <c r="AT32">
        <f>(3*Table3[[#This Row],[GR]])+Table3[[#This Row],[PTS2]]</f>
        <v>237</v>
      </c>
      <c r="AU32">
        <f>Table3[[#This Row],[PTS]]+(2 * Table3[[#This Row],[GR]] * Table3[[#This Row],[PTS%]])</f>
        <v>0</v>
      </c>
      <c r="AV32">
        <f>Table3[[#This Row],[PTS2]]+(3 * Table3[[#This Row],[GR]] * Table3[[#This Row],[PTS%2]])</f>
        <v>0</v>
      </c>
      <c r="AW32" s="15" t="str">
        <f>_xlfn.CONCAT(TEXT(Table3[[#This Row],[W]], "0"), "-", TEXT(Table3[[#This Row],[RL]],"0"), "-", TEXT(Table3[[#This Row],[OTL]]+Table3[[#This Row],[SOL]], "0"))</f>
        <v>0-3-0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4</v>
      </c>
      <c r="BA32">
        <f t="shared" si="3"/>
        <v>-1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4</v>
      </c>
      <c r="BD32">
        <f>SUMIF(DataRegularSeason20242025!$E$3:$E$1315,$A32,DataRegularSeason20242025!$J$3:$J$1315)</f>
        <v>9</v>
      </c>
      <c r="BE32">
        <f t="shared" si="4"/>
        <v>-5</v>
      </c>
      <c r="BF32">
        <f t="shared" si="5"/>
        <v>7</v>
      </c>
      <c r="BG32">
        <f t="shared" si="6"/>
        <v>13</v>
      </c>
      <c r="BH32">
        <f t="shared" si="7"/>
        <v>-6</v>
      </c>
      <c r="BI32" s="12">
        <f>Table3[[#This Row],[GF]]/Table3[[#This Row],[GP]]</f>
        <v>2.3333333333333335</v>
      </c>
      <c r="BJ32" s="12">
        <f>Table3[[#This Row],[GA]]/Table3[[#This Row],[GP]]</f>
        <v>4.333333333333333</v>
      </c>
      <c r="BK32" s="12">
        <f>(Table3[[#This Row],[GF]]-Table3[[#This Row],[GA]])/Table3[[#This Row],[GP]]</f>
        <v>-2</v>
      </c>
      <c r="BL32" s="42" t="str">
        <f>_xlfn.CONCAT(TEXT(Table3[[#This Row],[W_H]], "0"), "-", TEXT(Table3[[#This Row],[RL_H]],"0"), "-", TEXT(Table3[[#This Row],[OTL_H]]+Table3[[#This Row],[SOL_H]], "0"))</f>
        <v>0-2-0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3.25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75.683333333333337</v>
      </c>
      <c r="BR32" s="16">
        <f>(Table3[[#This Row],[W]]*0.7) + ((Table3[[#This Row],[GF]] - Table3[[#This Row],[GA]])*0.25)+(Table3[[#This Row],[GF]]*0.1)+(Table3[[#This Row],[GA]]*0.05)+(Table3[[#This Row],[L]]*0.3)</f>
        <v>0.75</v>
      </c>
      <c r="BS32" s="16">
        <f>Table3[[#This Row],[TeamCost83]]/Table3[[#This Row],[GP]]</f>
        <v>0.25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0</v>
      </c>
      <c r="BV32">
        <f t="shared" si="8"/>
        <v>0</v>
      </c>
      <c r="BW32">
        <f t="shared" si="9"/>
        <v>1</v>
      </c>
      <c r="BX32">
        <f t="shared" si="10"/>
        <v>2</v>
      </c>
      <c r="BY32">
        <f t="shared" si="11"/>
        <v>3</v>
      </c>
      <c r="BZ32">
        <f>Table3[[#This Row],[TimesPredictedWinner]]/Table3[[#This Row],[GP]]</f>
        <v>0</v>
      </c>
      <c r="CB32">
        <v>1983</v>
      </c>
      <c r="CC32" s="1">
        <v>45759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0.9</v>
      </c>
      <c r="CJ32">
        <f>SUMIFS(Table2[GamePredictionScore], Table2[HomeTeam], Table3[[#This Row],[Teams]])</f>
        <v>1.8</v>
      </c>
      <c r="CK32">
        <f>Table3[[#This Row],[Column4]]+Table3[[#This Row],[Column3]]</f>
        <v>2.7</v>
      </c>
      <c r="CL32">
        <f>Table3[[#This Row],[Column5]]/Table3[[#This Row],[GP]]</f>
        <v>0.9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0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28</v>
      </c>
      <c r="B33" t="s">
        <v>91</v>
      </c>
      <c r="C33" t="s">
        <v>74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</v>
      </c>
      <c r="E33" s="10">
        <f>Table3[[#This Row],[Watched]]/Table3[[#This Row],[GP]]</f>
        <v>0.33333333333333331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 t="shared" si="0"/>
        <v>3</v>
      </c>
      <c r="K33">
        <f>82-Table3[[#This Row],[GP]]</f>
        <v>79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 t="shared" si="1"/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3</v>
      </c>
      <c r="AE33">
        <f>Table3[[#This Row],[RW_A]]+Table3[[#This Row],[RW_H]]</f>
        <v>0</v>
      </c>
      <c r="AF33">
        <f>Table3[[#This Row],[RL_A]]+Table3[[#This Row],[RL_H]]</f>
        <v>3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158</v>
      </c>
      <c r="AT33">
        <f>(3*Table3[[#This Row],[GR]])+Table3[[#This Row],[PTS2]]</f>
        <v>237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0-3-0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</v>
      </c>
      <c r="AZ33">
        <f>SUMIF(DataRegularSeason20242025!$D$3:$D$1315,$A33, DataRegularSeason20242025!$K$3:$K$1315)</f>
        <v>3</v>
      </c>
      <c r="BA33">
        <f t="shared" si="3"/>
        <v>-2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</v>
      </c>
      <c r="BD33">
        <f>SUMIF(DataRegularSeason20242025!$E$3:$E$1315,$A33,DataRegularSeason20242025!$J$3:$J$1315)</f>
        <v>7</v>
      </c>
      <c r="BE33">
        <f t="shared" si="4"/>
        <v>-6</v>
      </c>
      <c r="BF33">
        <f t="shared" si="5"/>
        <v>2</v>
      </c>
      <c r="BG33">
        <f t="shared" si="6"/>
        <v>10</v>
      </c>
      <c r="BH33">
        <f t="shared" si="7"/>
        <v>-8</v>
      </c>
      <c r="BI33" s="12">
        <f>Table3[[#This Row],[GF]]/Table3[[#This Row],[GP]]</f>
        <v>0.66666666666666663</v>
      </c>
      <c r="BJ33" s="12">
        <f>Table3[[#This Row],[GA]]/Table3[[#This Row],[GP]]</f>
        <v>3.3333333333333335</v>
      </c>
      <c r="BK33" s="12">
        <f>(Table3[[#This Row],[GF]]-Table3[[#This Row],[GA]])/Table3[[#This Row],[GP]]</f>
        <v>-2.6666666666666665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2.2000000000000002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45.93333333333333</v>
      </c>
      <c r="BR33" s="16">
        <f>(Table3[[#This Row],[W]]*0.7) + ((Table3[[#This Row],[GF]] - Table3[[#This Row],[GA]])*0.25)+(Table3[[#This Row],[GF]]*0.1)+(Table3[[#This Row],[GA]]*0.05)+(Table3[[#This Row],[L]]*0.3)</f>
        <v>-0.40000000000000013</v>
      </c>
      <c r="BS33" s="16">
        <f>Table3[[#This Row],[TeamCost83]]/Table3[[#This Row],[GP]]</f>
        <v>-0.13333333333333339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1</v>
      </c>
      <c r="BV33">
        <f t="shared" si="8"/>
        <v>1</v>
      </c>
      <c r="BW33">
        <f t="shared" si="9"/>
        <v>1</v>
      </c>
      <c r="BX33">
        <f t="shared" si="10"/>
        <v>1</v>
      </c>
      <c r="BY33">
        <f t="shared" si="11"/>
        <v>2</v>
      </c>
      <c r="BZ33">
        <f>Table3[[#This Row],[TimesPredictedWinner]]/Table3[[#This Row],[GP]]</f>
        <v>0.33333333333333331</v>
      </c>
      <c r="CC33" s="1">
        <v>45755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0.8</v>
      </c>
      <c r="CJ33">
        <f>SUMIFS(Table2[GamePredictionScore], Table2[HomeTeam], Table3[[#This Row],[Teams]])</f>
        <v>0.8</v>
      </c>
      <c r="CK33">
        <f>Table3[[#This Row],[Column4]]+Table3[[#This Row],[Column3]]</f>
        <v>1.6</v>
      </c>
      <c r="CL33">
        <f>Table3[[#This Row],[Column5]]/Table3[[#This Row],[GP]]</f>
        <v>0.53333333333333333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2</v>
      </c>
      <c r="DQ33" s="14">
        <f>COUNTIFS(Table2[[ActualHomeScore]:[ActualHomeScore]],$DK33, Table2[[ActualAwayScore]:[ActualAwayScore]],DQ$31)</f>
        <v>1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-1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4</v>
      </c>
      <c r="DN34" s="127"/>
      <c r="DO34" s="14">
        <f>COUNTIFS(Table2[[ActualHomeScore]:[ActualHomeScore]],$DK34, Table2[[ActualAwayScore]:[ActualAwayScore]],DO$31)</f>
        <v>4</v>
      </c>
      <c r="DP34" s="14">
        <f>COUNTIFS(Table2[[ActualHomeScore]:[ActualHomeScore]],$DK34, Table2[[ActualAwayScore]:[ActualAwayScore]],DP$31)</f>
        <v>2</v>
      </c>
      <c r="DQ34" s="14">
        <f>COUNTIFS(Table2[[ActualHomeScore]:[ActualHomeScore]],$DK34, Table2[[ActualAwayScore]:[ActualAwayScore]],DQ$31)</f>
        <v>2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56</v>
      </c>
      <c r="E35">
        <f t="shared" ref="E35:CA35" si="25">SUM(E$2:E$33)</f>
        <v>18.249999999999996</v>
      </c>
      <c r="F35">
        <f t="shared" si="25"/>
        <v>48</v>
      </c>
      <c r="G35">
        <f t="shared" si="25"/>
        <v>1264</v>
      </c>
      <c r="H35">
        <f t="shared" si="25"/>
        <v>48</v>
      </c>
      <c r="I35">
        <f t="shared" si="25"/>
        <v>1264</v>
      </c>
      <c r="J35">
        <f t="shared" si="25"/>
        <v>96</v>
      </c>
      <c r="K35">
        <f t="shared" si="25"/>
        <v>2528</v>
      </c>
      <c r="L35">
        <f t="shared" si="25"/>
        <v>28</v>
      </c>
      <c r="M35">
        <f t="shared" si="25"/>
        <v>22</v>
      </c>
      <c r="N35">
        <f t="shared" si="25"/>
        <v>3</v>
      </c>
      <c r="O35">
        <f t="shared" si="25"/>
        <v>3</v>
      </c>
      <c r="P35">
        <f t="shared" si="25"/>
        <v>20</v>
      </c>
      <c r="Q35">
        <f t="shared" si="25"/>
        <v>16</v>
      </c>
      <c r="R35">
        <f t="shared" si="25"/>
        <v>3</v>
      </c>
      <c r="S35">
        <f t="shared" si="25"/>
        <v>1</v>
      </c>
      <c r="T35">
        <f t="shared" si="25"/>
        <v>20</v>
      </c>
      <c r="U35">
        <f t="shared" si="25"/>
        <v>16</v>
      </c>
      <c r="V35">
        <f t="shared" si="25"/>
        <v>3</v>
      </c>
      <c r="W35">
        <f t="shared" si="25"/>
        <v>1</v>
      </c>
      <c r="X35">
        <f t="shared" si="25"/>
        <v>28</v>
      </c>
      <c r="Y35">
        <f t="shared" si="25"/>
        <v>22</v>
      </c>
      <c r="Z35">
        <f t="shared" si="25"/>
        <v>3</v>
      </c>
      <c r="AA35">
        <f t="shared" si="25"/>
        <v>3</v>
      </c>
      <c r="AC35">
        <f t="shared" si="25"/>
        <v>48</v>
      </c>
      <c r="AD35">
        <f t="shared" si="25"/>
        <v>48</v>
      </c>
      <c r="AE35">
        <f t="shared" si="25"/>
        <v>38</v>
      </c>
      <c r="AF35">
        <f t="shared" si="25"/>
        <v>38</v>
      </c>
      <c r="AG35">
        <f t="shared" si="25"/>
        <v>6</v>
      </c>
      <c r="AH35">
        <f t="shared" si="25"/>
        <v>6</v>
      </c>
      <c r="AI35">
        <f t="shared" si="25"/>
        <v>4</v>
      </c>
      <c r="AJ35">
        <f t="shared" si="25"/>
        <v>4</v>
      </c>
      <c r="AO35">
        <f t="shared" si="25"/>
        <v>106</v>
      </c>
      <c r="AP35">
        <f t="shared" si="25"/>
        <v>144</v>
      </c>
      <c r="AQ35">
        <f t="shared" si="25"/>
        <v>18.041666666666661</v>
      </c>
      <c r="AR35">
        <f t="shared" si="25"/>
        <v>16.166666666666671</v>
      </c>
      <c r="AS35">
        <f t="shared" si="25"/>
        <v>5162</v>
      </c>
      <c r="AT35">
        <f t="shared" si="25"/>
        <v>7728</v>
      </c>
      <c r="AU35">
        <f t="shared" si="25"/>
        <v>2958.8333333333317</v>
      </c>
      <c r="AV35">
        <f t="shared" si="25"/>
        <v>3977</v>
      </c>
      <c r="AX35">
        <f t="shared" si="25"/>
        <v>4</v>
      </c>
      <c r="AY35">
        <f t="shared" si="25"/>
        <v>157</v>
      </c>
      <c r="AZ35">
        <f t="shared" si="25"/>
        <v>135</v>
      </c>
      <c r="BA35">
        <f t="shared" si="25"/>
        <v>22</v>
      </c>
      <c r="BB35">
        <f t="shared" si="25"/>
        <v>0</v>
      </c>
      <c r="BC35">
        <f t="shared" si="25"/>
        <v>135</v>
      </c>
      <c r="BD35">
        <f t="shared" si="25"/>
        <v>157</v>
      </c>
      <c r="BE35">
        <f t="shared" si="25"/>
        <v>-22</v>
      </c>
      <c r="BF35">
        <f t="shared" si="25"/>
        <v>292</v>
      </c>
      <c r="BG35">
        <f t="shared" si="25"/>
        <v>292</v>
      </c>
      <c r="BH35">
        <f t="shared" si="25"/>
        <v>0</v>
      </c>
      <c r="BI35">
        <f t="shared" si="25"/>
        <v>99.416666666666671</v>
      </c>
      <c r="BJ35">
        <f t="shared" si="25"/>
        <v>99.249999999999986</v>
      </c>
      <c r="BK35">
        <f t="shared" si="25"/>
        <v>0.16666666666666563</v>
      </c>
      <c r="BL35">
        <f t="shared" si="25"/>
        <v>0</v>
      </c>
      <c r="BM35">
        <f t="shared" si="25"/>
        <v>0</v>
      </c>
      <c r="BN35" t="e">
        <f t="shared" si="25"/>
        <v>#DIV/0!</v>
      </c>
      <c r="BO35" t="e">
        <f t="shared" si="25"/>
        <v>#DIV/0!</v>
      </c>
      <c r="BP35">
        <f t="shared" si="25"/>
        <v>111.39999999999999</v>
      </c>
      <c r="BQ35">
        <f t="shared" si="25"/>
        <v>2529.4319444444445</v>
      </c>
      <c r="BR35">
        <f t="shared" si="25"/>
        <v>91.799999999999983</v>
      </c>
      <c r="BS35">
        <f t="shared" si="25"/>
        <v>31.045833333333331</v>
      </c>
      <c r="BT35">
        <f t="shared" si="25"/>
        <v>21</v>
      </c>
      <c r="BU35">
        <f t="shared" si="25"/>
        <v>27</v>
      </c>
      <c r="BV35">
        <f t="shared" si="25"/>
        <v>48</v>
      </c>
      <c r="BW35">
        <f t="shared" si="25"/>
        <v>27</v>
      </c>
      <c r="BX35">
        <f t="shared" si="25"/>
        <v>21</v>
      </c>
      <c r="BY35">
        <f t="shared" si="25"/>
        <v>48</v>
      </c>
      <c r="BZ35">
        <f t="shared" si="25"/>
        <v>16.166666666666668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4</v>
      </c>
      <c r="DN35" s="14">
        <f>COUNTIFS(Table2[[ActualHomeScore]:[ActualHomeScore]],$DK35, Table2[[ActualAwayScore]:[ActualAwayScore]],DN$31)</f>
        <v>2</v>
      </c>
      <c r="DO35" s="127"/>
      <c r="DP35" s="14">
        <f>COUNTIFS(Table2[[ActualHomeScore]:[ActualHomeScore]],$DK35, Table2[[ActualAwayScore]:[ActualAwayScore]],DP$31)</f>
        <v>3</v>
      </c>
      <c r="DQ35" s="14">
        <f>COUNTIFS(Table2[[ActualHomeScore]:[ActualHomeScore]],$DK35, Table2[[ActualAwayScore]:[ActualAwayScore]],DQ$31)</f>
        <v>1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1.75</v>
      </c>
      <c r="E36">
        <f t="shared" ref="E36:CA36" si="26">AVERAGE(E$2:E$33)</f>
        <v>0.57031249999999989</v>
      </c>
      <c r="F36">
        <f t="shared" si="26"/>
        <v>1.5</v>
      </c>
      <c r="G36">
        <f t="shared" si="26"/>
        <v>39.5</v>
      </c>
      <c r="H36">
        <f t="shared" si="26"/>
        <v>1.5</v>
      </c>
      <c r="I36">
        <f t="shared" si="26"/>
        <v>39.5</v>
      </c>
      <c r="J36">
        <f t="shared" si="26"/>
        <v>3</v>
      </c>
      <c r="K36">
        <f t="shared" si="26"/>
        <v>79</v>
      </c>
      <c r="L36">
        <f t="shared" si="26"/>
        <v>0.875</v>
      </c>
      <c r="M36">
        <f t="shared" si="26"/>
        <v>0.6875</v>
      </c>
      <c r="N36">
        <f t="shared" si="26"/>
        <v>9.375E-2</v>
      </c>
      <c r="O36">
        <f t="shared" si="26"/>
        <v>9.375E-2</v>
      </c>
      <c r="P36">
        <f t="shared" si="26"/>
        <v>0.625</v>
      </c>
      <c r="Q36">
        <f t="shared" si="26"/>
        <v>0.5</v>
      </c>
      <c r="R36">
        <f t="shared" si="26"/>
        <v>9.375E-2</v>
      </c>
      <c r="S36">
        <f t="shared" si="26"/>
        <v>3.125E-2</v>
      </c>
      <c r="T36">
        <f t="shared" si="26"/>
        <v>0.625</v>
      </c>
      <c r="U36">
        <f t="shared" si="26"/>
        <v>0.5</v>
      </c>
      <c r="V36">
        <f t="shared" si="26"/>
        <v>9.375E-2</v>
      </c>
      <c r="W36">
        <f t="shared" si="26"/>
        <v>3.125E-2</v>
      </c>
      <c r="X36">
        <f t="shared" si="26"/>
        <v>0.875</v>
      </c>
      <c r="Y36">
        <f t="shared" si="26"/>
        <v>0.6875</v>
      </c>
      <c r="Z36">
        <f t="shared" si="26"/>
        <v>9.375E-2</v>
      </c>
      <c r="AA36">
        <f t="shared" si="26"/>
        <v>9.375E-2</v>
      </c>
      <c r="AC36">
        <f t="shared" si="26"/>
        <v>1.5</v>
      </c>
      <c r="AD36">
        <f t="shared" si="26"/>
        <v>1.5</v>
      </c>
      <c r="AE36">
        <f t="shared" si="26"/>
        <v>1.1875</v>
      </c>
      <c r="AF36">
        <f t="shared" si="26"/>
        <v>1.1875</v>
      </c>
      <c r="AG36">
        <f t="shared" si="26"/>
        <v>0.1875</v>
      </c>
      <c r="AH36">
        <f t="shared" si="26"/>
        <v>0.1875</v>
      </c>
      <c r="AI36">
        <f t="shared" si="26"/>
        <v>0.125</v>
      </c>
      <c r="AJ36">
        <f t="shared" si="26"/>
        <v>0.125</v>
      </c>
      <c r="AO36">
        <f t="shared" si="26"/>
        <v>3.3125</v>
      </c>
      <c r="AP36">
        <f t="shared" si="26"/>
        <v>4.5</v>
      </c>
      <c r="AQ36">
        <f t="shared" si="26"/>
        <v>0.56380208333333315</v>
      </c>
      <c r="AR36">
        <f t="shared" si="26"/>
        <v>0.50520833333333348</v>
      </c>
      <c r="AS36">
        <f t="shared" si="26"/>
        <v>161.3125</v>
      </c>
      <c r="AT36">
        <f t="shared" si="26"/>
        <v>241.5</v>
      </c>
      <c r="AU36">
        <f t="shared" si="26"/>
        <v>92.463541666666615</v>
      </c>
      <c r="AV36">
        <f t="shared" si="26"/>
        <v>124.28125</v>
      </c>
      <c r="AX36">
        <f t="shared" si="26"/>
        <v>0.125</v>
      </c>
      <c r="AY36">
        <f t="shared" si="26"/>
        <v>4.90625</v>
      </c>
      <c r="AZ36">
        <f t="shared" si="26"/>
        <v>4.21875</v>
      </c>
      <c r="BA36">
        <f t="shared" si="26"/>
        <v>0.6875</v>
      </c>
      <c r="BB36">
        <f t="shared" si="26"/>
        <v>0</v>
      </c>
      <c r="BC36">
        <f t="shared" si="26"/>
        <v>4.21875</v>
      </c>
      <c r="BD36">
        <f t="shared" si="26"/>
        <v>4.90625</v>
      </c>
      <c r="BE36">
        <f t="shared" si="26"/>
        <v>-0.6875</v>
      </c>
      <c r="BF36">
        <f t="shared" si="26"/>
        <v>9.125</v>
      </c>
      <c r="BG36">
        <f t="shared" si="26"/>
        <v>9.125</v>
      </c>
      <c r="BH36">
        <f t="shared" si="26"/>
        <v>0</v>
      </c>
      <c r="BI36">
        <f t="shared" si="26"/>
        <v>3.1067708333333335</v>
      </c>
      <c r="BJ36">
        <f t="shared" si="26"/>
        <v>3.1015624999999996</v>
      </c>
      <c r="BK36">
        <f t="shared" si="26"/>
        <v>5.208333333333301E-3</v>
      </c>
      <c r="BL36" t="e">
        <f t="shared" si="26"/>
        <v>#DIV/0!</v>
      </c>
      <c r="BM36" t="e">
        <f t="shared" si="26"/>
        <v>#DIV/0!</v>
      </c>
      <c r="BN36" t="e">
        <f t="shared" si="26"/>
        <v>#DIV/0!</v>
      </c>
      <c r="BO36" t="e">
        <f t="shared" si="26"/>
        <v>#DIV/0!</v>
      </c>
      <c r="BP36">
        <f t="shared" si="26"/>
        <v>3.4812499999999997</v>
      </c>
      <c r="BQ36">
        <f t="shared" si="26"/>
        <v>79.044748263888891</v>
      </c>
      <c r="BR36">
        <f t="shared" si="26"/>
        <v>2.8687499999999995</v>
      </c>
      <c r="BS36">
        <f t="shared" si="26"/>
        <v>0.97018229166666659</v>
      </c>
      <c r="BT36">
        <f t="shared" si="26"/>
        <v>0.65625</v>
      </c>
      <c r="BU36">
        <f t="shared" si="26"/>
        <v>0.84375</v>
      </c>
      <c r="BV36">
        <f t="shared" si="26"/>
        <v>1.5</v>
      </c>
      <c r="BW36">
        <f t="shared" si="26"/>
        <v>0.84375</v>
      </c>
      <c r="BX36">
        <f t="shared" si="26"/>
        <v>0.65625</v>
      </c>
      <c r="BY36">
        <f t="shared" si="26"/>
        <v>1.5</v>
      </c>
      <c r="BZ36">
        <f t="shared" si="26"/>
        <v>0.50520833333333337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4</v>
      </c>
      <c r="DP36" s="127"/>
      <c r="DQ36" s="14">
        <f>COUNTIFS(Table2[[ActualHomeScore]:[ActualHomeScore]],$DK36, Table2[[ActualAwayScore]:[ActualAwayScore]],DQ$31)</f>
        <v>3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1.1726039399558574</v>
      </c>
      <c r="E37">
        <f t="shared" ref="E37:CA37" si="27">_xlfn.STDEV.P(E$2:E$33)</f>
        <v>0.34929826415794013</v>
      </c>
      <c r="F37">
        <f t="shared" si="27"/>
        <v>0.8660254037844386</v>
      </c>
      <c r="G37">
        <f t="shared" si="27"/>
        <v>0.8660254037844386</v>
      </c>
      <c r="H37">
        <f t="shared" si="27"/>
        <v>0.82915619758884995</v>
      </c>
      <c r="I37">
        <f t="shared" si="27"/>
        <v>0.82915619758884995</v>
      </c>
      <c r="J37">
        <f t="shared" si="27"/>
        <v>0.61237243569579447</v>
      </c>
      <c r="K37">
        <f t="shared" si="27"/>
        <v>0.61237243569579447</v>
      </c>
      <c r="L37">
        <f t="shared" si="27"/>
        <v>0.73950997288745202</v>
      </c>
      <c r="M37">
        <f t="shared" si="27"/>
        <v>0.76801285796528174</v>
      </c>
      <c r="N37">
        <f t="shared" si="27"/>
        <v>0.29148059540902549</v>
      </c>
      <c r="O37">
        <f t="shared" si="27"/>
        <v>0.29148059540902549</v>
      </c>
      <c r="P37">
        <f t="shared" si="27"/>
        <v>0.69597054535375269</v>
      </c>
      <c r="Q37">
        <f t="shared" si="27"/>
        <v>0.55901699437494745</v>
      </c>
      <c r="R37">
        <f t="shared" si="27"/>
        <v>0.29148059540902549</v>
      </c>
      <c r="S37">
        <f t="shared" si="27"/>
        <v>0.17399263633843817</v>
      </c>
      <c r="T37">
        <f t="shared" si="27"/>
        <v>0.78062474979979979</v>
      </c>
      <c r="U37">
        <f t="shared" si="27"/>
        <v>0.66143782776614768</v>
      </c>
      <c r="V37">
        <f t="shared" si="27"/>
        <v>0.29148059540902549</v>
      </c>
      <c r="W37">
        <f t="shared" si="27"/>
        <v>0.17399263633843817</v>
      </c>
      <c r="X37">
        <f t="shared" si="27"/>
        <v>0.649519052838329</v>
      </c>
      <c r="Y37">
        <f t="shared" si="27"/>
        <v>0.68179450716473211</v>
      </c>
      <c r="Z37">
        <f t="shared" si="27"/>
        <v>0.38400642898264087</v>
      </c>
      <c r="AA37">
        <f t="shared" si="27"/>
        <v>0.29148059540902549</v>
      </c>
      <c r="AC37">
        <f t="shared" si="27"/>
        <v>0.79056941504209488</v>
      </c>
      <c r="AD37">
        <f t="shared" si="27"/>
        <v>0.82915619758884995</v>
      </c>
      <c r="AE37">
        <f t="shared" si="27"/>
        <v>0.88167099872911781</v>
      </c>
      <c r="AF37">
        <f t="shared" si="27"/>
        <v>0.88167099872911781</v>
      </c>
      <c r="AG37">
        <f t="shared" si="27"/>
        <v>0.39031237489989989</v>
      </c>
      <c r="AH37">
        <f t="shared" si="27"/>
        <v>0.46351240544347894</v>
      </c>
      <c r="AI37">
        <f t="shared" si="27"/>
        <v>0.33071891388307384</v>
      </c>
      <c r="AJ37">
        <f t="shared" si="27"/>
        <v>0.33071891388307384</v>
      </c>
      <c r="AO37">
        <f t="shared" si="27"/>
        <v>1.5296547813150521</v>
      </c>
      <c r="AP37">
        <f t="shared" si="27"/>
        <v>2.2912878474779199</v>
      </c>
      <c r="AQ37">
        <f t="shared" si="27"/>
        <v>0.2521574389611333</v>
      </c>
      <c r="AR37">
        <f t="shared" si="27"/>
        <v>0.2359514881185753</v>
      </c>
      <c r="AS37">
        <f t="shared" si="27"/>
        <v>1.6092991486979666</v>
      </c>
      <c r="AT37">
        <f t="shared" si="27"/>
        <v>2.3318447632722039</v>
      </c>
      <c r="AU37">
        <f t="shared" si="27"/>
        <v>41.353819989625919</v>
      </c>
      <c r="AV37">
        <f t="shared" si="27"/>
        <v>58.044066077169646</v>
      </c>
      <c r="AX37">
        <f t="shared" si="27"/>
        <v>0.33071891388307384</v>
      </c>
      <c r="AY37">
        <f t="shared" si="27"/>
        <v>3.3200091773216531</v>
      </c>
      <c r="AZ37">
        <f t="shared" si="27"/>
        <v>3.4976275441361677</v>
      </c>
      <c r="BA37">
        <f t="shared" si="27"/>
        <v>2.8442650632456883</v>
      </c>
      <c r="BB37">
        <f t="shared" si="27"/>
        <v>0</v>
      </c>
      <c r="BC37">
        <f t="shared" si="27"/>
        <v>3.3887163406664773</v>
      </c>
      <c r="BD37">
        <f t="shared" si="27"/>
        <v>3.0858484955519123</v>
      </c>
      <c r="BE37">
        <f t="shared" si="27"/>
        <v>2.7092146002116553</v>
      </c>
      <c r="BF37">
        <f t="shared" si="27"/>
        <v>2.521780125229002</v>
      </c>
      <c r="BG37">
        <f t="shared" si="27"/>
        <v>2.9020466915609751</v>
      </c>
      <c r="BH37">
        <f t="shared" si="27"/>
        <v>3.2210246816812815</v>
      </c>
      <c r="BI37">
        <f t="shared" si="27"/>
        <v>0.8807436426959353</v>
      </c>
      <c r="BJ37">
        <f t="shared" si="27"/>
        <v>1.0107354254504091</v>
      </c>
      <c r="BK37">
        <f t="shared" si="27"/>
        <v>1.0793069205835031</v>
      </c>
      <c r="BL37" t="e">
        <f t="shared" si="27"/>
        <v>#DIV/0!</v>
      </c>
      <c r="BM37" t="e">
        <f t="shared" si="27"/>
        <v>#DIV/0!</v>
      </c>
      <c r="BN37" t="e">
        <f t="shared" si="27"/>
        <v>#DIV/0!</v>
      </c>
      <c r="BO37" t="e">
        <f t="shared" si="27"/>
        <v>#DIV/0!</v>
      </c>
      <c r="BP37">
        <f t="shared" si="27"/>
        <v>0.70619468809953678</v>
      </c>
      <c r="BQ37">
        <f t="shared" si="27"/>
        <v>17.662391647106876</v>
      </c>
      <c r="BR37">
        <f t="shared" si="27"/>
        <v>1.2302026001842161</v>
      </c>
      <c r="BS37">
        <f t="shared" si="27"/>
        <v>0.39109292720176919</v>
      </c>
      <c r="BT37">
        <f t="shared" si="27"/>
        <v>0.73354341214409391</v>
      </c>
      <c r="BU37">
        <f t="shared" si="27"/>
        <v>0.75454352922810231</v>
      </c>
      <c r="BV37">
        <f t="shared" si="27"/>
        <v>1.0606601717798212</v>
      </c>
      <c r="BW37">
        <f t="shared" si="27"/>
        <v>0.90517177237251489</v>
      </c>
      <c r="BX37">
        <f t="shared" si="27"/>
        <v>0.68962739033480969</v>
      </c>
      <c r="BY37">
        <f t="shared" si="27"/>
        <v>1.1180339887498949</v>
      </c>
      <c r="BZ37">
        <f t="shared" si="27"/>
        <v>0.3300209773425184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1</v>
      </c>
      <c r="DN37" s="14">
        <f>COUNTIFS(Table2[[ActualHomeScore]:[ActualHomeScore]],$DK37, Table2[[ActualAwayScore]:[ActualAwayScore]],DN$31)</f>
        <v>2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0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2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0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</v>
      </c>
      <c r="DO46" s="131">
        <f t="shared" si="29"/>
        <v>0.60000000000000009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</v>
      </c>
      <c r="DB47" s="131">
        <f t="shared" si="30"/>
        <v>0</v>
      </c>
      <c r="DC47" s="131">
        <f t="shared" si="30"/>
        <v>0.95</v>
      </c>
      <c r="DD47" s="131">
        <f t="shared" si="30"/>
        <v>0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0</v>
      </c>
      <c r="DO47" s="131">
        <f t="shared" si="31"/>
        <v>1.5</v>
      </c>
      <c r="DP47" s="131">
        <f t="shared" si="31"/>
        <v>1.7000000000000002</v>
      </c>
      <c r="DQ47" s="131">
        <f t="shared" si="31"/>
        <v>0.95</v>
      </c>
      <c r="DR47" s="131">
        <f t="shared" si="31"/>
        <v>1.05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1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3.6</v>
      </c>
      <c r="DN48" s="127"/>
      <c r="DO48" s="131">
        <f t="shared" si="33"/>
        <v>3.6000000000000005</v>
      </c>
      <c r="DP48" s="131">
        <f t="shared" si="33"/>
        <v>2</v>
      </c>
      <c r="DQ48" s="131">
        <f t="shared" si="33"/>
        <v>2.2000000000000002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</v>
      </c>
      <c r="DM49" s="131">
        <f t="shared" si="35"/>
        <v>4.1999999999999993</v>
      </c>
      <c r="DN49" s="131">
        <f t="shared" si="35"/>
        <v>2.2999999999999998</v>
      </c>
      <c r="DO49" s="127"/>
      <c r="DP49" s="131">
        <f t="shared" si="35"/>
        <v>3.4499999999999997</v>
      </c>
      <c r="DQ49" s="131">
        <f t="shared" si="35"/>
        <v>1.25</v>
      </c>
      <c r="DR49" s="131">
        <f t="shared" si="35"/>
        <v>0</v>
      </c>
      <c r="DS49" s="131">
        <f t="shared" si="35"/>
        <v>1.45</v>
      </c>
      <c r="DT49" s="131">
        <f t="shared" si="35"/>
        <v>0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0</v>
      </c>
      <c r="DN50" s="131">
        <f t="shared" si="37"/>
        <v>0</v>
      </c>
      <c r="DO50" s="131">
        <f t="shared" si="37"/>
        <v>5.6</v>
      </c>
      <c r="DP50" s="127"/>
      <c r="DQ50" s="131">
        <f t="shared" si="37"/>
        <v>4.2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1.35</v>
      </c>
      <c r="DN51" s="131">
        <f t="shared" si="39"/>
        <v>2.9</v>
      </c>
      <c r="DO51" s="131">
        <f t="shared" si="39"/>
        <v>0</v>
      </c>
      <c r="DP51" s="131">
        <f t="shared" si="39"/>
        <v>0</v>
      </c>
      <c r="DQ51" s="127"/>
      <c r="DR51" s="131">
        <f t="shared" si="39"/>
        <v>1.6500000000000001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0</v>
      </c>
      <c r="DN52" s="131">
        <f t="shared" si="41"/>
        <v>1.5999999999999999</v>
      </c>
      <c r="DO52" s="131">
        <f t="shared" si="41"/>
        <v>3.4</v>
      </c>
      <c r="DP52" s="131">
        <f t="shared" si="41"/>
        <v>0</v>
      </c>
      <c r="DQ52" s="131">
        <f t="shared" si="41"/>
        <v>0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0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0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3.3499999999999996</v>
      </c>
      <c r="DW57" s="88">
        <f>SUM(DL46:DV56)</f>
        <v>54.35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2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4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0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3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0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4</v>
      </c>
      <c r="E5" s="62">
        <f>INDEX(Table3[PTS], MATCH(Table6[[#This Row],[Teams]], Table3[Teams],0))</f>
        <v>4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2</v>
      </c>
      <c r="E6" s="62">
        <f>INDEX(Table3[PTS], MATCH(Table6[[#This Row],[Teams]], Table3[Teams],0))</f>
        <v>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2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2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0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3</v>
      </c>
      <c r="E8" s="62">
        <f>INDEX(Table3[PTS], MATCH(Table6[[#This Row],[Teams]], Table3[Teams],0))</f>
        <v>3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4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0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7</v>
      </c>
      <c r="E9" s="62">
        <f>INDEX(Table3[PTS], MATCH(Table6[[#This Row],[Teams]], Table3[Teams],0))</f>
        <v>7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4</v>
      </c>
      <c r="E10" s="62">
        <f>INDEX(Table3[PTS], MATCH(Table6[[#This Row],[Teams]], Table3[Teams],0))</f>
        <v>4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4</v>
      </c>
      <c r="E11" s="62">
        <f>INDEX(Table3[PTS], MATCH(Table6[[#This Row],[Teams]], Table3[Teams],0))</f>
        <v>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3</v>
      </c>
      <c r="E12" s="62">
        <f>INDEX(Table3[PTS], MATCH(Table6[[#This Row],[Teams]], Table3[Teams],0))</f>
        <v>3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4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0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3</v>
      </c>
      <c r="E14" s="62">
        <f>INDEX(Table3[PTS], MATCH(Table6[[#This Row],[Teams]], Table3[Teams],0))</f>
        <v>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7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4</v>
      </c>
      <c r="E15" s="62">
        <f>INDEX(Table3[PTS], MATCH(Table6[[#This Row],[Teams]], Table3[Teams],0))</f>
        <v>4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4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4</v>
      </c>
      <c r="E16" s="62">
        <f>INDEX(Table3[PTS], MATCH(Table6[[#This Row],[Teams]], Table3[Teams],0))</f>
        <v>4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4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4</v>
      </c>
      <c r="E17" s="62">
        <f>INDEX(Table3[PTS], MATCH(Table6[[#This Row],[Teams]], Table3[Teams],0))</f>
        <v>4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2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5</v>
      </c>
      <c r="E18" s="62">
        <f>INDEX(Table3[PTS], MATCH(Table6[[#This Row],[Teams]], Table3[Teams],0))</f>
        <v>5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5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3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4</v>
      </c>
      <c r="E20" s="62">
        <f>INDEX(Table3[PTS], MATCH(Table6[[#This Row],[Teams]], Table3[Teams],0))</f>
        <v>4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2</v>
      </c>
      <c r="E21" s="62">
        <f>INDEX(Table3[PTS], MATCH(Table6[[#This Row],[Teams]], Table3[Teams],0))</f>
        <v>2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3</v>
      </c>
      <c r="E22" s="62">
        <f>INDEX(Table3[PTS], MATCH(Table6[[#This Row],[Teams]], Table3[Teams],0))</f>
        <v>3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4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0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4</v>
      </c>
      <c r="E23" s="62">
        <f>INDEX(Table3[PTS], MATCH(Table6[[#This Row],[Teams]], Table3[Teams],0))</f>
        <v>4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4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0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4</v>
      </c>
      <c r="E24" s="62">
        <f>INDEX(Table3[PTS], MATCH(Table6[[#This Row],[Teams]], Table3[Teams],0))</f>
        <v>4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4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4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4</v>
      </c>
      <c r="E26" s="62">
        <f>INDEX(Table3[PTS], MATCH(Table6[[#This Row],[Teams]], Table3[Teams],0))</f>
        <v>4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2</v>
      </c>
      <c r="E27" s="62">
        <f>INDEX(Table3[PTS], MATCH(Table6[[#This Row],[Teams]], Table3[Teams],0))</f>
        <v>2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2</v>
      </c>
      <c r="E28" s="62">
        <f>INDEX(Table3[PTS], MATCH(Table6[[#This Row],[Teams]], Table3[Teams],0))</f>
        <v>2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4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2</v>
      </c>
      <c r="E29" s="62">
        <f>INDEX(Table3[PTS], MATCH(Table6[[#This Row],[Teams]], Table3[Teams],0))</f>
        <v>2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3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2</v>
      </c>
      <c r="E30" s="62">
        <f>INDEX(Table3[PTS], MATCH(Table6[[#This Row],[Teams]], Table3[Teams],0))</f>
        <v>2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4</v>
      </c>
      <c r="E31" s="62">
        <f>INDEX(Table3[PTS], MATCH(Table6[[#This Row],[Teams]], Table3[Teams],0))</f>
        <v>4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4</v>
      </c>
      <c r="E32" s="62">
        <f>INDEX(Table3[PTS], MATCH(Table6[[#This Row],[Teams]], Table3[Teams],0))</f>
        <v>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2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4</v>
      </c>
      <c r="E33" s="116">
        <f>INDEX(Table3[PTS], MATCH(Table6[[#This Row],[Teams]], Table3[Teams],0))</f>
        <v>4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2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0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2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4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0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6</v>
      </c>
    </row>
    <row r="42" spans="1:53" x14ac:dyDescent="0.25">
      <c r="U42" cm="1">
        <f t="array" ref="U42">SMALL(U35:U39 + U25:U29,5)</f>
        <v>9</v>
      </c>
    </row>
    <row r="44" spans="1:53" x14ac:dyDescent="0.25">
      <c r="U44">
        <f>LARGE(_xlfn._xlws.SORT(_xlfn.VSTACK(U35:U39,U25:U29),1,-1), 1)</f>
        <v>6</v>
      </c>
    </row>
    <row r="45" spans="1:53" x14ac:dyDescent="0.25">
      <c r="U45">
        <f>LARGE(_xlfn._xlws.SORT(_xlfn.VSTACK(U35:U39,U25:U29),1,-1), 2)</f>
        <v>4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5">
        <f>BO3+BO4</f>
        <v>2</v>
      </c>
      <c r="BQ3" s="166">
        <f>82-BP3</f>
        <v>80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2</v>
      </c>
      <c r="BP5" s="165">
        <f t="shared" ref="BP5" si="1">BO5+BO6</f>
        <v>3</v>
      </c>
      <c r="BQ5" s="166">
        <f t="shared" ref="BQ5" si="2">82-BP5</f>
        <v>79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1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0</v>
      </c>
      <c r="BP7" s="165">
        <f t="shared" ref="BP7" si="3">BO7+BO8</f>
        <v>2</v>
      </c>
      <c r="BQ7" s="166">
        <f t="shared" ref="BQ7" si="4">82-BP7</f>
        <v>80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65">
        <f t="shared" ref="BP9" si="5">BO9+BO10</f>
        <v>4</v>
      </c>
      <c r="BQ9" s="166">
        <f t="shared" ref="BQ9" si="6">82-BP9</f>
        <v>78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0</v>
      </c>
      <c r="BP11" s="165">
        <f t="shared" ref="BP11" si="7">BO11+BO12</f>
        <v>2</v>
      </c>
      <c r="BQ11" s="166">
        <f t="shared" ref="BQ11" si="8">82-BP11</f>
        <v>80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65">
        <f t="shared" ref="BP13" si="9">BO13+BO14</f>
        <v>2</v>
      </c>
      <c r="BQ13" s="166">
        <f t="shared" ref="BQ13" si="10">82-BP13</f>
        <v>80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2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1</v>
      </c>
      <c r="BP15" s="165">
        <f t="shared" ref="BP15" si="11">BO15+BO16</f>
        <v>3</v>
      </c>
      <c r="BQ15" s="166">
        <f t="shared" ref="BQ15" si="12">82-BP15</f>
        <v>79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2</v>
      </c>
      <c r="BP17" s="165">
        <f t="shared" ref="BP17" si="13">BO17+BO18</f>
        <v>3</v>
      </c>
      <c r="BQ17" s="166">
        <f t="shared" ref="BQ17" si="14">82-BP17</f>
        <v>79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2</v>
      </c>
      <c r="BP19" s="165">
        <f t="shared" ref="BP19" si="15">BO19+BO20</f>
        <v>4</v>
      </c>
      <c r="BQ19" s="166">
        <f t="shared" ref="BQ19" si="16">82-BP19</f>
        <v>78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2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2</v>
      </c>
      <c r="BP21" s="165">
        <f t="shared" ref="BP21" si="17">BO21+BO22</f>
        <v>4</v>
      </c>
      <c r="BQ21" s="166">
        <f t="shared" ref="BQ21" si="18">82-BP21</f>
        <v>78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2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2</v>
      </c>
      <c r="BP23" s="165">
        <f t="shared" ref="BP23" si="19">BO23+BO24</f>
        <v>2</v>
      </c>
      <c r="BQ23" s="166">
        <f t="shared" ref="BQ23" si="20">82-BP23</f>
        <v>80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0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1</v>
      </c>
      <c r="BP25" s="165">
        <f t="shared" ref="BP25" si="21">BO25+BO26</f>
        <v>3</v>
      </c>
      <c r="BQ25" s="166">
        <f t="shared" ref="BQ25" si="22">82-BP25</f>
        <v>79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0"/>
        <v>1</v>
      </c>
      <c r="BP27" s="165">
        <f t="shared" ref="BP27" si="23">BO27+BO28</f>
        <v>3</v>
      </c>
      <c r="BQ27" s="166">
        <f t="shared" ref="BQ27" si="24">82-BP27</f>
        <v>79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5">
        <f t="shared" ref="BP29" si="25">BO29+BO30</f>
        <v>3</v>
      </c>
      <c r="BQ29" s="166">
        <f t="shared" ref="BQ29" si="26">82-BP29</f>
        <v>79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1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5">
        <f t="shared" ref="BP31" si="27">BO31+BO32</f>
        <v>3</v>
      </c>
      <c r="BQ31" s="166">
        <f t="shared" ref="BQ31" si="28">82-BP31</f>
        <v>79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1</v>
      </c>
      <c r="BP33" s="165">
        <f t="shared" ref="BP33" si="29">BO33+BO34</f>
        <v>3</v>
      </c>
      <c r="BQ33" s="166">
        <f t="shared" ref="BQ33" si="30">82-BP33</f>
        <v>79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2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0</v>
      </c>
      <c r="BP35" s="165">
        <f t="shared" ref="BP35" si="31">BO35+BO36</f>
        <v>2</v>
      </c>
      <c r="BQ35" s="166">
        <f t="shared" ref="BQ35" si="32">82-BP35</f>
        <v>80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65">
        <f t="shared" ref="BP37" si="33">BO37+BO38</f>
        <v>3</v>
      </c>
      <c r="BQ37" s="166">
        <f t="shared" ref="BQ37" si="34">82-BP37</f>
        <v>79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1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65">
        <f t="shared" ref="BP39" si="35">BO39+BO40</f>
        <v>3</v>
      </c>
      <c r="BQ39" s="166">
        <f t="shared" ref="BQ39" si="36">82-BP39</f>
        <v>79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1</v>
      </c>
      <c r="BP41" s="165">
        <f t="shared" ref="BP41" si="37">BO41+BO42</f>
        <v>3</v>
      </c>
      <c r="BQ41" s="166">
        <f t="shared" ref="BQ41" si="38">82-BP41</f>
        <v>79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2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2</v>
      </c>
      <c r="BP43" s="165">
        <f t="shared" ref="BP43" si="39">BO43+BO44</f>
        <v>4</v>
      </c>
      <c r="BQ43" s="166">
        <f t="shared" ref="BQ43" si="40">82-BP43</f>
        <v>78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2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5">
        <f t="shared" ref="BP45" si="41">BO45+BO46</f>
        <v>3</v>
      </c>
      <c r="BQ45" s="166">
        <f t="shared" ref="BQ45" si="42">82-BP45</f>
        <v>79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1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1</v>
      </c>
      <c r="BP47" s="165">
        <f t="shared" ref="BP47" si="43">BO47+BO48</f>
        <v>3</v>
      </c>
      <c r="BQ47" s="166">
        <f t="shared" ref="BQ47" si="44">82-BP47</f>
        <v>79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5">
        <f t="shared" ref="BP49" si="45">BO49+BO50</f>
        <v>3</v>
      </c>
      <c r="BQ49" s="166">
        <f t="shared" ref="BQ49" si="46">82-BP49</f>
        <v>79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1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65">
        <f t="shared" ref="BP51" si="47">BO51+BO52</f>
        <v>4</v>
      </c>
      <c r="BQ51" s="166">
        <f t="shared" ref="BQ51" si="48">82-BP51</f>
        <v>78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65">
        <f t="shared" ref="BP53" si="49">BO53+BO54</f>
        <v>3</v>
      </c>
      <c r="BQ53" s="166">
        <f t="shared" ref="BQ53" si="50">82-BP53</f>
        <v>79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65">
        <f t="shared" ref="BP55" si="51">BO55+BO56</f>
        <v>3</v>
      </c>
      <c r="BQ55" s="166">
        <f t="shared" ref="BQ55" si="52">82-BP55</f>
        <v>79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2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1</v>
      </c>
      <c r="BP57" s="165">
        <f t="shared" ref="BP57" si="53">BO57+BO58</f>
        <v>4</v>
      </c>
      <c r="BQ57" s="166">
        <f t="shared" ref="BQ57" si="54">82-BP57</f>
        <v>78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65">
        <f t="shared" ref="BP59" si="55">BO59+BO60</f>
        <v>3</v>
      </c>
      <c r="BQ59" s="166">
        <f t="shared" ref="BQ59" si="56">82-BP59</f>
        <v>79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0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2</v>
      </c>
      <c r="BP61" s="165">
        <f t="shared" ref="BP61" si="57">BO61+BO62</f>
        <v>3</v>
      </c>
      <c r="BQ61" s="166">
        <f t="shared" ref="BQ61" si="58">82-BP61</f>
        <v>79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1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1</v>
      </c>
      <c r="BP63" s="165">
        <f t="shared" ref="BP63" si="59">BO63+BO64</f>
        <v>3</v>
      </c>
      <c r="BQ63" s="166">
        <f t="shared" ref="BQ63" si="60">82-BP63</f>
        <v>79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5">
        <f t="shared" ref="BP65" si="61">BO65+BO66</f>
        <v>3</v>
      </c>
      <c r="BQ65" s="166">
        <f t="shared" ref="BQ65" si="62">82-BP65</f>
        <v>79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2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48</v>
      </c>
      <c r="BQ67" s="27">
        <f>SUM(BQ3:BQ66)/2</f>
        <v>1264</v>
      </c>
    </row>
    <row r="68" spans="1:69" x14ac:dyDescent="0.25">
      <c r="BP68" s="43">
        <f>2*BP67/SUM(BP3:BQ66)</f>
        <v>3.6585365853658534E-2</v>
      </c>
      <c r="BQ68" s="43">
        <f>2*BQ67/SUM(BP3:BQ66)</f>
        <v>0.96341463414634143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AJ21" sqref="AJ2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0-0-0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0-0-0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0-0-0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0-0-0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0-0-0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0-0-0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0-0-0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0-0-0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0-0-0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0-0-0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0-0-0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0-0-0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0-0-0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0-0-0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0-0-0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0-0-0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 t="str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/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 t="e">
        <f>AVERAGE($R37:$AG37)</f>
        <v>#DIV/0!</v>
      </c>
      <c r="AI37" s="101">
        <f>AVERAGE($B37:$Q37)</f>
        <v>0.5</v>
      </c>
      <c r="AJ37" s="103" t="e">
        <f>AVERAGE($Z37:$AG37)</f>
        <v>#DIV/0!</v>
      </c>
      <c r="AK37" s="103" t="e">
        <f>AVERAGE($R37:$Y37)</f>
        <v>#DIV/0!</v>
      </c>
      <c r="AL37" s="103" t="e">
        <f>AVERAGE($J37:$Q37)</f>
        <v>#DIV/0!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 t="str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/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0.5</v>
      </c>
      <c r="AM38" s="103">
        <f t="shared" ref="AM38:AM68" si="5">AVERAGE($B38:$I38)</f>
        <v>0.5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 t="str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/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 t="e">
        <f t="shared" si="0"/>
        <v>#DIV/0!</v>
      </c>
      <c r="AI39" s="101">
        <f t="shared" si="1"/>
        <v>0.5</v>
      </c>
      <c r="AJ39" s="103" t="e">
        <f t="shared" si="2"/>
        <v>#DIV/0!</v>
      </c>
      <c r="AK39" s="103" t="e">
        <f t="shared" si="3"/>
        <v>#DIV/0!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 t="str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/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 t="e">
        <f t="shared" si="0"/>
        <v>#DIV/0!</v>
      </c>
      <c r="AI41" s="101">
        <f t="shared" si="1"/>
        <v>0.5</v>
      </c>
      <c r="AJ41" s="103" t="e">
        <f t="shared" si="2"/>
        <v>#DIV/0!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 t="str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/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 t="e">
        <f t="shared" si="0"/>
        <v>#DIV/0!</v>
      </c>
      <c r="AI42" s="101">
        <f t="shared" si="1"/>
        <v>0.5</v>
      </c>
      <c r="AJ42" s="103" t="e">
        <f t="shared" si="2"/>
        <v>#DIV/0!</v>
      </c>
      <c r="AK42" s="103" t="e">
        <f t="shared" si="3"/>
        <v>#DIV/0!</v>
      </c>
      <c r="AL42" s="103" t="e">
        <f t="shared" si="4"/>
        <v>#DIV/0!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>
        <f t="shared" si="1"/>
        <v>0.33333333333333331</v>
      </c>
      <c r="AJ43" s="103" t="e">
        <f t="shared" si="2"/>
        <v>#DIV/0!</v>
      </c>
      <c r="AK43" s="103" t="e">
        <f t="shared" si="3"/>
        <v>#DIV/0!</v>
      </c>
      <c r="AL43" s="103">
        <f t="shared" si="4"/>
        <v>0.5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 t="str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/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0.66666666666666663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0.66666666666666663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0.5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1</v>
      </c>
      <c r="AI46" s="101">
        <f t="shared" si="1"/>
        <v>0.66666666666666663</v>
      </c>
      <c r="AJ46" s="103">
        <f t="shared" si="2"/>
        <v>1</v>
      </c>
      <c r="AK46" s="103" t="e">
        <f t="shared" si="3"/>
        <v>#DIV/0!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 t="str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/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1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1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 t="str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/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0.75</v>
      </c>
      <c r="AJ48" s="103" t="e">
        <f t="shared" si="2"/>
        <v>#DIV/0!</v>
      </c>
      <c r="AK48" s="103">
        <f t="shared" si="3"/>
        <v>0.5</v>
      </c>
      <c r="AL48" s="103">
        <f t="shared" si="4"/>
        <v>1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 t="str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/>
      </c>
      <c r="AH49" s="101">
        <f t="shared" si="0"/>
        <v>0.75</v>
      </c>
      <c r="AI49" s="101">
        <f t="shared" si="1"/>
        <v>0.5</v>
      </c>
      <c r="AJ49" s="103">
        <f t="shared" si="2"/>
        <v>1</v>
      </c>
      <c r="AK49" s="103">
        <f t="shared" si="3"/>
        <v>0.5</v>
      </c>
      <c r="AL49" s="103">
        <f t="shared" si="4"/>
        <v>0.5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0.83333333333333337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>
        <f t="shared" si="1"/>
        <v>0.33333333333333331</v>
      </c>
      <c r="AJ51" s="103" t="e">
        <f t="shared" si="2"/>
        <v>#DIV/0!</v>
      </c>
      <c r="AK51" s="103" t="e">
        <f t="shared" si="3"/>
        <v>#DIV/0!</v>
      </c>
      <c r="AL51" s="103">
        <f t="shared" si="4"/>
        <v>0.33333333333333331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 t="str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/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 t="e">
        <f>AVERAGE($B53:$Q53)</f>
        <v>#DIV/0!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 t="e">
        <f t="shared" si="5"/>
        <v>#DIV/0!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 t="e">
        <f t="shared" si="2"/>
        <v>#DIV/0!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0.66666666666666663</v>
      </c>
      <c r="AI55" s="101" t="e">
        <f t="shared" si="1"/>
        <v>#DIV/0!</v>
      </c>
      <c r="AJ55" s="103">
        <f t="shared" si="2"/>
        <v>1</v>
      </c>
      <c r="AK55" s="103">
        <f t="shared" si="3"/>
        <v>0.5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0.25</v>
      </c>
      <c r="AI56" s="101">
        <f t="shared" si="1"/>
        <v>0.5</v>
      </c>
      <c r="AJ56" s="103" t="e">
        <f t="shared" si="2"/>
        <v>#DIV/0!</v>
      </c>
      <c r="AK56" s="103">
        <f t="shared" si="3"/>
        <v>0.25</v>
      </c>
      <c r="AL56" s="103">
        <f t="shared" si="4"/>
        <v>0.5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 t="str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/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0.75</v>
      </c>
      <c r="AI57" s="101" t="e">
        <f t="shared" si="1"/>
        <v>#DIV/0!</v>
      </c>
      <c r="AJ57" s="103">
        <f t="shared" si="2"/>
        <v>1</v>
      </c>
      <c r="AK57" s="103">
        <f t="shared" si="3"/>
        <v>0.625</v>
      </c>
      <c r="AL57" s="103" t="e">
        <f t="shared" si="4"/>
        <v>#DIV/0!</v>
      </c>
      <c r="AM57" s="103" t="e">
        <f t="shared" si="5"/>
        <v>#DIV/0!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 t="e">
        <f t="shared" si="1"/>
        <v>#DIV/0!</v>
      </c>
      <c r="AJ58" s="103">
        <f t="shared" si="2"/>
        <v>0.25</v>
      </c>
      <c r="AK58" s="103">
        <f t="shared" si="3"/>
        <v>0.5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 t="str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/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 t="e">
        <f t="shared" si="1"/>
        <v>#DIV/0!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 t="e">
        <f t="shared" si="5"/>
        <v>#DIV/0!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 t="str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/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0.83333333333333337</v>
      </c>
      <c r="AI60" s="102" t="e">
        <f t="shared" si="1"/>
        <v>#DIV/0!</v>
      </c>
      <c r="AJ60" s="104">
        <f t="shared" si="2"/>
        <v>0.5</v>
      </c>
      <c r="AK60" s="104">
        <f t="shared" si="3"/>
        <v>1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0.5</v>
      </c>
      <c r="AJ61" s="103">
        <f t="shared" si="2"/>
        <v>0.5</v>
      </c>
      <c r="AK61" s="103">
        <f t="shared" si="3"/>
        <v>1</v>
      </c>
      <c r="AL61" s="103">
        <f t="shared" si="4"/>
        <v>0.5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0.25</v>
      </c>
      <c r="AI62" s="101">
        <f t="shared" si="1"/>
        <v>0.5</v>
      </c>
      <c r="AJ62" s="103">
        <f t="shared" si="2"/>
        <v>0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0.625</v>
      </c>
      <c r="AI63" s="101" t="e">
        <f t="shared" si="1"/>
        <v>#DIV/0!</v>
      </c>
      <c r="AJ63" s="103">
        <f t="shared" si="2"/>
        <v>0.625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0.375</v>
      </c>
      <c r="AI64" s="101">
        <f t="shared" si="1"/>
        <v>0.5</v>
      </c>
      <c r="AJ64" s="103">
        <f t="shared" si="2"/>
        <v>0.5</v>
      </c>
      <c r="AK64" s="103">
        <f t="shared" si="3"/>
        <v>0.25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 t="str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/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1</v>
      </c>
      <c r="AJ65" s="103">
        <f t="shared" si="2"/>
        <v>0.5</v>
      </c>
      <c r="AK65" s="103" t="e">
        <f t="shared" si="3"/>
        <v>#DIV/0!</v>
      </c>
      <c r="AL65" s="103">
        <f t="shared" si="4"/>
        <v>1</v>
      </c>
      <c r="AM65" s="103" t="e">
        <f t="shared" si="5"/>
        <v>#DIV/0!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0.5</v>
      </c>
      <c r="AK66" s="103" t="e">
        <f t="shared" si="3"/>
        <v>#DIV/0!</v>
      </c>
      <c r="AL66" s="103">
        <f t="shared" si="4"/>
        <v>0.5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 t="str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/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0.66666666666666663</v>
      </c>
      <c r="AI67" s="101" t="e">
        <f t="shared" si="1"/>
        <v>#DIV/0!</v>
      </c>
      <c r="AJ67" s="103">
        <f t="shared" si="2"/>
        <v>0.75</v>
      </c>
      <c r="AK67" s="103">
        <f t="shared" si="3"/>
        <v>0.5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 t="str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/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0.375</v>
      </c>
      <c r="AI68" s="102" t="e">
        <f t="shared" si="1"/>
        <v>#DIV/0!</v>
      </c>
      <c r="AJ68" s="104">
        <f t="shared" si="2"/>
        <v>0.375</v>
      </c>
      <c r="AK68" s="104" t="e">
        <f t="shared" si="3"/>
        <v>#DIV/0!</v>
      </c>
      <c r="AL68" s="104" t="e">
        <f t="shared" si="4"/>
        <v>#DIV/0!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2025-10-14T21:33:34Z</dcterms:modified>
</cp:coreProperties>
</file>