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World Juniors 2023\"/>
    </mc:Choice>
  </mc:AlternateContent>
  <xr:revisionPtr revIDLastSave="0" documentId="13_ncr:1_{89FD1574-C1DC-4B6D-854D-228BD9B53E4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T24" i="1"/>
  <c r="V24" i="1" s="1"/>
  <c r="W10" i="1"/>
  <c r="V10" i="1"/>
  <c r="U10" i="1"/>
  <c r="T10" i="1"/>
  <c r="S10" i="1"/>
  <c r="R10" i="1"/>
  <c r="Q10" i="1"/>
  <c r="P10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3" i="1"/>
  <c r="X2" i="1"/>
  <c r="Y2" i="1"/>
  <c r="Y10" i="1"/>
  <c r="Q9" i="1"/>
  <c r="R9" i="1"/>
  <c r="S9" i="1"/>
  <c r="T9" i="1"/>
  <c r="U9" i="1"/>
  <c r="V9" i="1"/>
  <c r="W9" i="1"/>
  <c r="P9" i="1"/>
  <c r="Y9" i="1"/>
  <c r="Y12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W4" i="1"/>
  <c r="V4" i="1"/>
  <c r="U4" i="1"/>
  <c r="T4" i="1"/>
  <c r="S4" i="1"/>
  <c r="R4" i="1"/>
  <c r="Q4" i="1"/>
  <c r="P4" i="1"/>
  <c r="V3" i="1"/>
  <c r="U3" i="1"/>
  <c r="T3" i="1"/>
  <c r="S3" i="1"/>
  <c r="Q3" i="1"/>
  <c r="R3" i="1"/>
  <c r="P3" i="1"/>
  <c r="P13" i="1" l="1"/>
  <c r="P16" i="1" s="1"/>
  <c r="O22" i="1"/>
  <c r="Q13" i="1"/>
  <c r="Q14" i="1" s="1"/>
  <c r="R13" i="1"/>
  <c r="S13" i="1"/>
  <c r="S14" i="1" s="1"/>
  <c r="T13" i="1"/>
  <c r="T14" i="1" s="1"/>
  <c r="U13" i="1"/>
  <c r="V13" i="1"/>
  <c r="W13" i="1"/>
  <c r="P14" i="1" l="1"/>
  <c r="P15" i="1"/>
  <c r="V15" i="1"/>
  <c r="V16" i="1"/>
  <c r="W15" i="1"/>
  <c r="W16" i="1"/>
  <c r="U15" i="1"/>
  <c r="U16" i="1"/>
  <c r="Q16" i="1"/>
  <c r="Q15" i="1"/>
  <c r="R16" i="1"/>
  <c r="R15" i="1"/>
  <c r="S15" i="1"/>
  <c r="S16" i="1"/>
  <c r="T16" i="1"/>
  <c r="T15" i="1"/>
  <c r="V14" i="1"/>
  <c r="W14" i="1"/>
  <c r="U14" i="1"/>
  <c r="R14" i="1"/>
  <c r="W2" i="1" l="1"/>
  <c r="V2" i="1"/>
  <c r="U2" i="1"/>
  <c r="T2" i="1"/>
  <c r="S2" i="1"/>
  <c r="R2" i="1"/>
  <c r="Q2" i="1"/>
  <c r="Y11" i="1"/>
  <c r="Y8" i="1"/>
  <c r="Y7" i="1"/>
  <c r="Y6" i="1"/>
  <c r="Y5" i="1"/>
  <c r="Y4" i="1"/>
  <c r="Y3" i="1"/>
  <c r="P2" i="1"/>
  <c r="L19" i="1"/>
  <c r="M18" i="1"/>
  <c r="Q21" i="1" l="1"/>
  <c r="Q22" i="1"/>
  <c r="P21" i="1"/>
  <c r="P22" i="1"/>
  <c r="Y13" i="1"/>
  <c r="M19" i="1"/>
  <c r="R21" i="1" l="1"/>
  <c r="S21" i="1" s="1"/>
  <c r="R22" i="1"/>
  <c r="S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<sst xmlns="http://schemas.openxmlformats.org/spreadsheetml/2006/main" count="165" uniqueCount="62">
  <si>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</si>
  <si>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</si>
  <si>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</si>
  <si>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</si>
  <si>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</si>
  <si>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</si>
  <si>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</si>
  <si>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</si>
  <si>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</si>
  <si>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</si>
  <si>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</si>
  <si>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</si>
  <si>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</si>
  <si>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</si>
  <si>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</si>
  <si>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</si>
  <si>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</si>
  <si>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</si>
  <si>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</si>
  <si>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</si>
  <si>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</si>
  <si>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</si>
  <si>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</si>
  <si>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</si>
  <si>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</si>
  <si>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</si>
  <si>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</si>
  <si>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</si>
  <si>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</si>
  <si>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</si>
  <si>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</si>
  <si>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</si>
  <si>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</si>
  <si>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</si>
  <si>
    <t>SOLD</t>
  </si>
  <si>
    <t>Total $</t>
  </si>
  <si>
    <t>$ / Seat</t>
  </si>
  <si>
    <t>$ / Used Seat</t>
  </si>
  <si>
    <t>Value Used</t>
  </si>
  <si>
    <t>Robert</t>
  </si>
  <si>
    <t>Hayley</t>
  </si>
  <si>
    <t>Column1</t>
  </si>
  <si>
    <t>All</t>
  </si>
  <si>
    <t>Empty</t>
  </si>
  <si>
    <t>% Sold</t>
  </si>
  <si>
    <t>% Used</t>
  </si>
  <si>
    <t>Total Seats</t>
  </si>
  <si>
    <t>Total Seats Unused</t>
  </si>
  <si>
    <t>Total Seats Available</t>
  </si>
  <si>
    <t>Total Games</t>
  </si>
  <si>
    <t>Total Seats Sold</t>
  </si>
  <si>
    <t>% Viewed</t>
  </si>
  <si>
    <t>Used by Us</t>
  </si>
  <si>
    <t>Used by All</t>
  </si>
  <si>
    <t>Value Returned</t>
  </si>
  <si>
    <t>Sell Price</t>
  </si>
  <si>
    <t>Value To Me</t>
  </si>
  <si>
    <t>Games</t>
  </si>
  <si>
    <t>Teams</t>
  </si>
  <si>
    <t>Value Lost</t>
  </si>
  <si>
    <t>Kyle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</si>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</sst>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3" fillId="5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8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49" fontId="0" fillId="7" borderId="2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9" borderId="0" xfId="0" applyNumberFormat="1" applyFill="1" applyAlignment="1">
      <alignment horizontal="center"/>
    </xf>
  </cellXfs>
  <cellStyles count="1">
    <cellStyle name="Normal" xfId="0" builtinId="0"/>
  </cellStyles>
  <dxfs count="45">
    <dxf>
      <font>
        <b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393"/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9" totalsRowCount="1" dataDxfId="44">
  <autoFilter ref="A1:M18" xr:uid="{00000000-0009-0000-0100-000001000000}"/>
  <tableColumns count="13">
    <tableColumn id="1" xr3:uid="{00000000-0010-0000-0000-000001000000}" name="WkDay" dataDxfId="43" totalsRowDxfId="16"/>
    <tableColumn id="2" xr3:uid="{00000000-0010-0000-0000-000002000000}" name="Month" dataDxfId="42" totalsRowDxfId="15"/>
    <tableColumn id="3" xr3:uid="{00000000-0010-0000-0000-000003000000}" name="Day" dataDxfId="41" totalsRowDxfId="14"/>
    <tableColumn id="4" xr3:uid="{00000000-0010-0000-0000-000004000000}" name="Year" dataDxfId="40" totalsRowDxfId="13"/>
    <tableColumn id="5" xr3:uid="{00000000-0010-0000-0000-000005000000}" name="Time" dataDxfId="3" totalsRowDxfId="12"/>
    <tableColumn id="6" xr3:uid="{00000000-0010-0000-0000-000006000000}" name="Home" dataDxfId="2" totalsRowDxfId="11"/>
    <tableColumn id="7" xr3:uid="{00000000-0010-0000-0000-000007000000}" name="Away" dataDxfId="0" totalsRowDxfId="10"/>
    <tableColumn id="13" xr3:uid="{00000000-0010-0000-0000-00000D000000}" name="Column1" dataDxfId="1" totalsRowDxfId="9"/>
    <tableColumn id="8" xr3:uid="{00000000-0010-0000-0000-000008000000}" name="1" dataDxfId="39" totalsRowDxfId="8"/>
    <tableColumn id="9" xr3:uid="{00000000-0010-0000-0000-000009000000}" name="2" dataDxfId="38" totalsRowDxfId="7"/>
    <tableColumn id="10" xr3:uid="{00000000-0010-0000-0000-00000A000000}" name="3" dataDxfId="37" totalsRowDxfId="6"/>
    <tableColumn id="11" xr3:uid="{00000000-0010-0000-0000-00000B000000}" name="4" totalsRowFunction="custom" dataDxfId="36" totalsRowDxfId="5">
      <totalsRowFormula>COUNTA(I2:K18)</totalsRowFormula>
    </tableColumn>
    <tableColumn id="12" xr3:uid="{00000000-0010-0000-0000-00000C000000}" name="5" totalsRowFunction="custom" dataDxfId="35" totalsRowDxfId="4">
      <totalsRowFormula>Table1[[#Totals],[4]]/M18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B1" zoomScaleNormal="100" workbookViewId="0">
      <selection activeCell="U23" sqref="U23"/>
    </sheetView>
  </sheetViews>
  <sheetFormatPr defaultRowHeight="15.95" customHeight="1" x14ac:dyDescent="0.25"/>
  <cols>
    <col min="1" max="1" width="9.5703125" bestFit="1" customWidth="1"/>
    <col min="2" max="2" width="9.28515625" bestFit="1" customWidth="1"/>
    <col min="3" max="3" width="6.5703125" bestFit="1" customWidth="1"/>
    <col min="4" max="4" width="7.28515625" bestFit="1" customWidth="1"/>
    <col min="5" max="5" width="7.7109375" bestFit="1" customWidth="1"/>
    <col min="6" max="7" width="13.140625" bestFit="1" customWidth="1"/>
    <col min="8" max="8" width="11.140625" hidden="1" customWidth="1"/>
    <col min="9" max="9" width="6.140625" bestFit="1" customWidth="1"/>
    <col min="10" max="11" width="7" bestFit="1" customWidth="1"/>
    <col min="12" max="12" width="4.28515625" bestFit="1" customWidth="1"/>
    <col min="13" max="13" width="12" bestFit="1" customWidth="1"/>
    <col min="14" max="14" width="5.42578125" customWidth="1"/>
    <col min="15" max="15" width="10.5703125" bestFit="1" customWidth="1"/>
    <col min="16" max="16" width="8.140625" bestFit="1" customWidth="1"/>
    <col min="17" max="17" width="12.5703125" customWidth="1"/>
    <col min="18" max="18" width="11.42578125" customWidth="1"/>
    <col min="19" max="20" width="15" bestFit="1" customWidth="1"/>
    <col min="21" max="21" width="13.140625" bestFit="1" customWidth="1"/>
    <col min="22" max="22" width="12.140625" bestFit="1" customWidth="1"/>
    <col min="23" max="23" width="8.140625" customWidth="1"/>
    <col min="24" max="24" width="9" bestFit="1" customWidth="1"/>
    <col min="25" max="25" width="5.85546875" customWidth="1"/>
    <col min="26" max="26" width="9.140625" customWidth="1"/>
  </cols>
  <sheetData>
    <row r="1" spans="1:26" ht="15.95" customHeigh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41</v>
      </c>
      <c r="I1" t="s">
        <v>22</v>
      </c>
      <c r="J1" t="s">
        <v>23</v>
      </c>
      <c r="K1" t="s">
        <v>24</v>
      </c>
      <c r="L1" t="s">
        <v>30</v>
      </c>
      <c r="M1" t="s">
        <v>31</v>
      </c>
      <c r="O1" s="11" t="s">
        <v>58</v>
      </c>
      <c r="P1" s="14" t="s">
        <v>20</v>
      </c>
      <c r="Q1" s="14" t="s">
        <v>33</v>
      </c>
      <c r="R1" s="14" t="s">
        <v>2</v>
      </c>
      <c r="S1" s="14" t="s">
        <v>7</v>
      </c>
      <c r="T1" s="15" t="s">
        <v>21</v>
      </c>
      <c r="U1" s="15" t="s">
        <v>4</v>
      </c>
      <c r="V1" s="15" t="s">
        <v>3</v>
      </c>
      <c r="W1" s="14" t="s">
        <v>5</v>
      </c>
      <c r="X1" s="18" t="s">
        <v>61</v>
      </c>
      <c r="Y1" s="16" t="s">
        <v>42</v>
      </c>
    </row>
    <row r="2" spans="1:26" ht="15.95" customHeight="1" x14ac:dyDescent="0.25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19" t="s">
        <v>20</v>
      </c>
      <c r="G2" s="19" t="s">
        <v>33</v>
      </c>
      <c r="H2" s="4"/>
      <c r="I2" s="5" t="s">
        <v>25</v>
      </c>
      <c r="J2" s="5" t="s">
        <v>27</v>
      </c>
      <c r="K2" s="6"/>
      <c r="L2" s="1"/>
      <c r="M2" s="1"/>
      <c r="O2" s="11" t="s">
        <v>57</v>
      </c>
      <c r="P2" s="8">
        <f>COUNTIF(F2:G18, "Canada")</f>
        <v>4</v>
      </c>
      <c r="Q2" s="8">
        <f>COUNTIF(F2:G18, "USports")</f>
        <v>2</v>
      </c>
      <c r="R2" s="8">
        <f>COUNTIF(F2:G18, "Switzerland")</f>
        <v>5</v>
      </c>
      <c r="S2" s="8">
        <f>COUNTIF(F2:G18, "Slovakia")</f>
        <v>5</v>
      </c>
      <c r="T2" s="8">
        <f>COUNTIF(F2:G18, "Sweden")</f>
        <v>2</v>
      </c>
      <c r="U2" s="8">
        <f>COUNTIF(F2:G18, "United States")</f>
        <v>6</v>
      </c>
      <c r="V2" s="8">
        <f>COUNTIF(F2:G18, "Finland")</f>
        <v>5</v>
      </c>
      <c r="W2" s="8">
        <f>COUNTIF(F2:G18, "Latvia")</f>
        <v>4</v>
      </c>
      <c r="X2" s="20">
        <f>COUNTIF(F2:G18, "Germany")</f>
        <v>1</v>
      </c>
      <c r="Y2" s="12">
        <f>SUM(P2:X2) / 2</f>
        <v>17</v>
      </c>
      <c r="Z2" t="s">
        <v>49</v>
      </c>
    </row>
    <row r="3" spans="1:26" ht="15.95" customHeight="1" x14ac:dyDescent="0.25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19" t="s">
        <v>20</v>
      </c>
      <c r="G3" s="19" t="s">
        <v>33</v>
      </c>
      <c r="H3" s="4"/>
      <c r="I3" s="6"/>
      <c r="J3" s="6"/>
      <c r="K3" s="6"/>
      <c r="L3" s="1"/>
      <c r="M3" s="1"/>
      <c r="O3" s="11" t="s">
        <v>25</v>
      </c>
      <c r="P3" s="9">
        <f>(COUNTIFS(F2:F18, "Canada", I2:I18, "Avery") + COUNTIFS(F2:F18, "Canada", J2:J18, "Avery") + COUNTIFS(F2:F18, "Canada", K2:K18, "Avery")) + (COUNTIFS(G2:G18, "Canada", I2:I18, "Avery") + COUNTIFS(G2:G18, "Canada", J2:J18, "Avery") + COUNTIFS(G2:G18, "Canada", K2:K18, "Avery"))</f>
        <v>3</v>
      </c>
      <c r="Q3" s="9">
        <f>(COUNTIFS(F2:F18, "USports", I2:I18, "Avery") + COUNTIFS(F2:F18, "USports", J2:J18, "Avery") + COUNTIFS(F2:F18, "USports", K2:K18, "Avery")) + (COUNTIFS(G2:G18, "USports", I2:I18, "Avery") + COUNTIFS(G2:G18, "USports", J2:J18, "Avery") + COUNTIFS(G2:G18, "USports", K2:K18, "Avery"))</f>
        <v>1</v>
      </c>
      <c r="R3" s="9">
        <f>(COUNTIFS(F2:F18, "Switzerland", I2:I18, "Avery") + COUNTIFS(F2:F18, "Switzerland", J2:J18, "Avery") + COUNTIFS(F2:F18, "Switzerland", K2:K18, "Avery")) + (COUNTIFS(G2:G18, "Switzerland", I2:I18, "Avery") + COUNTIFS(G2:G18, "Switzerland", J2:J18, "Avery") + COUNTIFS(G2:G18, "Switzerland", K2:K18, "Avery"))</f>
        <v>5</v>
      </c>
      <c r="S3" s="9">
        <f>(COUNTIFS(F2:F18, "Slovakia", I2:I18, "Avery") + COUNTIFS(F2:F18, "Slovakia", J2:J18, "Avery") + COUNTIFS(F2:F18, "Slovakia", K2:K18, "Avery")) + (COUNTIFS(G2:G18, "Slovakia", I2:I18, "Avery") + COUNTIFS(G2:G18, "Slovakia", J2:J18, "Avery") + COUNTIFS(G2:G18, "Slovakia", K2:K18, "Avery"))</f>
        <v>4</v>
      </c>
      <c r="T3" s="9">
        <f>(COUNTIFS(F2:F18, "Sweden", I2:I18, "Avery") + COUNTIFS(F2:F18, "Sweden", J2:J18, "Avery") + COUNTIFS(F2:F18, "Sweden", K2:K18, "Avery")) + (COUNTIFS(G2:G18, "Sweden", I2:I18, "Avery") + COUNTIFS(G2:G18, "Sweden", J2:J18, "Avery") + COUNTIFS(G2:G18, "Sweden", K2:K18, "Avery"))</f>
        <v>1</v>
      </c>
      <c r="U3" s="9">
        <f>(COUNTIFS(F2:F18, "United States", I2:I18, "Avery") + COUNTIFS(F2:F18, "United States", J2:J18, "Avery") + COUNTIFS(F2:F18, "United States", K2:K18, "Avery")) + (COUNTIFS(G2:G18, "United States", I2:I18, "Avery") + COUNTIFS(G2:G18, "United States", J2:J18, "Avery") + COUNTIFS(G2:G18, "United States", K2:K18, "Avery"))</f>
        <v>3</v>
      </c>
      <c r="V3" s="9">
        <f>(COUNTIFS(F2:F18, "Finland", I2:I18, "Avery") + COUNTIFS(F2:F18, "Finland", J2:J18, "Avery") + COUNTIFS(F2:F18, "Finland", K2:K18, "Avery")) + (COUNTIFS(G2:G18, "Finland", I2:I18, "Avery") + COUNTIFS(G2:G18, "Finland", J2:J18, "Avery") + COUNTIFS(G2:G18, "Finland", K2:K18, "Avery"))</f>
        <v>4</v>
      </c>
      <c r="W3" s="9">
        <f>(COUNTIFS(F2:F18, "Latvia", I2:I18, "Avery") + COUNTIFS(F2:F18, "Latvia", J2:J18, "Avery") + COUNTIFS(F2:F18, "Latvia", K2:K18, "Avery")) + (COUNTIFS(G2:G18, "Latvia", I2:I18, "Avery") + COUNTIFS(G2:G18, "Latvia", J2:J18, "Avery") + COUNTIFS(G2:G18, "Latvia", K2:K18, "Avery"))</f>
        <v>4</v>
      </c>
      <c r="X3" s="21">
        <f>(COUNTIFS(F2:F18, "Germany", I2:I18, "Avery") + COUNTIFS(F2:F18, "Germany", J2:J18, "Avery") + COUNTIFS(F2:F18, "Germany", K2:K18, "Avery")) + (COUNTIFS(G2:G18, "Germany", I2:I18, "Avery") + COUNTIFS(G2:G18, "Germany", J2:J18, "Avery") + COUNTIFS(G2:G18, "Germany", K2:K18, "Avery"))</f>
        <v>1</v>
      </c>
      <c r="Y3" s="8">
        <f>COUNTIF(I2:K18, "Avery")</f>
        <v>13</v>
      </c>
    </row>
    <row r="4" spans="1:26" ht="15.95" customHeight="1" x14ac:dyDescent="0.25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19" t="s">
        <v>2</v>
      </c>
      <c r="G4" s="19" t="s">
        <v>20</v>
      </c>
      <c r="H4" s="4"/>
      <c r="I4" s="5" t="s">
        <v>25</v>
      </c>
      <c r="J4" s="5" t="s">
        <v>27</v>
      </c>
      <c r="K4" s="5" t="s">
        <v>40</v>
      </c>
      <c r="L4" s="1"/>
      <c r="M4" s="1"/>
      <c r="O4" s="11" t="s">
        <v>27</v>
      </c>
      <c r="P4" s="9">
        <f>(COUNTIFS(F2:F18, "Canada", I2:I18, "Emily") + COUNTIFS(F2:F18, "Canada", J2:J18, "Emily") + COUNTIFS(F2:F18, "Canada", K2:K18, "Emily")) + (COUNTIFS(G2:G18, "Canada", I2:I18, "Emily") + COUNTIFS(G2:G18, "Canada", J2:J18, "Emily") + COUNTIFS(G2:G18, "Canada", K2:K18, "Emily"))</f>
        <v>3</v>
      </c>
      <c r="Q4" s="9">
        <f>(COUNTIFS(F2:F18, "USports", I2:I18, "Emily") + COUNTIFS(F2:F18, "USports", J2:J18, "Emily") + COUNTIFS(F2:F18, "USports", K2:K18, "Emily")) + (COUNTIFS(G2:G18, "USports", I2:I18, "Emily") + COUNTIFS(G2:G18, "USports", J2:J18, "Emily") + COUNTIFS(G2:G18, "USports", K2:K18, "Emily"))</f>
        <v>1</v>
      </c>
      <c r="R4" s="9">
        <f>(COUNTIFS(F2:F18, "Switzerland", I2:I18, "Emily") + COUNTIFS(F2:F18, "Switzerland", J2:J18, "Emily") + COUNTIFS(F2:F18, "Switzerland", K2:K18, "Emily")) + (COUNTIFS(G2:G18, "Switzerland", I2:I18, "Emily") + COUNTIFS(G2:G18, "Switzerland", J2:J18, "Emily") + COUNTIFS(G2:G18, "Switzerland", K2:K18, "Emily"))</f>
        <v>3</v>
      </c>
      <c r="S4" s="9">
        <f>(COUNTIFS(F2:F18, "Slovakia", I2:I18, "Emily") + COUNTIFS(F2:F18, "Slovakia", J2:J18, "Emily") + COUNTIFS(F2:F18, "Slovakia", K2:K18, "Emily")) + (COUNTIFS(G2:G18, "Slovakia", I2:I18, "Emily") + COUNTIFS(G2:G18, "Slovakia", J2:J18, "Emily") + COUNTIFS(G2:G18, "Slovakia", K2:K18, "Emily"))</f>
        <v>3</v>
      </c>
      <c r="T4" s="9">
        <f>(COUNTIFS(F2:F18, "Sweden", I2:I18, "Emily") + COUNTIFS(F2:F18, "Sweden", J2:J18, "Emily") + COUNTIFS(F2:F18, "Sweden", K2:K18, "Emily")) + (COUNTIFS(G2:G18, "Sweden", I2:I18, "Emily") + COUNTIFS(G2:G18, "Sweden", J2:J18, "Emily") + COUNTIFS(G2:G18, "Sweden", K2:K18, "Emily"))</f>
        <v>0</v>
      </c>
      <c r="U4" s="9">
        <f>(COUNTIFS(F2:F18, "United States", I2:I18, "Emily") + COUNTIFS(F2:F18, "United States", J2:J18, "Emily") + COUNTIFS(F2:F18, "United States", K2:K18, "Emily")) + (COUNTIFS(G2:G18, "United States", I2:I18, "Emily") + COUNTIFS(G2:G18, "United States", J2:J18, "Emily") + COUNTIFS(G2:G18, "United States", K2:K18, "Emily"))</f>
        <v>1</v>
      </c>
      <c r="V4" s="9">
        <f>(COUNTIFS(F2:F18, "Finland", I2:I18, "Emily") + COUNTIFS(F2:F18, "Finland", J2:J18, "Emily") + COUNTIFS(F2:F18, "Finland", K2:K18, "Emily")) + (COUNTIFS(G2:G18, "Finland", I2:I18, "Emily") + COUNTIFS(G2:G18, "Finland", J2:J18, "Emily") + COUNTIFS(G2:G18, "Finland", K2:K18, "Emily"))</f>
        <v>1</v>
      </c>
      <c r="W4" s="9">
        <f>(COUNTIFS(F2:F18, "Latvia", I2:I18, "Emily") + COUNTIFS(F2:F18, "Latvia", J2:J18, "Emily") + COUNTIFS(F2:F18, "Latvia", K2:K18, "Emily")) + (COUNTIFS(G2:G18, "Latvia", I2:I18, "Emily") + COUNTIFS(G2:G18, "Latvia", J2:J18, "Emily") + COUNTIFS(G2:G18, "Latvia", K2:K18, "Emily"))</f>
        <v>2</v>
      </c>
      <c r="X4" s="21">
        <f>(COUNTIFS(F2:F18, "Germany", I2:I18, "Emily") + COUNTIFS(F2:F18, "Germany", J2:J18, "Emily") + COUNTIFS(F2:F18, "Germany", K2:K18, "Emily")) + (COUNTIFS(G2:G18, "Germany", I2:I18, "Emily") + COUNTIFS(G2:G18, "Germany", J2:J18, "Emily") + COUNTIFS(G2:G18, "Germany", K2:K18, "Emily"))</f>
        <v>0</v>
      </c>
      <c r="Y4" s="8">
        <f>COUNTIF(I2:K18, "Emily")</f>
        <v>7</v>
      </c>
    </row>
    <row r="5" spans="1:26" ht="15.95" customHeight="1" x14ac:dyDescent="0.25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19" t="s">
        <v>4</v>
      </c>
      <c r="G5" s="19" t="s">
        <v>21</v>
      </c>
      <c r="H5" s="4"/>
      <c r="I5" s="22" t="s">
        <v>34</v>
      </c>
      <c r="J5" s="22" t="s">
        <v>34</v>
      </c>
      <c r="K5" s="6"/>
      <c r="L5" s="1"/>
      <c r="M5" s="1"/>
      <c r="O5" s="11" t="s">
        <v>26</v>
      </c>
      <c r="P5" s="9">
        <f>(COUNTIFS(F2:F18, "Canada", I2:I18, "Mom") + COUNTIFS(F2:F18, "Canada", J2:J18, "Mom") + COUNTIFS(F2:F18, "Canada", K2:K18, "Mom")) + (COUNTIFS(G2:G18, "Canada", I2:I18, "Mom") + COUNTIFS(G2:G18, "Canada", J2:J18, "Mom") + COUNTIFS(G2:G18, "Canada", K2:K18, "Mom"))</f>
        <v>1</v>
      </c>
      <c r="Q5" s="9">
        <f>(COUNTIFS(F2:F18, "USports", I2:I18, "Mom") + COUNTIFS(F2:F18, "USports", J2:J18, "Mom") + COUNTIFS(F2:F18, "USports", K2:K18, "Mom")) + (COUNTIFS(G2:G18, "USports", I2:I18, "Mom") + COUNTIFS(G2:G18, "USports", J2:J18, "Mom") + COUNTIFS(G2:G18, "USports", K2:K18, "Mom"))</f>
        <v>0</v>
      </c>
      <c r="R5" s="9">
        <f>(COUNTIFS(F2:F18, "Switzerland", I2:I18, "Mom") + COUNTIFS(F2:F18, "Switzerland", J2:J18, "Mom") + COUNTIFS(F2:F18, "Switzerland", K2:K18, "Mom")) + (COUNTIFS(G2:G18, "Switzerland", I2:I18, "Mom") + COUNTIFS(G2:G18, "Switzerland", J2:J18, "Mom") + COUNTIFS(G2:G18, "Switzerland", K2:K18, "Mom"))</f>
        <v>2</v>
      </c>
      <c r="S5" s="9">
        <f>(COUNTIFS(F2:F18, "Slovakia", I2:I18, "Mom") + COUNTIFS(F2:F18, "Slovakia", J2:J18, "Mom") + COUNTIFS(F2:F18, "Slovakia", K2:K18, "Mom")) + (COUNTIFS(G2:G18, "Slovakia", I2:I18, "Mom") + COUNTIFS(G2:G18, "Slovakia", J2:J18, "Mom") + COUNTIFS(G2:G18, "Slovakia", K2:K18, "Mom"))</f>
        <v>3</v>
      </c>
      <c r="T5" s="9">
        <f>(COUNTIFS(F2:F18, "Sweden", I2:I18, "Mom") + COUNTIFS(F2:F18, "Sweden", J2:J18, "Mom") + COUNTIFS(F2:F18, "Sweden", K2:K18, "Mom")) + (COUNTIFS(G2:G18, "Sweden", I2:I18, "Mom") + COUNTIFS(G2:G18, "Sweden", J2:J18, "Mom") + COUNTIFS(G2:G18, "Sweden", K2:K18, "Mom"))</f>
        <v>0</v>
      </c>
      <c r="U5" s="9">
        <f>(COUNTIFS(F2:F18, "United States", I2:I18, "Mom") + COUNTIFS(F2:F18, "United States", J2:J18, "Mom") + COUNTIFS(F2:F18, "United States", K2:K18, "Mom")) + (COUNTIFS(G2:G18, "United States", I2:I18, "Mom") + COUNTIFS(G2:G18, "United States", J2:J18, "Mom") + COUNTIFS(G2:G18, "United States", K2:K18, "Mom"))</f>
        <v>1</v>
      </c>
      <c r="V5" s="9">
        <f>(COUNTIFS(F2:F18, "Finland", I2:I18, "Mom") + COUNTIFS(F2:F18, "Finland", J2:J18, "Mom") + COUNTIFS(F2:F18, "Finland", K2:K18, "Mom")) + (COUNTIFS(G2:G18, "Finland", I2:I18, "Mom") + COUNTIFS(G2:G18, "Finland", J2:J18, "Mom") + COUNTIFS(G2:G18, "Finland", K2:K18, "Mom"))</f>
        <v>1</v>
      </c>
      <c r="W5" s="9">
        <f>(COUNTIFS(F2:F18, "Latvia", I2:I18, "Mom") + COUNTIFS(F2:F18, "Latvia", J2:J18, "Mom") + COUNTIFS(F2:F18, "Latvia", K2:K18, "Mom")) + (COUNTIFS(G2:G18, "Latvia", I2:I18, "Mom") + COUNTIFS(G2:G18, "Latvia", J2:J18, "Mom") + COUNTIFS(G2:G18, "Latvia", K2:K18, "Mom"))</f>
        <v>2</v>
      </c>
      <c r="X5" s="21">
        <f>(COUNTIFS(F2:F18, "Germany", I2:I18, "Mom") + COUNTIFS(F2:F18, "Germany", J2:J18, "Mom") + COUNTIFS(F2:F18, "Germany", K2:K18, "Mom")) + (COUNTIFS(G2:G18, "Germany", I2:I18, "Mom") + COUNTIFS(G2:G18, "Germany", J2:J18, "Mom") + COUNTIFS(G2:G18, "Germany", K2:K18, "Mom"))</f>
        <v>0</v>
      </c>
      <c r="Y5" s="8">
        <f>COUNTIF(I2:K18, "Mom")</f>
        <v>5</v>
      </c>
    </row>
    <row r="6" spans="1:26" ht="15.95" customHeight="1" x14ac:dyDescent="0.25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19" t="s">
        <v>7</v>
      </c>
      <c r="G6" s="19" t="s">
        <v>20</v>
      </c>
      <c r="H6" s="4"/>
      <c r="I6" s="5" t="s">
        <v>25</v>
      </c>
      <c r="J6" s="5" t="s">
        <v>26</v>
      </c>
      <c r="K6" s="5" t="s">
        <v>27</v>
      </c>
      <c r="L6" s="1"/>
      <c r="M6" s="1"/>
      <c r="O6" s="11" t="s">
        <v>28</v>
      </c>
      <c r="P6" s="9">
        <f>(COUNTIFS(F2:F18, "Canada", I2:I18, "Patrick") + COUNTIFS(F2:F18, "Canada", J2:J18, "Patrick") + COUNTIFS(F2:F18, "Canada", K2:K18, "Patrick")) + (COUNTIFS(G2:G18, "Canada", I2:I18, "Patrick") + COUNTIFS(G2:G18, "Canada", J2:J18, "Patrick") + COUNTIFS(G2:G18, "Canada", K2:K18, "Patrick"))</f>
        <v>0</v>
      </c>
      <c r="Q6" s="9">
        <f>(COUNTIFS(F2:F18, "USports", I2:I18, "Patrick") + COUNTIFS(F2:F18, "USports", J2:J18, "Patrick") + COUNTIFS(F2:F18, "USports", K2:K18, "Patrick")) + (COUNTIFS(G2:G18, "USports", I2:I18, "Patrick") + COUNTIFS(G2:G18, "USports", J2:J18, "Patrick") + COUNTIFS(G2:G18, "USports", K2:K18, "Patrick"))</f>
        <v>0</v>
      </c>
      <c r="R6" s="9">
        <f>(COUNTIFS(F2:F18, "Switzerland", I2:I18, "Patrick") + COUNTIFS(F2:F18, "Switzerland", J2:J18, "Patrick") + COUNTIFS(F2:F18, "Switzerland", K2:K18, "Patrick")) + (COUNTIFS(G2:G18, "Switzerland", I2:I18, "Patrick") + COUNTIFS(G2:G18, "Switzerland", J2:J18, "Patrick") + COUNTIFS(G2:G18, "Switzerland", K2:K18, "Patrick"))</f>
        <v>2</v>
      </c>
      <c r="S6" s="9">
        <f>(COUNTIFS(F2:F18, "Slovakia", I2:I18, "Patrick") + COUNTIFS(F2:F18, "Slovakia", J2:J18, "Patrick") + COUNTIFS(F2:F18, "Slovakia", K2:K18, "Patrick")) + (COUNTIFS(G2:G18, "Slovakia", I2:I18, "Patrick") + COUNTIFS(G2:G18, "Slovakia", J2:J18, "Patrick") + COUNTIFS(G2:G18, "Slovakia", K2:K18, "Patrick"))</f>
        <v>1</v>
      </c>
      <c r="T6" s="9">
        <f>(COUNTIFS(F2:F18, "Sweden", I2:I18, "Patrick") + COUNTIFS(F2:F18, "Sweden", J2:J18, "Patrick") + COUNTIFS(F2:F18, "Sweden", K2:K18, "Patrick")) + (COUNTIFS(G2:G18, "Sweden", I2:I18, "Patrick") + COUNTIFS(G2:G18, "Sweden", J2:J18, "Patrick") + COUNTIFS(G2:G18, "Sweden", K2:K18, "Patrick"))</f>
        <v>0</v>
      </c>
      <c r="U6" s="9">
        <f>(COUNTIFS(F2:F18, "United States", I2:I18, "Patrick") + COUNTIFS(F2:F18, "United States", J2:J18, "Patrick") + COUNTIFS(F2:F18, "United States", K2:K18, "Patrick")) + (COUNTIFS(G2:G18, "United States", I2:I18, "Patrick") + COUNTIFS(G2:G18, "United States", J2:J18, "Patrick") + COUNTIFS(G2:G18, "United States", K2:K18, "Patrick"))</f>
        <v>1</v>
      </c>
      <c r="V6" s="9">
        <f>(COUNTIFS(F2:F18, "Finland", I2:I18, "Patrick") + COUNTIFS(F2:F18, "Finland", J2:J18, "Patrick") + COUNTIFS(F2:F18, "Finland", K2:K18, "Patrick")) + (COUNTIFS(G2:G18, "Finland", I2:I18, "Patrick") + COUNTIFS(G2:G18, "Finland", J2:J18, "Patrick") + COUNTIFS(G2:G18, "Finland", K2:K18, "Patrick"))</f>
        <v>2</v>
      </c>
      <c r="W6" s="9">
        <f>(COUNTIFS(F2:F18, "Latvia", I2:I18, "Patrick") + COUNTIFS(F2:F18, "Latvia", J2:J18, "Patrick") + COUNTIFS(F2:F18, "Latvia", K2:K18, "Patrick")) + (COUNTIFS(G2:G18, "Latvia", I2:I18, "Patrick") + COUNTIFS(G2:G18, "Latvia", J2:J18, "Patrick") + COUNTIFS(G2:G18, "Latvia", K2:K18, "Patrick"))</f>
        <v>2</v>
      </c>
      <c r="X6" s="21">
        <f>(COUNTIFS(F2:F18, "Germany", I2:I18, "Patrick") + COUNTIFS(F2:F18, "Germany", J2:J18, "Patrick") + COUNTIFS(F2:F18, "Germany", K2:K18, "Patrick")) + (COUNTIFS(G2:G18, "Germany", I2:I18, "Patrick") + COUNTIFS(G2:G18, "Germany", J2:J18, "Patrick") + COUNTIFS(G2:G18, "Germany", K2:K18, "Patrick"))</f>
        <v>0</v>
      </c>
      <c r="Y6" s="8">
        <f>COUNTIF(I2:K18, "Patrick")</f>
        <v>4</v>
      </c>
    </row>
    <row r="7" spans="1:26" ht="15.95" customHeight="1" x14ac:dyDescent="0.25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19" t="s">
        <v>2</v>
      </c>
      <c r="G7" s="19" t="s">
        <v>3</v>
      </c>
      <c r="H7" s="4"/>
      <c r="I7" s="5" t="s">
        <v>25</v>
      </c>
      <c r="J7" s="5" t="s">
        <v>28</v>
      </c>
      <c r="K7" s="6"/>
      <c r="L7" s="1"/>
      <c r="M7" s="1"/>
      <c r="O7" s="11" t="s">
        <v>39</v>
      </c>
      <c r="P7" s="9">
        <f>(COUNTIFS(F2:F18, "Canada", I2:I18, "Robert") + COUNTIFS(F2:F18, "Canada", J2:J18, "Robert") + COUNTIFS(F2:F18, "Canada", K2:K18, "Robert")) + (COUNTIFS(G2:G18, "Canada", I2:I18, "Robert") + COUNTIFS(G2:G18, "Canada", J2:J18, "Robert") + COUNTIFS(G2:G18, "Canada", K2:K18, "Robert"))</f>
        <v>0</v>
      </c>
      <c r="Q7" s="9">
        <f>(COUNTIFS(F2:F18, "USports", I2:I18, "Robert") + COUNTIFS(F2:F18, "USports", J2:J18, "Robert") + COUNTIFS(F2:F18, "USports", K2:K18, "Robert")) + (COUNTIFS(G2:G18, "USports", I2:I18, "Robert") + COUNTIFS(G2:G18, "USports", J2:J18, "Robert") + COUNTIFS(G2:G18, "USports", K2:K18, "Robert"))</f>
        <v>0</v>
      </c>
      <c r="R7" s="9">
        <f>(COUNTIFS(F2:F18, "Switzerland", I2:I18, "Robert") + COUNTIFS(F2:F18, "Switzerland", J2:J18, "Robert") + COUNTIFS(F2:F18, "Switzerland", K2:K18, "Robert")) + (COUNTIFS(G2:G18, "Switzerland", I2:I18, "Robert") + COUNTIFS(G2:G18, "Switzerland", J2:J18, "Robert") + COUNTIFS(G2:G18, "Switzerland", K2:K18, "Robert"))</f>
        <v>1</v>
      </c>
      <c r="S7" s="9">
        <f>(COUNTIFS(F2:F18, "Slovakia", I2:I18, "Robert") + COUNTIFS(F2:F18, "Slovakia", J2:J18, "Robert") + COUNTIFS(F2:F18, "Slovakia", K2:K18, "Robert")) + (COUNTIFS(G2:G18, "Slovakia", I2:I18, "Robert") + COUNTIFS(G2:G18, "Slovakia", J2:J18, "Robert") + COUNTIFS(G2:G18, "Slovakia", K2:K18, "Robert"))</f>
        <v>1</v>
      </c>
      <c r="T7" s="9">
        <f>(COUNTIFS(F2:F18, "Sweden", I2:I18, "Robert") + COUNTIFS(F2:F18, "Sweden", J2:J18, "Robert") + COUNTIFS(F2:F18, "Sweden", K2:K18, "Robert")) + (COUNTIFS(G2:G18, "Sweden", I2:I18, "Robert") + COUNTIFS(G2:G18, "Sweden", J2:J18, "Robert") + COUNTIFS(G2:G18, "Sweden", K2:K18, "Robert"))</f>
        <v>0</v>
      </c>
      <c r="U7" s="9">
        <f>(COUNTIFS(F2:F18, "United States", I2:I18, "Robert") + COUNTIFS(F2:F18, "United States", J2:J18, "Robert") + COUNTIFS(F2:F18, "United States", K2:K18, "Robert")) + (COUNTIFS(G2:G18, "United States", I2:I18, "Robert") + COUNTIFS(G2:G18, "United States", J2:J18, "Robert") + COUNTIFS(G2:G18, "United States", K2:K18, "Robert"))</f>
        <v>0</v>
      </c>
      <c r="V7" s="9">
        <f>(COUNTIFS(F2:F18, "Finland", I2:I18, "Robert") + COUNTIFS(F2:F18, "Finland", J2:J18, "Robert") + COUNTIFS(F2:F18, "Finland", K2:K18, "Robert")) + (COUNTIFS(G2:G18, "Finland", I2:I18, "Robert") + COUNTIFS(G2:G18, "Finland", J2:J18, "Robert") + COUNTIFS(G2:G18, "Finland", K2:K18, "Robert"))</f>
        <v>1</v>
      </c>
      <c r="W7" s="9">
        <f>(COUNTIFS(F2:F18, "Latvia", I2:I18, "Robert") + COUNTIFS(F2:F18, "Latvia", J2:J18, "Robert") + COUNTIFS(F2:F18, "Latvia", K2:K18, "Robert")) + (COUNTIFS(G2:G18, "Latvia", I2:I18, "Robert") + COUNTIFS(G2:G18, "Latvia", J2:J18, "Robert") + COUNTIFS(G2:G18, "Latvia", K2:K18, "Robert"))</f>
        <v>1</v>
      </c>
      <c r="X7" s="21">
        <f>(COUNTIFS(F2:F18, "Germany", I2:I18, "Robert") + COUNTIFS(F2:F18, "Germany", J2:J18, "Robert") + COUNTIFS(F2:F18, "Germany", K2:K18, "Robert")) + (COUNTIFS(G2:G18, "Germany", I2:I18, "Robert") + COUNTIFS(G2:G18, "Germany", J2:J18, "Robert") + COUNTIFS(G2:G18, "Germany", K2:K18, "Robert"))</f>
        <v>0</v>
      </c>
      <c r="Y7" s="8">
        <f>COUNTIF(I2:K18, "Robert")</f>
        <v>2</v>
      </c>
    </row>
    <row r="8" spans="1:26" ht="15.95" customHeight="1" x14ac:dyDescent="0.25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19" t="s">
        <v>4</v>
      </c>
      <c r="G8" s="19" t="s">
        <v>5</v>
      </c>
      <c r="H8" s="4"/>
      <c r="I8" s="5" t="s">
        <v>25</v>
      </c>
      <c r="J8" s="5" t="s">
        <v>28</v>
      </c>
      <c r="K8" s="6"/>
      <c r="L8" s="1"/>
      <c r="M8" s="1"/>
      <c r="O8" s="11" t="s">
        <v>29</v>
      </c>
      <c r="P8" s="9">
        <f>(COUNTIFS(F2:F18, "Canada", I2:I18, "Alex") + COUNTIFS(F2:F18, "Canada", J2:J18, "Alex") + COUNTIFS(F2:F18, "Canada", K2:K18, "Alex")) + (COUNTIFS(G2:G18, "Canada", I2:I18, "Alex") + COUNTIFS(G2:G18, "Canada", J2:J18, "Alex") + COUNTIFS(G2:G18, "Canada", K2:K18, "Alex"))</f>
        <v>0</v>
      </c>
      <c r="Q8" s="9">
        <f>(COUNTIFS(F2:F18, "USports", I2:I18, "Alex") + COUNTIFS(F2:F18, "USports", J2:J18, "Alex") + COUNTIFS(F2:F18, "USports", K2:K18, "Alex")) + (COUNTIFS(G2:G18, "USports", I2:I18, "Alex") + COUNTIFS(G2:G18, "USports", J2:J18, "Alex") + COUNTIFS(G2:G18, "USports", K2:K18, "Alex"))</f>
        <v>0</v>
      </c>
      <c r="R8" s="9">
        <f>(COUNTIFS(F2:F18, "Switzerland", I2:I18, "Alex") + COUNTIFS(F2:F18, "Switzerland", J2:J18, "Alex") + COUNTIFS(F2:F18, "Switzerland", K2:K18, "Alex")) + (COUNTIFS(G2:G18, "Switzerland", I2:I18, "Alex") + COUNTIFS(G2:G18, "Switzerland", J2:J18, "Alex") + COUNTIFS(G2:G18, "Switzerland", K2:K18, "Alex"))</f>
        <v>0</v>
      </c>
      <c r="S8" s="9">
        <f>(COUNTIFS(F2:F18, "Slovakia", I2:I18, "Alex") + COUNTIFS(F2:F18, "Slovakia", J2:J18, "Alex") + COUNTIFS(F2:F18, "Slovakia", K2:K18, "Alex")) + (COUNTIFS(G2:G18, "Slovakia", I2:I18, "Alex") + COUNTIFS(G2:G18, "Slovakia", J2:J18, "Alex") + COUNTIFS(G2:G18, "Slovakia", K2:K18, "Alex"))</f>
        <v>0</v>
      </c>
      <c r="T8" s="9">
        <f>(COUNTIFS(F2:F18, "Sweden", I2:I18, "Alex") + COUNTIFS(F2:F18, "Sweden", J2:J18, "Alex") + COUNTIFS(F2:F18, "Sweden", K2:K18, "Alex")) + (COUNTIFS(G2:G18, "Sweden", I2:I18, "Alex") + COUNTIFS(G2:G18, "Sweden", J2:J18, "Alex") + COUNTIFS(G2:G18, "Sweden", K2:K18, "Alex"))</f>
        <v>1</v>
      </c>
      <c r="U8" s="9">
        <f>(COUNTIFS(F2:F18, "United States", I2:I18, "Alex") + COUNTIFS(F2:F18, "United States", J2:J18, "Alex") + COUNTIFS(F2:F18, "United States", K2:K18, "Alex")) + (COUNTIFS(G2:G18, "United States", I2:I18, "Alex") + COUNTIFS(G2:G18, "United States", J2:J18, "Alex") + COUNTIFS(G2:G18, "United States", K2:K18, "Alex"))</f>
        <v>1</v>
      </c>
      <c r="V8" s="9">
        <f>(COUNTIFS(F2:F18, "Finland", I2:I18, "Alex") + COUNTIFS(F2:F18, "Finland", J2:J18, "Alex") + COUNTIFS(F2:F18, "Finland", K2:K18, "Alex")) + (COUNTIFS(G2:G18, "Finland", I2:I18, "Alex") + COUNTIFS(G2:G18, "Finland", J2:J18, "Alex") + COUNTIFS(G2:G18, "Finland", K2:K18, "Alex"))</f>
        <v>1</v>
      </c>
      <c r="W8" s="9">
        <f>(COUNTIFS(F2:F18, "Latvia", I2:I18, "Alex") + COUNTIFS(F2:F18, "Latvia", J2:J18, "Alex") + COUNTIFS(F2:F18, "Latvia", K2:K18, "Alex")) + (COUNTIFS(G2:G18, "Latvia", I2:I18, "Alex") + COUNTIFS(G2:G18, "Latvia", J2:J18, "Alex") + COUNTIFS(G2:G18, "Latvia", K2:K18, "Alex"))</f>
        <v>0</v>
      </c>
      <c r="X8" s="21">
        <f>(COUNTIFS(F2:F18, "Germany", I2:I18, "Alex") + COUNTIFS(F2:F18, "Germany", J2:J18, "Alex") + COUNTIFS(F2:F18, "Germany", K2:K18, "Alex")) + (COUNTIFS(G2:G18, "Germany", I2:I18, "Alex") + COUNTIFS(G2:G18, "Germany", J2:J18, "Alex") + COUNTIFS(G2:G18, "Germany", K2:K18, "Alex"))</f>
        <v>1</v>
      </c>
      <c r="Y8" s="8">
        <f>COUNTIF(I2:K18, "Alex")</f>
        <v>2</v>
      </c>
    </row>
    <row r="9" spans="1:26" ht="15.95" customHeight="1" x14ac:dyDescent="0.25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19" t="s">
        <v>7</v>
      </c>
      <c r="G9" s="19" t="s">
        <v>3</v>
      </c>
      <c r="H9" s="4"/>
      <c r="I9" s="5" t="s">
        <v>25</v>
      </c>
      <c r="J9" s="5" t="s">
        <v>28</v>
      </c>
      <c r="K9" s="5" t="s">
        <v>39</v>
      </c>
      <c r="L9" s="1"/>
      <c r="M9" s="1"/>
      <c r="O9" s="11" t="s">
        <v>40</v>
      </c>
      <c r="P9" s="1">
        <f>(COUNTIFS(F2:F18, "Canada", I2:I18, "Hayley") + COUNTIFS(F2:F18, "Canada", J2:J18, "Hayley") + COUNTIFS(F2:F18, "Canada", K2:K18, "Hayley")) + (COUNTIFS(G2:G18, "Canada", I2:I18, "Hayley") + COUNTIFS(G2:G18, "Canada", J2:J18, "Hayley") + COUNTIFS(G2:G18, "Canada", K2:K18, "Hayley"))</f>
        <v>1</v>
      </c>
      <c r="Q9" s="1">
        <f>(COUNTIFS(F2:F18, "USports", I2:I18, "Hayley") + COUNTIFS(F2:F18, "USports", J2:J18, "Hayley") + COUNTIFS(F2:F18, "USports", K2:K18, "Hayley")) + (COUNTIFS(G2:G18, "USports", I2:I18, "Hayley") + COUNTIFS(G2:G18, "USports", J2:J18, "Hayley") + COUNTIFS(G2:G18, "USports", K2:K18, "Hayley"))</f>
        <v>0</v>
      </c>
      <c r="R9" s="1">
        <f>(COUNTIFS(F2:F18, "Switzerland", I2:I18, "Hayley") + COUNTIFS(F2:F18, "Switzerland", J2:J18, "Hayley") + COUNTIFS(F2:F18, "Switzerland", K2:K18, "Hayley")) + (COUNTIFS(G2:G18, "Switzerland", I2:I18, "Hayley") + COUNTIFS(G2:G18, "Switzerland", J2:J18, "Hayley") + COUNTIFS(G2:G18, "Switzerland", K2:K18, "Hayley"))</f>
        <v>1</v>
      </c>
      <c r="S9" s="1">
        <f>(COUNTIFS(F2:F18, "Slovakia", I2:I18, "Hayley") + COUNTIFS(F2:F18, "Slovakia", J2:J18, "Hayley") + COUNTIFS(F2:F18, "Slovakia", K2:K18, "Hayley")) + (COUNTIFS(G2:G18, "Slovakia", I2:I18, "Hayley") + COUNTIFS(G2:G18, "Slovakia", J2:J18, "Hayley") + COUNTIFS(G2:G18, "Slovakia", K2:K18, "Hayley"))</f>
        <v>0</v>
      </c>
      <c r="T9" s="1">
        <f>(COUNTIFS(F2:F18, "Sweden", I2:I18, "Hayley") + COUNTIFS(F2:F18, "Sweden", J2:J18, "Hayley") + COUNTIFS(F2:F18, "Sweden", K2:K18, "Hayley")) + (COUNTIFS(G2:G18, "Sweden", I2:I18, "Hayley") + COUNTIFS(G2:G18, "Sweden", J2:J18, "Hayley") + COUNTIFS(G2:G18, "Sweden", K2:K18, "Hayley"))</f>
        <v>0</v>
      </c>
      <c r="U9" s="1">
        <f>(COUNTIFS(F2:F18, "United States", I2:I18, "Hayley") + COUNTIFS(F2:F18, "United States", J2:J18, "Hayley") + COUNTIFS(F2:F18, "United States", K2:K18, "Hayley")) + (COUNTIFS(G2:G18, "United States", I2:I18, "Hayley") + COUNTIFS(G2:G18, "United States", J2:J18, "Hayley") + COUNTIFS(G2:G18, "United States", K2:K18, "Hayley"))</f>
        <v>0</v>
      </c>
      <c r="V9" s="1">
        <f>(COUNTIFS(F2:F18, "Finland", I2:I18, "Hayley") + COUNTIFS(F2:F18, "Finland", J2:J18, "Hayley") + COUNTIFS(F2:F18, "Finland", K2:K18, "Hayley")) + (COUNTIFS(G2:G18, "Finland", I2:I18, "Hayley") + COUNTIFS(G2:G18, "Finland", J2:J18, "Hayley") + COUNTIFS(G2:G18, "Finland", K2:K18, "Hayley"))</f>
        <v>0</v>
      </c>
      <c r="W9" s="1">
        <f>(COUNTIFS(F2:F18, "Latvia", I2:I18, "Hayley") + COUNTIFS(F2:F18, "Latvia", J2:J18, "Hayley") + COUNTIFS(F2:F18, "Latvia", K2:K18, "Hayley")) + (COUNTIFS(G2:G18, "Latvia", I2:I18, "Hayley") + COUNTIFS(G2:G18, "Latvia", J2:J18, "Hayley") + COUNTIFS(G2:G18, "Latvia", K2:K18, "Hayley"))</f>
        <v>0</v>
      </c>
      <c r="X9" s="21">
        <f>(COUNTIFS(F2:F18, "Germany", I2:I18, "Hayley") + COUNTIFS(F2:F18, "Germany", J2:J18, "Hayley") + COUNTIFS(F2:F18, "Germany", K2:K18, "Hayley")) + (COUNTIFS(G2:G18, "Germany", I2:I18, "Hayley") + COUNTIFS(G2:G18, "Germany", J2:J18, "Hayley") + COUNTIFS(G2:G18, "Germany", K2:K18, "Hayley"))</f>
        <v>0</v>
      </c>
      <c r="Y9" s="8">
        <f>COUNTIF(I2:K18, "Hayley")</f>
        <v>1</v>
      </c>
    </row>
    <row r="10" spans="1:26" ht="15.95" customHeight="1" x14ac:dyDescent="0.25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19" t="s">
        <v>5</v>
      </c>
      <c r="G10" s="19" t="s">
        <v>2</v>
      </c>
      <c r="H10" s="4"/>
      <c r="I10" s="5" t="s">
        <v>25</v>
      </c>
      <c r="J10" s="5" t="s">
        <v>28</v>
      </c>
      <c r="K10" s="5" t="s">
        <v>39</v>
      </c>
      <c r="L10" s="1"/>
      <c r="M10" s="1"/>
      <c r="O10" s="11" t="s">
        <v>60</v>
      </c>
      <c r="P10" s="21">
        <f>(COUNTIFS(F2:F18, "Canada", I2:I18, "Kyle") + COUNTIFS(F2:F18, "Canada", J2:J18, "Kyle") + COUNTIFS(F2:F18, "Canada", K2:K18, "Kyle")) + (COUNTIFS(G2:G18, "Canada", I2:I18, "Kyle") + COUNTIFS(G2:G18, "Canada", J2:J18, "Kyle") + COUNTIFS(G2:G18, "Canada", K2:K18, "Kyle"))</f>
        <v>0</v>
      </c>
      <c r="Q10" s="21">
        <f>(COUNTIFS(F2:F18, "USports", I2:I18, "Kyle") + COUNTIFS(F2:F18, "USports", J2:J18, "Kyle") + COUNTIFS(F2:F18, "USports", K2:K18, "Kyle")) + (COUNTIFS(G2:G18, "USports", I2:I18, "Kyle") + COUNTIFS(G2:G18, "USports", J2:J18, "Kyle") + COUNTIFS(G2:G18, "USports", K2:K18, "Kyle"))</f>
        <v>0</v>
      </c>
      <c r="R10" s="21">
        <f>(COUNTIFS(F2:F18, "Switzerland", I2:I18, "Kyle") + COUNTIFS(F2:F18, "Switzerland", J2:J18, "Kyle") + COUNTIFS(F2:F18, "Switzerland", K2:K18, "Kyle")) + (COUNTIFS(G2:G18, "Switzerland", I2:I18, "Kyle") + COUNTIFS(G2:G18, "Switzerland", J2:J18, "Kyle") + COUNTIFS(G2:G18, "Switzerland", K2:K18, "Kyle"))</f>
        <v>0</v>
      </c>
      <c r="S10" s="21">
        <f>(COUNTIFS(F2:F18, "Slovakia", I2:I18, "Kyle") + COUNTIFS(F2:F18, "Slovakia", J2:J18, "Kyle") + COUNTIFS(F2:F18, "Slovakia", K2:K18, "Kyle")) + (COUNTIFS(G2:G18, "Slovakia", I2:I18, "Kyle") + COUNTIFS(G2:G18, "Slovakia", J2:J18, "Kyle") + COUNTIFS(G2:G18, "Slovakia", K2:K18, "Kyle"))</f>
        <v>0</v>
      </c>
      <c r="T10" s="21">
        <f>(COUNTIFS(F2:F18, "Sweden", I2:I18, "Kyle") + COUNTIFS(F2:F18, "Sweden", J2:J18, "Kyle") + COUNTIFS(F2:F18, "Sweden", K2:K18, "Kyle")) + (COUNTIFS(G2:G18, "Sweden", I2:I18, "Kyle") + COUNTIFS(G2:G18, "Sweden", J2:J18, "Kyle") + COUNTIFS(G2:G18, "Sweden", K2:K18, "Kyle"))</f>
        <v>1</v>
      </c>
      <c r="U10" s="21">
        <f>(COUNTIFS(F2:F18, "United States", I2:I18, "Kyle") + COUNTIFS(F2:F18, "United States", J2:J18, "Kyle") + COUNTIFS(F2:F18, "United States", K2:K18, "Kyle")) + (COUNTIFS(G2:G18, "United States", I2:I18, "Kyle") + COUNTIFS(G2:G18, "United States", J2:J18, "Kyle") + COUNTIFS(G2:G18, "United States", K2:K18, "Kyle"))</f>
        <v>1</v>
      </c>
      <c r="V10" s="21">
        <f>(COUNTIFS(F2:F18, "Finland", I2:I18, "Kyle") + COUNTIFS(F2:F18, "Finland", J2:J18, "Kyle") + COUNTIFS(F2:F18, "Finland", K2:K18, "Kyle")) + (COUNTIFS(G2:G18, "Finland", I2:I18, "Kyle") + COUNTIFS(G2:G18, "Finland", J2:J18, "Kyle") + COUNTIFS(G2:G18, "Finland", K2:K18, "Kyle"))</f>
        <v>1</v>
      </c>
      <c r="W10" s="21">
        <f>(COUNTIFS(F2:F18, "Latvia", I2:I18, "Kyle") + COUNTIFS(F2:F18, "Latvia", J2:J18, "Kyle") + COUNTIFS(F2:F18, "Latvia", K2:K18, "Kyle")) + (COUNTIFS(G2:G18, "Latvia", I2:I18, "Kyle") + COUNTIFS(G2:G18, "Latvia", J2:J18, "Kyle") + COUNTIFS(G2:G18, "Latvia", K2:K18, "Kyle"))</f>
        <v>0</v>
      </c>
      <c r="X10" s="21">
        <f>(COUNTIFS(F2:F18, "Germany", I2:I18, "Kyle") + COUNTIFS(F2:F18, "Germany", J2:J18, "Kyle") + COUNTIFS(F2:F18, "Germany", K2:K18, "Kyle")) + (COUNTIFS(G2:G18, "Germany", I2:I18, "Kyle") + COUNTIFS(G2:G18, "Germany", J2:J18, "Kyle") + COUNTIFS(G2:G18, "Germany", K2:K18, "Kyle"))</f>
        <v>1</v>
      </c>
      <c r="Y10" s="8">
        <f>COUNTIF(I2:K18, "Kyle")</f>
        <v>2</v>
      </c>
    </row>
    <row r="11" spans="1:26" ht="15.95" customHeight="1" x14ac:dyDescent="0.25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19" t="s">
        <v>4</v>
      </c>
      <c r="G11" s="19" t="s">
        <v>7</v>
      </c>
      <c r="H11" s="4"/>
      <c r="I11" s="5" t="s">
        <v>34</v>
      </c>
      <c r="J11" s="5" t="s">
        <v>34</v>
      </c>
      <c r="K11" s="5" t="s">
        <v>34</v>
      </c>
      <c r="L11" s="1"/>
      <c r="M11" s="1"/>
      <c r="O11" s="11" t="s">
        <v>34</v>
      </c>
      <c r="P11" s="9">
        <f>(COUNTIFS(F2:F18, "Canada", I2:I18, "SOLD") + COUNTIFS(F2:F18, "Canada", J2:J18, "SOLD") + COUNTIFS(F2:F18, "Canada", K2:K18, "SOLD")) + (COUNTIFS(G2:G18, "Canada", I2:I18, "SOLD") + COUNTIFS(G2:G18, "Canada", J2:J18, "SOLD") + COUNTIFS(G2:G18, "Canada", K2:K18, "SOLD"))</f>
        <v>0</v>
      </c>
      <c r="Q11" s="9">
        <f>(COUNTIFS(F2:F18, "USports", I2:I18, "SOLD") + COUNTIFS(F2:F18, "USports", J2:J18, "SOLD") + COUNTIFS(F2:F18, "USports", K2:K18, "SOLD")) + (COUNTIFS(G2:G18, "USports", I2:I18, "SOLD") + COUNTIFS(G2:G18, "USports", J2:J18, "SOLD") + COUNTIFS(G2:G18, "USports", K2:K18, "SOLD"))</f>
        <v>0</v>
      </c>
      <c r="R11" s="9">
        <f>(COUNTIFS(F2:F18, "Switzerland", I2:I18, "SOLD") + COUNTIFS(F2:F18, "Switzerland", J2:J18, "SOLD") + COUNTIFS(F2:F18, "Switzerland", K2:K18, "SOLD")) + (COUNTIFS(G2:G18, "Switzerland", I2:I18, "SOLD") + COUNTIFS(G2:G18, "Switzerland", J2:J18, "SOLD") + COUNTIFS(G2:G18, "Switzerland", K2:K18, "SOLD"))</f>
        <v>0</v>
      </c>
      <c r="S11" s="9">
        <f>(COUNTIFS(F2:F18, "Slovakia", I2:I18, "SOLD") + COUNTIFS(F2:F18, "Slovakia", J2:J18, "SOLD") + COUNTIFS(F2:F18, "Slovakia", K2:K18, "SOLD")) + (COUNTIFS(G2:G18, "Slovakia", I2:I18, "SOLD") + COUNTIFS(G2:G18, "Slovakia", J2:J18, "SOLD") + COUNTIFS(G2:G18, "Slovakia", K2:K18, "SOLD"))</f>
        <v>3</v>
      </c>
      <c r="T11" s="9">
        <f>(COUNTIFS(F2:F18, "Sweden", I2:I18, "SOLD") + COUNTIFS(F2:F18, "Sweden", J2:J18, "SOLD") + COUNTIFS(F2:F18, "Sweden", K2:K18, "SOLD")) + (COUNTIFS(G2:G18, "Sweden", I2:I18, "SOLD") + COUNTIFS(G2:G18, "Sweden", J2:J18, "SOLD") + COUNTIFS(G2:G18, "Sweden", K2:K18, "SOLD"))</f>
        <v>2</v>
      </c>
      <c r="U11" s="9">
        <f>(COUNTIFS(F2:F18, "United States", I2:I18, "SOLD") + COUNTIFS(F2:F18, "United States", J2:J18, "SOLD") + COUNTIFS(F2:F18, "United States", K2:K18, "SOLD")) + (COUNTIFS(G2:G18, "United States", I2:I18, "SOLD") + COUNTIFS(G2:G18, "United States", J2:J18, "SOLD") + COUNTIFS(G2:G18, "United States", K2:K18, "SOLD"))</f>
        <v>8</v>
      </c>
      <c r="V11" s="9">
        <f>(COUNTIFS(F2:F18, "Finland", I2:I18, "SOLD") + COUNTIFS(F2:F18, "Finland", J2:J18, "SOLD") + COUNTIFS(F2:F18, "Finland", K2:K18, "SOLD")) + (COUNTIFS(G2:G18, "Finland", I2:I18, "SOLD") + COUNTIFS(G2:G18, "Finland", J2:J18, "SOLD") + COUNTIFS(G2:G18, "Finland", K2:K18, "SOLD"))</f>
        <v>3</v>
      </c>
      <c r="W11" s="9">
        <f>(COUNTIFS(F2:F18, "Latvia", I2:I18, "SOLD") + COUNTIFS(F2:F18, "Latvia", J2:J18, "SOLD") + COUNTIFS(F2:F18, "Latvia", K2:K18, "SOLD")) + (COUNTIFS(G2:G18, "Latvia", I2:I18, "SOLD") + COUNTIFS(G2:G18, "Latvia", J2:J18, "SOLD") + COUNTIFS(G2:G18, "Latvia", K2:K18, "SOLD"))</f>
        <v>0</v>
      </c>
      <c r="X11" s="21">
        <f>(COUNTIFS(F2:F18, "Germany", I2:I18, "SOLD") + COUNTIFS(F2:F18, "Germany", J2:J18, "SOLD") + COUNTIFS(F2:F18, "Germany", K2:K18, "SOLD")) + (COUNTIFS(G2:G18, "Germany", I2:I18, "SOLD") + COUNTIFS(G2:G18, "Germany", J2:J18, "SOLD") + COUNTIFS(G2:G18, "Germany", K2:K18, "SOLD"))</f>
        <v>0</v>
      </c>
      <c r="Y11" s="12">
        <f>COUNTIF(I2:K18, "SOLD")</f>
        <v>8</v>
      </c>
      <c r="Z11" t="s">
        <v>50</v>
      </c>
    </row>
    <row r="12" spans="1:26" ht="15.95" customHeight="1" x14ac:dyDescent="0.25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19" t="s">
        <v>3</v>
      </c>
      <c r="G12" s="19" t="s">
        <v>5</v>
      </c>
      <c r="H12" s="4"/>
      <c r="I12" s="5" t="s">
        <v>25</v>
      </c>
      <c r="J12" s="5" t="s">
        <v>26</v>
      </c>
      <c r="K12" s="5" t="s">
        <v>27</v>
      </c>
      <c r="L12" s="1"/>
      <c r="M12" s="1"/>
      <c r="O12" s="11" t="s">
        <v>43</v>
      </c>
      <c r="P12" s="1">
        <f>(COUNTIFS(F2:F18, "Canada", I2:I18, "") + COUNTIFS(F2:F18, "Canada", J2:J18, "") + COUNTIFS(F2:F18, "Canada", K2:K18, "")) + (COUNTIFS(G2:G18, "Canada", I2:I18, "") + COUNTIFS(G2:G18, "Canada", J2:J18, "") + COUNTIFS(G2:G18, "Canada", K2:K18, ""))</f>
        <v>4</v>
      </c>
      <c r="Q12" s="1">
        <f>(COUNTIFS(F2:F18, "USports", I2:I18, "") + COUNTIFS(F2:F18, "USports", J2:J18, "") + COUNTIFS(F2:F18, "USports", K2:K18, "")) + (COUNTIFS(G2:G18, "USports", I2:I18, "") + COUNTIFS(G2:G18, "USports", J2:J18, "") + COUNTIFS(G2:G18, "USports", K2:K18, ""))</f>
        <v>4</v>
      </c>
      <c r="R12" s="1">
        <f>(COUNTIFS(F2:F18, "Switzerland", I2:I18, "") + COUNTIFS(F2:F18, "Switzerland", J2:J18, "") + COUNTIFS(F2:F18, "Switzerland", K2:K18, "")) + (COUNTIFS(G2:G18, "Switzerland", I2:I18, "") + COUNTIFS(G2:G18, "Switzerland", J2:J18, "") + COUNTIFS(G2:G18, "Switzerland", K2:K18, ""))</f>
        <v>1</v>
      </c>
      <c r="S12" s="1">
        <f>(COUNTIFS(F2:F18, "Slovakia", I2:I18, "") + COUNTIFS(F2:F18, "Slovakia", J2:J18, "") + COUNTIFS(F2:F18, "Slovakia", K2:K18, "")) + (COUNTIFS(G2:G18, "Slovakia", I2:I18, "") + COUNTIFS(G2:G18, "Slovakia", J2:J18, "") + COUNTIFS(G2:G18, "Slovakia", K2:K18, ""))</f>
        <v>0</v>
      </c>
      <c r="T12" s="1">
        <f>(COUNTIFS(F2:F18, "Sweden", I2:I18, "") + COUNTIFS(F2:F18, "Sweden", J2:J18, "") + COUNTIFS(F2:F18, "Sweden", K2:K18, "")) + (COUNTIFS(G2:G18, "Sweden", I2:I18, "") + COUNTIFS(G2:G18, "Sweden", J2:J18, "") + COUNTIFS(G2:G18, "Sweden", K2:K18, ""))</f>
        <v>1</v>
      </c>
      <c r="U12" s="1">
        <f>(COUNTIFS(F2:F18, "United States", I2:I18, "") + COUNTIFS(F2:F18, "United States", J2:J18, "") + COUNTIFS(F2:F18, "United States", K2:K18, "")) + (COUNTIFS(G2:G18, "United States", I2:I18, "") + COUNTIFS(G2:G18, "United States", J2:J18, "") + COUNTIFS(G2:G18, "United States", K2:K18, ""))</f>
        <v>2</v>
      </c>
      <c r="V12" s="1">
        <f>(COUNTIFS(F2:F18, "Finland", I2:I18, "") + COUNTIFS(F2:F18, "Finland", J2:J18, "") + COUNTIFS(F2:F18, "Finland", K2:K18, "")) + (COUNTIFS(G2:G18, "Finland", I2:I18, "") + COUNTIFS(G2:G18, "Finland", J2:J18, "") + COUNTIFS(G2:G18, "Finland", K2:K18, ""))</f>
        <v>1</v>
      </c>
      <c r="W12" s="1">
        <f>(COUNTIFS(F2:F18, "Latvia", I2:I18, "") + COUNTIFS(F2:F18, "Latvia", J2:J18, "") + COUNTIFS(F2:F18, "Latvia", K2:K18, "")) + (COUNTIFS(G2:G18, "Latvia", I2:I18, "") + COUNTIFS(G2:G18, "Latvia", J2:J18, "") + COUNTIFS(G2:G18, "Latvia", K2:K18, ""))</f>
        <v>1</v>
      </c>
      <c r="X12" s="21">
        <f>(COUNTIFS(F2:F18, "Germany", I2:I18, "") + COUNTIFS(F2:F18, "Germany", J2:J18, "") + COUNTIFS(F2:F18, "Germany", K2:K18, "")) + (COUNTIFS(G2:G18, "Germany", I2:I18, "") + COUNTIFS(G2:G18, "Germany", J2:J18, "") + COUNTIFS(G2:G18, "Germany", K2:K18, ""))</f>
        <v>0</v>
      </c>
      <c r="Y12" s="12">
        <f>COUNTBLANK(I2:K18)</f>
        <v>7</v>
      </c>
      <c r="Z12" t="s">
        <v>47</v>
      </c>
    </row>
    <row r="13" spans="1:26" ht="15.95" customHeight="1" x14ac:dyDescent="0.25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19" t="s">
        <v>2</v>
      </c>
      <c r="G13" s="19" t="s">
        <v>4</v>
      </c>
      <c r="H13" s="4"/>
      <c r="I13" s="5" t="s">
        <v>25</v>
      </c>
      <c r="J13" s="5" t="s">
        <v>26</v>
      </c>
      <c r="K13" s="5" t="s">
        <v>27</v>
      </c>
      <c r="L13" s="1"/>
      <c r="M13" s="1"/>
      <c r="O13" s="11" t="s">
        <v>46</v>
      </c>
      <c r="P13" s="10">
        <f>SUM(P3:P12)</f>
        <v>12</v>
      </c>
      <c r="Q13" s="10">
        <f>SUM(Q3:Q12)</f>
        <v>6</v>
      </c>
      <c r="R13" s="10">
        <f>SUM(R3:R12)</f>
        <v>15</v>
      </c>
      <c r="S13" s="10">
        <f>SUM(S3:S12)</f>
        <v>15</v>
      </c>
      <c r="T13" s="10">
        <f>SUM(T3:T12)</f>
        <v>6</v>
      </c>
      <c r="U13" s="10">
        <f>SUM(U3:U12)</f>
        <v>18</v>
      </c>
      <c r="V13" s="10">
        <f>SUM(V3:V12)</f>
        <v>15</v>
      </c>
      <c r="W13" s="10">
        <f>SUM(W3:W12)</f>
        <v>12</v>
      </c>
      <c r="X13" s="10">
        <f>SUM(X3:X12)</f>
        <v>3</v>
      </c>
      <c r="Y13" s="13">
        <f>SUM(Y3:Y12)</f>
        <v>51</v>
      </c>
      <c r="Z13" t="s">
        <v>48</v>
      </c>
    </row>
    <row r="14" spans="1:26" ht="15.95" customHeight="1" x14ac:dyDescent="0.25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19" t="s">
        <v>5</v>
      </c>
      <c r="G14" s="19" t="s">
        <v>7</v>
      </c>
      <c r="H14" s="4"/>
      <c r="I14" s="5" t="s">
        <v>25</v>
      </c>
      <c r="J14" s="5" t="s">
        <v>26</v>
      </c>
      <c r="K14" s="5" t="s">
        <v>27</v>
      </c>
      <c r="L14" s="1"/>
      <c r="M14" s="1"/>
      <c r="O14" s="11" t="s">
        <v>44</v>
      </c>
      <c r="P14" s="17">
        <f t="shared" ref="P14:W14" si="0">P11/P13</f>
        <v>0</v>
      </c>
      <c r="Q14" s="17">
        <f t="shared" si="0"/>
        <v>0</v>
      </c>
      <c r="R14" s="17">
        <f t="shared" si="0"/>
        <v>0</v>
      </c>
      <c r="S14" s="17">
        <f t="shared" si="0"/>
        <v>0.2</v>
      </c>
      <c r="T14" s="17">
        <f t="shared" si="0"/>
        <v>0.33333333333333331</v>
      </c>
      <c r="U14" s="17">
        <f t="shared" si="0"/>
        <v>0.44444444444444442</v>
      </c>
      <c r="V14" s="17">
        <f t="shared" si="0"/>
        <v>0.2</v>
      </c>
      <c r="W14" s="17">
        <f t="shared" si="0"/>
        <v>0</v>
      </c>
      <c r="X14" s="17">
        <f>X11/X13</f>
        <v>0</v>
      </c>
      <c r="Y14" s="7"/>
    </row>
    <row r="15" spans="1:26" ht="15.95" customHeight="1" x14ac:dyDescent="0.25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19" t="s">
        <v>7</v>
      </c>
      <c r="G15" s="19" t="s">
        <v>2</v>
      </c>
      <c r="H15" s="4"/>
      <c r="I15" s="5" t="s">
        <v>25</v>
      </c>
      <c r="J15" s="5" t="s">
        <v>26</v>
      </c>
      <c r="K15" s="5" t="s">
        <v>27</v>
      </c>
      <c r="L15" s="1"/>
      <c r="M15" s="1"/>
      <c r="O15" s="11" t="s">
        <v>45</v>
      </c>
      <c r="P15" s="17">
        <f t="shared" ref="P15:W15" si="1">(P13-P11) / P13</f>
        <v>1</v>
      </c>
      <c r="Q15" s="17">
        <f t="shared" si="1"/>
        <v>1</v>
      </c>
      <c r="R15" s="17">
        <f t="shared" si="1"/>
        <v>1</v>
      </c>
      <c r="S15" s="17">
        <f t="shared" si="1"/>
        <v>0.8</v>
      </c>
      <c r="T15" s="17">
        <f t="shared" si="1"/>
        <v>0.66666666666666663</v>
      </c>
      <c r="U15" s="17">
        <f t="shared" si="1"/>
        <v>0.55555555555555558</v>
      </c>
      <c r="V15" s="17">
        <f t="shared" si="1"/>
        <v>0.8</v>
      </c>
      <c r="W15" s="17">
        <f t="shared" si="1"/>
        <v>1</v>
      </c>
      <c r="X15" s="17">
        <f>(X13-X11) / X13</f>
        <v>1</v>
      </c>
      <c r="Y15" s="7"/>
      <c r="Z15" t="s">
        <v>52</v>
      </c>
    </row>
    <row r="16" spans="1:26" ht="15.95" customHeight="1" x14ac:dyDescent="0.25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19" t="s">
        <v>3</v>
      </c>
      <c r="G16" s="19" t="s">
        <v>4</v>
      </c>
      <c r="H16" s="4"/>
      <c r="I16" s="5" t="s">
        <v>34</v>
      </c>
      <c r="J16" s="5" t="s">
        <v>34</v>
      </c>
      <c r="K16" s="5" t="s">
        <v>34</v>
      </c>
      <c r="L16" s="1"/>
      <c r="M16" s="1"/>
      <c r="O16" s="7" t="s">
        <v>51</v>
      </c>
      <c r="P16" s="17">
        <f t="shared" ref="P16:W16" si="2">(P13-P12) / P13</f>
        <v>0.66666666666666663</v>
      </c>
      <c r="Q16" s="17">
        <f t="shared" si="2"/>
        <v>0.33333333333333331</v>
      </c>
      <c r="R16" s="17">
        <f t="shared" si="2"/>
        <v>0.93333333333333335</v>
      </c>
      <c r="S16" s="17">
        <f t="shared" si="2"/>
        <v>1</v>
      </c>
      <c r="T16" s="17">
        <f t="shared" si="2"/>
        <v>0.83333333333333337</v>
      </c>
      <c r="U16" s="17">
        <f t="shared" si="2"/>
        <v>0.88888888888888884</v>
      </c>
      <c r="V16" s="17">
        <f t="shared" si="2"/>
        <v>0.93333333333333335</v>
      </c>
      <c r="W16" s="17">
        <f t="shared" si="2"/>
        <v>0.91666666666666663</v>
      </c>
      <c r="X16" s="17">
        <f>(X13-X12) / X13</f>
        <v>1</v>
      </c>
      <c r="Y16" s="7"/>
      <c r="Z16" t="s">
        <v>53</v>
      </c>
    </row>
    <row r="17" spans="1:25" ht="15.95" customHeight="1" x14ac:dyDescent="0.25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19" t="s">
        <v>21</v>
      </c>
      <c r="G17" s="19" t="s">
        <v>3</v>
      </c>
      <c r="H17" s="4"/>
      <c r="I17" s="5" t="s">
        <v>25</v>
      </c>
      <c r="J17" s="5" t="s">
        <v>29</v>
      </c>
      <c r="K17" s="5" t="s">
        <v>60</v>
      </c>
      <c r="L17" s="1"/>
      <c r="M17" s="1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95" customHeight="1" x14ac:dyDescent="0.25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19" t="s">
        <v>61</v>
      </c>
      <c r="G18" s="19" t="s">
        <v>4</v>
      </c>
      <c r="H18" s="4"/>
      <c r="I18" s="5" t="s">
        <v>25</v>
      </c>
      <c r="J18" s="5" t="s">
        <v>29</v>
      </c>
      <c r="K18" s="5" t="s">
        <v>60</v>
      </c>
      <c r="L18" s="1"/>
      <c r="M18" s="1">
        <f>COUNTA(I2:K18) + COUNTBLANK(I2:K18)</f>
        <v>51</v>
      </c>
    </row>
    <row r="19" spans="1:25" ht="15.95" customHeight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>COUNTA(I2:K18)</f>
        <v>44</v>
      </c>
      <c r="M19" s="1">
        <f>Table1[[#Totals],[4]]/M18</f>
        <v>0.86274509803921573</v>
      </c>
    </row>
    <row r="20" spans="1:25" ht="15.95" customHeight="1" thickTop="1" thickBot="1" x14ac:dyDescent="0.3">
      <c r="O20" s="2" t="s">
        <v>35</v>
      </c>
      <c r="P20" s="2" t="s">
        <v>36</v>
      </c>
      <c r="Q20" s="2" t="s">
        <v>37</v>
      </c>
      <c r="R20" s="2" t="s">
        <v>38</v>
      </c>
      <c r="S20" s="2" t="s">
        <v>59</v>
      </c>
    </row>
    <row r="21" spans="1:25" ht="15.95" customHeight="1" thickTop="1" thickBot="1" x14ac:dyDescent="0.3">
      <c r="O21" s="3">
        <v>2002</v>
      </c>
      <c r="P21" s="3">
        <f>O21/M18</f>
        <v>39.254901960784316</v>
      </c>
      <c r="Q21" s="3">
        <f>O21/Table1[[#Totals],[4]]</f>
        <v>45.5</v>
      </c>
      <c r="R21" s="3">
        <f>O21*Table1[[#Totals],[5]]</f>
        <v>1727.2156862745098</v>
      </c>
      <c r="S21" s="3">
        <f>O21-R21</f>
        <v>274.78431372549016</v>
      </c>
    </row>
    <row r="22" spans="1:25" ht="15.95" customHeight="1" thickTop="1" thickBot="1" x14ac:dyDescent="0.3">
      <c r="O22" s="3">
        <f>O21-T24</f>
        <v>1762</v>
      </c>
      <c r="P22" s="3">
        <f>O22/M18</f>
        <v>34.549019607843135</v>
      </c>
      <c r="Q22" s="3">
        <f>O22/Table1[[#Totals],[4]]</f>
        <v>40.045454545454547</v>
      </c>
      <c r="R22" s="3">
        <f>O22*Table1[[#Totals],[5]]</f>
        <v>1520.1568627450981</v>
      </c>
      <c r="S22" s="3">
        <f>O22-R22</f>
        <v>241.84313725490188</v>
      </c>
    </row>
    <row r="23" spans="1:25" ht="15.95" customHeight="1" thickTop="1" thickBot="1" x14ac:dyDescent="0.3">
      <c r="T23" s="2" t="s">
        <v>54</v>
      </c>
      <c r="U23" s="2" t="s">
        <v>55</v>
      </c>
      <c r="V23" s="2" t="s">
        <v>56</v>
      </c>
    </row>
    <row r="24" spans="1:25" ht="15.95" customHeight="1" thickTop="1" thickBot="1" x14ac:dyDescent="0.3">
      <c r="T24" s="3">
        <f>COUNTIF(I2:K18, "SOLD") *U24</f>
        <v>240</v>
      </c>
      <c r="U24" s="3">
        <f>40*(3/4)</f>
        <v>30</v>
      </c>
      <c r="V24" s="3">
        <f>O21-T24</f>
        <v>1762</v>
      </c>
    </row>
    <row r="25" spans="1:25" ht="15.95" customHeight="1" thickTop="1" x14ac:dyDescent="0.25"/>
  </sheetData>
  <phoneticPr fontId="1" type="noConversion"/>
  <conditionalFormatting sqref="F1:H1048576 P1:X1">
    <cfRule type="cellIs" dxfId="34" priority="68" operator="equal">
      <formula>"Finland"</formula>
    </cfRule>
    <cfRule type="cellIs" dxfId="33" priority="69" operator="equal">
      <formula>"Slovakia"</formula>
    </cfRule>
    <cfRule type="cellIs" dxfId="32" priority="70" operator="equal">
      <formula>"Latvia"</formula>
    </cfRule>
    <cfRule type="cellIs" dxfId="31" priority="71" operator="equal">
      <formula>"Sweden"</formula>
    </cfRule>
    <cfRule type="cellIs" dxfId="30" priority="72" operator="equal">
      <formula>"United States"</formula>
    </cfRule>
    <cfRule type="cellIs" dxfId="29" priority="73" operator="equal">
      <formula>"Switzerland"</formula>
    </cfRule>
    <cfRule type="cellIs" dxfId="28" priority="74" operator="equal">
      <formula>"Canada"</formula>
    </cfRule>
  </conditionalFormatting>
  <conditionalFormatting sqref="F2:H18 P1:X1">
    <cfRule type="cellIs" dxfId="27" priority="67" operator="equal">
      <formula>"USports"</formula>
    </cfRule>
  </conditionalFormatting>
  <conditionalFormatting sqref="F2:G18">
    <cfRule type="cellIs" dxfId="26" priority="2" operator="equal">
      <formula>"Germany"</formula>
    </cfRule>
  </conditionalFormatting>
  <conditionalFormatting sqref="X1">
    <cfRule type="cellIs" dxfId="17" priority="1" operator="equal">
      <formula>"Germany"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2023-01-09T14:07:57Z</dcterms:modified>
</cp:coreProperties>
</file>