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D6460AAD-0662-45C6-B7E3-5C1AC7A891A9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1" i="7"/>
  <c r="E31" i="7"/>
  <c r="F31" i="7"/>
  <c r="G31" i="7"/>
  <c r="H31" i="7"/>
  <c r="D21" i="7"/>
  <c r="E21" i="7"/>
  <c r="F21" i="7"/>
  <c r="G21" i="7"/>
  <c r="D18" i="7"/>
  <c r="E18" i="7"/>
  <c r="F18" i="7"/>
  <c r="G18" i="7"/>
  <c r="D19" i="7"/>
  <c r="E19" i="7"/>
  <c r="F19" i="7"/>
  <c r="G19" i="7"/>
  <c r="H19" i="7"/>
  <c r="I19" i="7"/>
  <c r="D5" i="7"/>
  <c r="E5" i="7"/>
  <c r="F5" i="7"/>
  <c r="G5" i="7"/>
  <c r="H5" i="7"/>
  <c r="I5" i="7"/>
  <c r="D28" i="7"/>
  <c r="E28" i="7"/>
  <c r="F28" i="7"/>
  <c r="G28" i="7"/>
  <c r="H28" i="7"/>
  <c r="D2" i="7"/>
  <c r="E2" i="7"/>
  <c r="F2" i="7"/>
  <c r="G2" i="7"/>
  <c r="D30" i="7"/>
  <c r="E30" i="7"/>
  <c r="F30" i="7"/>
  <c r="G30" i="7"/>
  <c r="D23" i="7"/>
  <c r="E23" i="7"/>
  <c r="F23" i="7"/>
  <c r="G23" i="7"/>
  <c r="H23" i="7"/>
  <c r="I23" i="7"/>
  <c r="D4" i="7"/>
  <c r="E4" i="7"/>
  <c r="F4" i="7"/>
  <c r="G4" i="7"/>
  <c r="H4" i="7"/>
  <c r="D12" i="7"/>
  <c r="D20" i="7"/>
  <c r="E20" i="7"/>
  <c r="F20" i="7"/>
  <c r="G20" i="7"/>
  <c r="H20" i="7"/>
  <c r="I20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2" i="7"/>
  <c r="E32" i="7"/>
  <c r="F32" i="7"/>
  <c r="G32" i="7"/>
  <c r="H32" i="7"/>
  <c r="I32" i="7"/>
  <c r="D26" i="7"/>
  <c r="E26" i="7"/>
  <c r="F26" i="7"/>
  <c r="G26" i="7"/>
  <c r="H26" i="7"/>
  <c r="D22" i="7"/>
  <c r="E22" i="7"/>
  <c r="F22" i="7"/>
  <c r="G22" i="7"/>
  <c r="H22" i="7"/>
  <c r="I22" i="7"/>
  <c r="D10" i="7"/>
  <c r="E10" i="7"/>
  <c r="F10" i="7"/>
  <c r="G10" i="7"/>
  <c r="H10" i="7"/>
  <c r="E29" i="7"/>
  <c r="F29" i="7"/>
  <c r="G29" i="7"/>
  <c r="H29" i="7"/>
  <c r="I29" i="7"/>
  <c r="D29" i="7"/>
  <c r="CR34" i="2" a="1"/>
  <c r="BB6" i="2"/>
  <c r="BB13" i="2"/>
  <c r="BB32" i="2"/>
  <c r="BB16" i="2"/>
  <c r="BB9" i="2"/>
  <c r="BB23" i="2"/>
  <c r="BB22" i="2"/>
  <c r="BB24" i="2"/>
  <c r="BB25" i="2"/>
  <c r="BB29" i="2"/>
  <c r="BB3" i="2"/>
  <c r="BB4" i="2"/>
  <c r="BB19" i="2"/>
  <c r="BB31" i="2"/>
  <c r="BB14" i="2"/>
  <c r="BB33" i="2"/>
  <c r="BB21" i="2"/>
  <c r="BB26" i="2"/>
  <c r="BB11" i="2"/>
  <c r="BB12" i="2"/>
  <c r="BB20" i="2"/>
  <c r="BB18" i="2"/>
  <c r="BB28" i="2"/>
  <c r="BB2" i="2"/>
  <c r="BB8" i="2"/>
  <c r="BB5" i="2"/>
  <c r="BB30" i="2"/>
  <c r="BB17" i="2"/>
  <c r="BB7" i="2"/>
  <c r="BB27" i="2"/>
  <c r="BB15" i="2"/>
  <c r="BB10" i="2"/>
  <c r="AX6" i="2"/>
  <c r="AX13" i="2"/>
  <c r="AX32" i="2"/>
  <c r="AX16" i="2"/>
  <c r="AX9" i="2"/>
  <c r="AX23" i="2"/>
  <c r="AX22" i="2"/>
  <c r="AX24" i="2"/>
  <c r="AX25" i="2"/>
  <c r="AX29" i="2"/>
  <c r="AX3" i="2"/>
  <c r="AX4" i="2"/>
  <c r="AX19" i="2"/>
  <c r="AX31" i="2"/>
  <c r="AX14" i="2"/>
  <c r="AX33" i="2"/>
  <c r="AX21" i="2"/>
  <c r="AX26" i="2"/>
  <c r="AX11" i="2"/>
  <c r="AX12" i="2"/>
  <c r="AX20" i="2"/>
  <c r="AX18" i="2"/>
  <c r="AX28" i="2"/>
  <c r="AX2" i="2"/>
  <c r="AX8" i="2"/>
  <c r="AX5" i="2"/>
  <c r="AX30" i="2"/>
  <c r="AX17" i="2"/>
  <c r="AX7" i="2"/>
  <c r="AX27" i="2"/>
  <c r="AX15" i="2"/>
  <c r="AX10" i="2"/>
  <c r="AY9" i="2"/>
  <c r="AZ9" i="2"/>
  <c r="BC9" i="2"/>
  <c r="BD9" i="2"/>
  <c r="AY31" i="2"/>
  <c r="AZ31" i="2"/>
  <c r="BC31" i="2"/>
  <c r="BD31" i="2"/>
  <c r="AY3" i="2"/>
  <c r="AZ3" i="2"/>
  <c r="BC3" i="2"/>
  <c r="BD3" i="2"/>
  <c r="AY28" i="2"/>
  <c r="AZ28" i="2"/>
  <c r="BC28" i="2"/>
  <c r="BD28" i="2"/>
  <c r="AY32" i="2"/>
  <c r="AZ32" i="2"/>
  <c r="BC32" i="2"/>
  <c r="BD32" i="2"/>
  <c r="AY22" i="2"/>
  <c r="AZ22" i="2"/>
  <c r="BC22" i="2"/>
  <c r="BD22" i="2"/>
  <c r="AY4" i="2"/>
  <c r="AZ4" i="2"/>
  <c r="BC4" i="2"/>
  <c r="BD4" i="2"/>
  <c r="AY2" i="2"/>
  <c r="AZ2" i="2"/>
  <c r="BC2" i="2"/>
  <c r="BD2" i="2"/>
  <c r="AY11" i="2"/>
  <c r="AZ11" i="2"/>
  <c r="BC11" i="2"/>
  <c r="BD11" i="2"/>
  <c r="AY6" i="2"/>
  <c r="AZ6" i="2"/>
  <c r="BC6" i="2"/>
  <c r="BD6" i="2"/>
  <c r="AY16" i="2"/>
  <c r="AZ16" i="2"/>
  <c r="BC16" i="2"/>
  <c r="BD16" i="2"/>
  <c r="AY26" i="2"/>
  <c r="AZ26" i="2"/>
  <c r="BC26" i="2"/>
  <c r="BD26" i="2"/>
  <c r="AY18" i="2"/>
  <c r="AZ18" i="2"/>
  <c r="BC18" i="2"/>
  <c r="BD18" i="2"/>
  <c r="AY7" i="2"/>
  <c r="AZ7" i="2"/>
  <c r="BC7" i="2"/>
  <c r="BD7" i="2"/>
  <c r="AY12" i="2"/>
  <c r="AZ12" i="2"/>
  <c r="BC12" i="2"/>
  <c r="BD12" i="2"/>
  <c r="AY15" i="2"/>
  <c r="AZ15" i="2"/>
  <c r="BC15" i="2"/>
  <c r="BD15" i="2"/>
  <c r="AY33" i="2"/>
  <c r="AZ33" i="2"/>
  <c r="BC33" i="2"/>
  <c r="BD33" i="2"/>
  <c r="AY24" i="2"/>
  <c r="AZ24" i="2"/>
  <c r="BC24" i="2"/>
  <c r="BD24" i="2"/>
  <c r="AY30" i="2"/>
  <c r="AZ30" i="2"/>
  <c r="BC30" i="2"/>
  <c r="BD30" i="2"/>
  <c r="AY21" i="2"/>
  <c r="AZ21" i="2"/>
  <c r="BC21" i="2"/>
  <c r="BD21" i="2"/>
  <c r="AY19" i="2"/>
  <c r="AZ19" i="2"/>
  <c r="BC19" i="2"/>
  <c r="BD19" i="2"/>
  <c r="AY5" i="2"/>
  <c r="AZ5" i="2"/>
  <c r="BC5" i="2"/>
  <c r="BD5" i="2"/>
  <c r="AY27" i="2"/>
  <c r="AZ27" i="2"/>
  <c r="BC27" i="2"/>
  <c r="BD27" i="2"/>
  <c r="AY17" i="2"/>
  <c r="AZ17" i="2"/>
  <c r="BC17" i="2"/>
  <c r="BD17" i="2"/>
  <c r="AY25" i="2"/>
  <c r="AZ25" i="2"/>
  <c r="BC25" i="2"/>
  <c r="BD25" i="2"/>
  <c r="AY20" i="2"/>
  <c r="AZ20" i="2"/>
  <c r="BC20" i="2"/>
  <c r="BD20" i="2"/>
  <c r="AY23" i="2"/>
  <c r="AZ23" i="2"/>
  <c r="BC23" i="2"/>
  <c r="BD23" i="2"/>
  <c r="AY29" i="2"/>
  <c r="AZ29" i="2"/>
  <c r="BC29" i="2"/>
  <c r="BD29" i="2"/>
  <c r="AY8" i="2"/>
  <c r="AZ8" i="2"/>
  <c r="BC8" i="2"/>
  <c r="BD8" i="2"/>
  <c r="AY13" i="2"/>
  <c r="AZ13" i="2"/>
  <c r="BC13" i="2"/>
  <c r="BD13" i="2"/>
  <c r="AY10" i="2"/>
  <c r="AZ10" i="2"/>
  <c r="BC10" i="2"/>
  <c r="BD10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BI10" i="5"/>
  <c r="C54" i="5"/>
  <c r="BM36" i="5"/>
  <c r="BM8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BM10" i="5"/>
  <c r="AJ17" i="5"/>
  <c r="Q36" i="5"/>
  <c r="AB15" i="5"/>
  <c r="O28" i="5"/>
  <c r="AO40" i="5"/>
  <c r="AN41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BC28" i="5"/>
  <c r="AB55" i="5"/>
  <c r="AQ20" i="5"/>
  <c r="T43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AO66" i="5"/>
  <c r="AC66" i="5"/>
  <c r="Q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BC6" i="5"/>
  <c r="F55" i="5"/>
  <c r="AH37" i="5"/>
  <c r="AK34" i="5"/>
  <c r="AN25" i="5"/>
  <c r="Y40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8" i="2"/>
  <c r="D12" i="2"/>
  <c r="R27" i="2"/>
  <c r="D33" i="2"/>
  <c r="M27" i="2"/>
  <c r="N27" i="2"/>
  <c r="U12" i="2"/>
  <c r="V12" i="2"/>
  <c r="W12" i="2"/>
  <c r="O27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S5" i="1" a="1"/>
  <c r="BD20" i="1"/>
  <c r="BD19" i="1"/>
  <c r="I27" i="7"/>
  <c r="I24" i="7"/>
  <c r="G9" i="7"/>
  <c r="H9" i="7"/>
  <c r="I9" i="7"/>
  <c r="F9" i="7"/>
  <c r="G12" i="7"/>
  <c r="H12" i="7"/>
  <c r="I12" i="7"/>
  <c r="E12" i="7"/>
  <c r="F12" i="7"/>
  <c r="S27" i="2"/>
  <c r="Q27" i="2"/>
  <c r="AA12" i="2"/>
  <c r="Z12" i="2"/>
  <c r="Y12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13" i="2"/>
  <c r="CE13" i="2" s="1"/>
  <c r="CF8" i="2"/>
  <c r="CE8" i="2" s="1"/>
  <c r="CF6" i="2"/>
  <c r="CE6" i="2" s="1"/>
  <c r="CF26" i="2"/>
  <c r="CE26" i="2" s="1"/>
  <c r="CF18" i="2"/>
  <c r="CE18" i="2" s="1"/>
  <c r="CF2" i="2"/>
  <c r="CE2" i="2" s="1"/>
  <c r="CF20" i="2"/>
  <c r="CE20" i="2" s="1"/>
  <c r="CF3" i="2"/>
  <c r="CE3" i="2" s="1"/>
  <c r="CF4" i="2"/>
  <c r="CE4" i="2" s="1"/>
  <c r="CF12" i="2"/>
  <c r="CE12" i="2" s="1"/>
  <c r="CF16" i="2"/>
  <c r="CE16" i="2" s="1"/>
  <c r="CF25" i="2"/>
  <c r="CE25" i="2" s="1"/>
  <c r="CF32" i="2"/>
  <c r="CE32" i="2" s="1"/>
  <c r="CF28" i="2"/>
  <c r="CE28" i="2" s="1"/>
  <c r="CF30" i="2"/>
  <c r="CE30" i="2" s="1"/>
  <c r="CF29" i="2"/>
  <c r="CE29" i="2" s="1"/>
  <c r="CF7" i="2"/>
  <c r="CE7" i="2" s="1"/>
  <c r="CF9" i="2"/>
  <c r="CE9" i="2" s="1"/>
  <c r="CF11" i="2"/>
  <c r="CE11" i="2" s="1"/>
  <c r="CF17" i="2"/>
  <c r="CE17" i="2" s="1"/>
  <c r="CF24" i="2"/>
  <c r="CE24" i="2" s="1"/>
  <c r="CF21" i="2"/>
  <c r="CE21" i="2" s="1"/>
  <c r="CF19" i="2"/>
  <c r="CE19" i="2" s="1"/>
  <c r="CF23" i="2"/>
  <c r="CE23" i="2" s="1"/>
  <c r="CF14" i="2"/>
  <c r="CE14" i="2" s="1"/>
  <c r="CF33" i="2"/>
  <c r="CE33" i="2" s="1"/>
  <c r="CF5" i="2"/>
  <c r="CE5" i="2" s="1"/>
  <c r="CF31" i="2"/>
  <c r="CE31" i="2" s="1"/>
  <c r="CF15" i="2"/>
  <c r="CE15" i="2" s="1"/>
  <c r="CF27" i="2"/>
  <c r="CE27" i="2" s="1"/>
  <c r="CF22" i="2"/>
  <c r="CE22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18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AZ15" i="5" l="1"/>
  <c r="O52" i="5"/>
  <c r="BF13" i="5"/>
  <c r="M58" i="5"/>
  <c r="V23" i="2"/>
  <c r="W23" i="2"/>
  <c r="U23" i="2"/>
  <c r="V25" i="5"/>
  <c r="Y22" i="5"/>
  <c r="AO8" i="5"/>
  <c r="H41" i="5"/>
  <c r="AX9" i="5"/>
  <c r="I50" i="5"/>
  <c r="D27" i="2"/>
  <c r="AS4" i="5"/>
  <c r="D45" i="5"/>
  <c r="T29" i="5"/>
  <c r="AC20" i="5"/>
  <c r="N61" i="5"/>
  <c r="BI14" i="5"/>
  <c r="D8" i="2"/>
  <c r="V14" i="2"/>
  <c r="W14" i="2"/>
  <c r="U14" i="2"/>
  <c r="O3" i="2"/>
  <c r="N3" i="2"/>
  <c r="M3" i="2"/>
  <c r="W2" i="2"/>
  <c r="V2" i="2"/>
  <c r="U2" i="2"/>
  <c r="AN23" i="5"/>
  <c r="W40" i="5"/>
  <c r="BN53" i="5"/>
  <c r="BA66" i="5"/>
  <c r="AI56" i="5"/>
  <c r="BD35" i="5"/>
  <c r="AU32" i="5"/>
  <c r="AF47" i="5"/>
  <c r="N6" i="2"/>
  <c r="O6" i="2"/>
  <c r="M6" i="2"/>
  <c r="N5" i="2"/>
  <c r="W7" i="2"/>
  <c r="U7" i="2"/>
  <c r="O5" i="2"/>
  <c r="M5" i="2"/>
  <c r="V7" i="2"/>
  <c r="W26" i="2"/>
  <c r="T26" i="2"/>
  <c r="U26" i="2"/>
  <c r="V26" i="2"/>
  <c r="S66" i="1"/>
  <c r="T12" i="2"/>
  <c r="AA62" i="5"/>
  <c r="BJ27" i="5"/>
  <c r="E66" i="5"/>
  <c r="BN5" i="5"/>
  <c r="S62" i="1"/>
  <c r="T23" i="2"/>
  <c r="S77" i="1"/>
  <c r="L27" i="2"/>
  <c r="AH23" i="8"/>
  <c r="S58" i="1"/>
  <c r="T14" i="2"/>
  <c r="S57" i="1"/>
  <c r="L3" i="2"/>
  <c r="T8" i="2"/>
  <c r="V8" i="2"/>
  <c r="W8" i="2"/>
  <c r="U8" i="2"/>
  <c r="T2" i="2"/>
  <c r="U10" i="2"/>
  <c r="V10" i="2"/>
  <c r="O9" i="2"/>
  <c r="W10" i="2"/>
  <c r="N9" i="2"/>
  <c r="T10" i="2"/>
  <c r="S53" i="1"/>
  <c r="L6" i="2"/>
  <c r="S52" i="1"/>
  <c r="T7" i="2"/>
  <c r="L5" i="2"/>
  <c r="N19" i="2"/>
  <c r="O19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16" i="2"/>
  <c r="W21" i="2"/>
  <c r="L16" i="2"/>
  <c r="T21" i="2"/>
  <c r="U21" i="2"/>
  <c r="O16" i="2"/>
  <c r="V21" i="2"/>
  <c r="N16" i="2"/>
  <c r="AP35" i="5"/>
  <c r="AI42" i="5"/>
  <c r="F53" i="5"/>
  <c r="BA6" i="5"/>
  <c r="AL63" i="5"/>
  <c r="BK38" i="5"/>
  <c r="D31" i="2"/>
  <c r="Q8" i="5"/>
  <c r="H17" i="5"/>
  <c r="S45" i="1"/>
  <c r="N11" i="2"/>
  <c r="W20" i="2"/>
  <c r="O11" i="2"/>
  <c r="L11" i="2"/>
  <c r="V20" i="2"/>
  <c r="M11" i="2"/>
  <c r="S44" i="1"/>
  <c r="N13" i="2"/>
  <c r="M13" i="2"/>
  <c r="O13" i="2"/>
  <c r="L13" i="2"/>
  <c r="S43" i="1"/>
  <c r="W30" i="2"/>
  <c r="O15" i="2"/>
  <c r="M15" i="2"/>
  <c r="V30" i="2"/>
  <c r="U30" i="2"/>
  <c r="T30" i="2"/>
  <c r="L15" i="2"/>
  <c r="N15" i="2"/>
  <c r="M25" i="2"/>
  <c r="L25" i="2"/>
  <c r="O25" i="2"/>
  <c r="N25" i="2"/>
  <c r="S41" i="1"/>
  <c r="O4" i="2"/>
  <c r="N4" i="2"/>
  <c r="BM40" i="5"/>
  <c r="AN65" i="5"/>
  <c r="D10" i="2"/>
  <c r="U24" i="2"/>
  <c r="T24" i="2"/>
  <c r="W24" i="2"/>
  <c r="V24" i="2"/>
  <c r="BI48" i="5"/>
  <c r="AV61" i="5"/>
  <c r="BG24" i="5"/>
  <c r="X59" i="5"/>
  <c r="S18" i="5"/>
  <c r="R19" i="5"/>
  <c r="D2" i="2"/>
  <c r="C50" i="5"/>
  <c r="AX3" i="5"/>
  <c r="AD11" i="5"/>
  <c r="K30" i="5"/>
  <c r="BE36" i="5"/>
  <c r="AJ57" i="5"/>
  <c r="D15" i="2"/>
  <c r="N29" i="2"/>
  <c r="M29" i="2"/>
  <c r="L29" i="2"/>
  <c r="U6" i="2"/>
  <c r="W6" i="2"/>
  <c r="O29" i="2"/>
  <c r="V6" i="2"/>
  <c r="T6" i="2"/>
  <c r="V18" i="2"/>
  <c r="T18" i="2"/>
  <c r="U18" i="2"/>
  <c r="W18" i="2"/>
  <c r="BM38" i="5"/>
  <c r="AL65" i="5"/>
  <c r="M10" i="2"/>
  <c r="O10" i="2"/>
  <c r="V33" i="2"/>
  <c r="L10" i="2"/>
  <c r="T33" i="2"/>
  <c r="N10" i="2"/>
  <c r="U33" i="2"/>
  <c r="W33" i="2"/>
  <c r="AO26" i="5"/>
  <c r="Z41" i="5"/>
  <c r="AM46" i="5"/>
  <c r="AT39" i="5"/>
  <c r="AG54" i="5"/>
  <c r="BB33" i="5"/>
  <c r="AQ10" i="5"/>
  <c r="D3" i="2"/>
  <c r="J43" i="5"/>
  <c r="D21" i="2"/>
  <c r="AE16" i="5"/>
  <c r="P31" i="5"/>
  <c r="G6" i="5"/>
  <c r="F7" i="5"/>
  <c r="S26" i="1"/>
  <c r="L31" i="2"/>
  <c r="M31" i="2"/>
  <c r="O31" i="2"/>
  <c r="N31" i="2"/>
  <c r="S33" i="1"/>
  <c r="V22" i="2"/>
  <c r="U22" i="2"/>
  <c r="W22" i="2"/>
  <c r="T22" i="2"/>
  <c r="BC22" i="5"/>
  <c r="V55" i="5"/>
  <c r="S27" i="1"/>
  <c r="L20" i="2"/>
  <c r="O20" i="2"/>
  <c r="N20" i="2"/>
  <c r="M20" i="2"/>
  <c r="AY14" i="5"/>
  <c r="N51" i="5"/>
  <c r="D17" i="2"/>
  <c r="W32" i="2"/>
  <c r="N17" i="2"/>
  <c r="M17" i="2"/>
  <c r="L17" i="2"/>
  <c r="O17" i="2"/>
  <c r="U32" i="2"/>
  <c r="T32" i="2"/>
  <c r="V32" i="2"/>
  <c r="BL27" i="5"/>
  <c r="AA64" i="5"/>
  <c r="D13" i="2"/>
  <c r="M26" i="2"/>
  <c r="N26" i="2"/>
  <c r="BH13" i="5"/>
  <c r="D29" i="2"/>
  <c r="M60" i="5"/>
  <c r="BI50" i="5"/>
  <c r="AX61" i="5"/>
  <c r="C48" i="5"/>
  <c r="AV3" i="5"/>
  <c r="D5" i="2"/>
  <c r="D14" i="2"/>
  <c r="U27" i="2"/>
  <c r="L8" i="2"/>
  <c r="M8" i="2"/>
  <c r="T27" i="2"/>
  <c r="V27" i="2"/>
  <c r="W27" i="2"/>
  <c r="N8" i="2"/>
  <c r="O8" i="2"/>
  <c r="S23" i="1"/>
  <c r="W5" i="2"/>
  <c r="U5" i="2"/>
  <c r="M14" i="2"/>
  <c r="N14" i="2"/>
  <c r="O14" i="2"/>
  <c r="T5" i="2"/>
  <c r="L14" i="2"/>
  <c r="V5" i="2"/>
  <c r="BE18" i="5"/>
  <c r="R57" i="5"/>
  <c r="D23" i="2"/>
  <c r="S21" i="1"/>
  <c r="M32" i="2"/>
  <c r="V29" i="2"/>
  <c r="W29" i="2"/>
  <c r="N32" i="2"/>
  <c r="U29" i="2"/>
  <c r="T29" i="2"/>
  <c r="L23" i="2"/>
  <c r="O23" i="2"/>
  <c r="W4" i="2"/>
  <c r="T4" i="2"/>
  <c r="U4" i="2"/>
  <c r="M23" i="2"/>
  <c r="V4" i="2"/>
  <c r="N23" i="2"/>
  <c r="BL19" i="5"/>
  <c r="S64" i="5"/>
  <c r="W13" i="2"/>
  <c r="O2" i="2"/>
  <c r="N2" i="2"/>
  <c r="M2" i="2"/>
  <c r="T13" i="2"/>
  <c r="U13" i="2"/>
  <c r="V13" i="2"/>
  <c r="L2" i="2"/>
  <c r="AJ11" i="5"/>
  <c r="K36" i="5"/>
  <c r="N28" i="2"/>
  <c r="M28" i="2"/>
  <c r="U15" i="2"/>
  <c r="L28" i="2"/>
  <c r="O28" i="2"/>
  <c r="V15" i="2"/>
  <c r="T15" i="2"/>
  <c r="W15" i="2"/>
  <c r="AG10" i="5"/>
  <c r="J33" i="5"/>
  <c r="W3" i="2"/>
  <c r="T3" i="2"/>
  <c r="U3" i="2"/>
  <c r="O12" i="2"/>
  <c r="M12" i="2"/>
  <c r="L12" i="2"/>
  <c r="N12" i="2"/>
  <c r="V3" i="2"/>
  <c r="AQ26" i="5"/>
  <c r="Z43" i="5"/>
  <c r="M21" i="2"/>
  <c r="W16" i="2"/>
  <c r="N21" i="2"/>
  <c r="O21" i="2"/>
  <c r="V16" i="2"/>
  <c r="L21" i="2"/>
  <c r="AO54" i="5"/>
  <c r="D30" i="2"/>
  <c r="D25" i="2"/>
  <c r="BB41" i="5"/>
  <c r="N30" i="2"/>
  <c r="T25" i="2"/>
  <c r="L30" i="2"/>
  <c r="W25" i="2"/>
  <c r="O30" i="2"/>
  <c r="U25" i="2"/>
  <c r="M30" i="2"/>
  <c r="V25" i="2"/>
  <c r="AE22" i="5"/>
  <c r="V31" i="5"/>
  <c r="D11" i="2"/>
  <c r="W11" i="2"/>
  <c r="L7" i="2"/>
  <c r="U11" i="2"/>
  <c r="T11" i="2"/>
  <c r="O7" i="2"/>
  <c r="V11" i="2"/>
  <c r="N7" i="2"/>
  <c r="M7" i="2"/>
  <c r="AM8" i="5"/>
  <c r="H39" i="5"/>
  <c r="N24" i="2"/>
  <c r="V31" i="2"/>
  <c r="O24" i="2"/>
  <c r="U31" i="2"/>
  <c r="T31" i="2"/>
  <c r="W31" i="2"/>
  <c r="M24" i="2"/>
  <c r="L24" i="2"/>
  <c r="O6" i="5"/>
  <c r="F15" i="5"/>
  <c r="D9" i="2"/>
  <c r="O22" i="2"/>
  <c r="W9" i="2"/>
  <c r="V9" i="2"/>
  <c r="U9" i="2"/>
  <c r="T9" i="2"/>
  <c r="L22" i="2"/>
  <c r="N22" i="2"/>
  <c r="M22" i="2"/>
  <c r="AK46" i="5"/>
  <c r="AT37" i="5"/>
  <c r="O33" i="2"/>
  <c r="N33" i="2"/>
  <c r="T19" i="2"/>
  <c r="V19" i="2"/>
  <c r="W19" i="2"/>
  <c r="M33" i="2"/>
  <c r="U19" i="2"/>
  <c r="L33" i="2"/>
  <c r="AC52" i="5"/>
  <c r="AZ29" i="5"/>
  <c r="S17" i="1"/>
  <c r="W17" i="2"/>
  <c r="U17" i="2"/>
  <c r="L18" i="2"/>
  <c r="N18" i="2"/>
  <c r="O18" i="2"/>
  <c r="M18" i="2"/>
  <c r="V17" i="2"/>
  <c r="T17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9" i="2"/>
  <c r="I19" i="2" s="1"/>
  <c r="F33" i="2"/>
  <c r="G33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23" i="2"/>
  <c r="I23" i="2" s="1"/>
  <c r="BF13" i="4"/>
  <c r="M58" i="4"/>
  <c r="AT57" i="10"/>
  <c r="BE46" i="10"/>
  <c r="AT57" i="8"/>
  <c r="BE46" i="8"/>
  <c r="H21" i="2"/>
  <c r="I21" i="2" s="1"/>
  <c r="F16" i="2"/>
  <c r="G16" i="2" s="1"/>
  <c r="AR25" i="4"/>
  <c r="Y44" i="4"/>
  <c r="AP49" i="10"/>
  <c r="AW42" i="10"/>
  <c r="AP49" i="8"/>
  <c r="AW42" i="8"/>
  <c r="F10" i="2"/>
  <c r="G10" i="2" s="1"/>
  <c r="H33" i="2"/>
  <c r="I33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7" i="2"/>
  <c r="G27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5" i="2"/>
  <c r="I25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3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5" i="2"/>
  <c r="G15" i="2" s="1"/>
  <c r="H30" i="2"/>
  <c r="I30" i="2" s="1"/>
  <c r="AP35" i="4"/>
  <c r="AI42" i="4"/>
  <c r="BD65" i="10"/>
  <c r="BM56" i="10"/>
  <c r="BM56" i="8"/>
  <c r="BD65" i="8"/>
  <c r="F20" i="2"/>
  <c r="G20" i="2" s="1"/>
  <c r="BC22" i="4"/>
  <c r="V55" i="4"/>
  <c r="AQ54" i="10"/>
  <c r="BB43" i="10"/>
  <c r="BB43" i="8"/>
  <c r="AQ54" i="8"/>
  <c r="F24" i="2"/>
  <c r="G24" i="2" s="1"/>
  <c r="H31" i="2"/>
  <c r="I31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3" i="2"/>
  <c r="I3" i="2" s="1"/>
  <c r="F1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5" i="2"/>
  <c r="G25" i="2" s="1"/>
  <c r="BA6" i="4"/>
  <c r="F53" i="4"/>
  <c r="BA52" i="10"/>
  <c r="AZ53" i="10"/>
  <c r="AZ53" i="8"/>
  <c r="BA52" i="8"/>
  <c r="F31" i="2"/>
  <c r="G31" i="2" s="1"/>
  <c r="G6" i="4"/>
  <c r="F7" i="4"/>
  <c r="S52" i="10"/>
  <c r="AZ19" i="10"/>
  <c r="AZ19" i="8"/>
  <c r="S52" i="8"/>
  <c r="H9" i="2"/>
  <c r="I9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3" i="2"/>
  <c r="G3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7" i="2"/>
  <c r="G17" i="2" s="1"/>
  <c r="H32" i="2"/>
  <c r="I32" i="2" s="1"/>
  <c r="AY14" i="4"/>
  <c r="N51" i="4"/>
  <c r="I18" i="10"/>
  <c r="R9" i="10"/>
  <c r="R9" i="8"/>
  <c r="I18" i="8"/>
  <c r="H8" i="2"/>
  <c r="I8" i="2" s="1"/>
  <c r="F26" i="2"/>
  <c r="G26" i="2" s="1"/>
  <c r="L26" i="2"/>
  <c r="O26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6" i="2"/>
  <c r="H6" i="2"/>
  <c r="I6" i="2" s="1"/>
  <c r="X13" i="5"/>
  <c r="M24" i="5"/>
  <c r="L32" i="2"/>
  <c r="F32" i="2"/>
  <c r="G32" i="2" s="1"/>
  <c r="D32" i="2"/>
  <c r="O32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5" i="2"/>
  <c r="I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8" i="2"/>
  <c r="G8" i="2" s="1"/>
  <c r="H27" i="2"/>
  <c r="I27" i="2" s="1"/>
  <c r="BG66" i="10"/>
  <c r="BN59" i="10"/>
  <c r="BN59" i="8"/>
  <c r="BG66" i="8"/>
  <c r="T20" i="2"/>
  <c r="D7" i="2"/>
  <c r="H20" i="2"/>
  <c r="I20" i="2" s="1"/>
  <c r="BD31" i="5"/>
  <c r="AE56" i="5"/>
  <c r="D20" i="2"/>
  <c r="U20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2" i="2"/>
  <c r="I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9" i="2"/>
  <c r="G9" i="2" s="1"/>
  <c r="E66" i="4"/>
  <c r="BN5" i="4"/>
  <c r="H10" i="2"/>
  <c r="I10" i="2" s="1"/>
  <c r="L9" i="2"/>
  <c r="M9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6" i="2"/>
  <c r="G6" i="2" s="1"/>
  <c r="AN23" i="4"/>
  <c r="W40" i="4"/>
  <c r="H15" i="10"/>
  <c r="O8" i="10"/>
  <c r="O8" i="8"/>
  <c r="H15" i="8"/>
  <c r="F29" i="2"/>
  <c r="G29" i="2" s="1"/>
  <c r="BG24" i="4"/>
  <c r="X59" i="4"/>
  <c r="E16" i="10"/>
  <c r="P5" i="10"/>
  <c r="P5" i="8"/>
  <c r="E16" i="8"/>
  <c r="H29" i="2"/>
  <c r="I29" i="2" s="1"/>
  <c r="BH13" i="4"/>
  <c r="M60" i="4"/>
  <c r="J21" i="10"/>
  <c r="U10" i="10"/>
  <c r="J21" i="8"/>
  <c r="U10" i="8"/>
  <c r="H26" i="2"/>
  <c r="I26" i="2" s="1"/>
  <c r="AB17" i="4"/>
  <c r="Q28" i="4"/>
  <c r="D4" i="2"/>
  <c r="F4" i="2"/>
  <c r="G4" i="2" s="1"/>
  <c r="L4" i="2"/>
  <c r="AB17" i="5"/>
  <c r="M4" i="2"/>
  <c r="Q28" i="5"/>
  <c r="D26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5" i="2"/>
  <c r="G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4" i="2"/>
  <c r="I4" i="2" s="1"/>
  <c r="F23" i="2"/>
  <c r="G23" i="2" s="1"/>
  <c r="BE18" i="4"/>
  <c r="R57" i="4"/>
  <c r="AU44" i="10"/>
  <c r="AR47" i="10"/>
  <c r="AU44" i="8"/>
  <c r="AR47" i="8"/>
  <c r="D24" i="2"/>
  <c r="AS40" i="5"/>
  <c r="AN45" i="5"/>
  <c r="M19" i="2"/>
  <c r="F19" i="2"/>
  <c r="G19" i="2" s="1"/>
  <c r="H24" i="2"/>
  <c r="I24" i="2" s="1"/>
  <c r="D19" i="2"/>
  <c r="L19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3" i="2"/>
  <c r="F2" i="2"/>
  <c r="G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5" i="2"/>
  <c r="I15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8" i="2"/>
  <c r="I18" i="2" s="1"/>
  <c r="K30" i="4"/>
  <c r="AD11" i="4"/>
  <c r="S58" i="10"/>
  <c r="BF19" i="10"/>
  <c r="BF19" i="8"/>
  <c r="S58" i="8"/>
  <c r="BD12" i="1"/>
  <c r="BD13" i="1"/>
  <c r="Z15" i="5"/>
  <c r="D16" i="2"/>
  <c r="O26" i="5"/>
  <c r="D22" i="2"/>
  <c r="CS10" i="2"/>
  <c r="F22" i="2"/>
  <c r="G22" i="2" s="1"/>
  <c r="CS9" i="2"/>
  <c r="Z15" i="4"/>
  <c r="U16" i="2"/>
  <c r="O26" i="4"/>
  <c r="H16" i="2"/>
  <c r="I16" i="2" s="1"/>
  <c r="T1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2" i="2"/>
  <c r="I1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22" i="2"/>
  <c r="I22" i="2" s="1"/>
  <c r="BG20" i="8"/>
  <c r="AE16" i="4"/>
  <c r="Y30" i="10"/>
  <c r="AD25" i="10"/>
  <c r="AD25" i="8"/>
  <c r="Y30" i="8"/>
  <c r="F18" i="2"/>
  <c r="G18" i="2" s="1"/>
  <c r="H17" i="2"/>
  <c r="I17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4" i="2"/>
  <c r="BU18" i="2"/>
  <c r="O991" i="1"/>
  <c r="AD991" i="1" s="1"/>
  <c r="BU6" i="2"/>
  <c r="BU2" i="2"/>
  <c r="BU20" i="2"/>
  <c r="BU29" i="2"/>
  <c r="BU17" i="2"/>
  <c r="BU30" i="2"/>
  <c r="BU13" i="2"/>
  <c r="BU22" i="2"/>
  <c r="BU28" i="2"/>
  <c r="BU12" i="2"/>
  <c r="BU31" i="2"/>
  <c r="BU8" i="2"/>
  <c r="BU15" i="2"/>
  <c r="BU32" i="2"/>
  <c r="BU3" i="2"/>
  <c r="BU9" i="2"/>
  <c r="BU23" i="2"/>
  <c r="BU27" i="2"/>
  <c r="BU33" i="2"/>
  <c r="BU16" i="2"/>
  <c r="BU24" i="2"/>
  <c r="BU19" i="2"/>
  <c r="BU25" i="2"/>
  <c r="BU5" i="2"/>
  <c r="BU10" i="2"/>
  <c r="BU14" i="2"/>
  <c r="BU21" i="2"/>
  <c r="BU11" i="2"/>
  <c r="O989" i="1"/>
  <c r="AD989" i="1" s="1"/>
  <c r="BU26" i="2"/>
  <c r="O984" i="1"/>
  <c r="AD984" i="1" s="1"/>
  <c r="BT33" i="2"/>
  <c r="O953" i="1"/>
  <c r="AD953" i="1" s="1"/>
  <c r="BT16" i="2"/>
  <c r="BT26" i="2"/>
  <c r="O977" i="1"/>
  <c r="AD977" i="1" s="1"/>
  <c r="BT8" i="2"/>
  <c r="BT6" i="2"/>
  <c r="BT7" i="2"/>
  <c r="BT4" i="2"/>
  <c r="BT15" i="2"/>
  <c r="BT29" i="2"/>
  <c r="BT18" i="2"/>
  <c r="BT30" i="2"/>
  <c r="BT3" i="2"/>
  <c r="BT10" i="2"/>
  <c r="BT19" i="2"/>
  <c r="BT32" i="2"/>
  <c r="BT13" i="2"/>
  <c r="BT24" i="2"/>
  <c r="BT31" i="2"/>
  <c r="BT5" i="2"/>
  <c r="BT17" i="2"/>
  <c r="BT20" i="2"/>
  <c r="BT9" i="2"/>
  <c r="BT28" i="2"/>
  <c r="BT25" i="2"/>
  <c r="BT14" i="2"/>
  <c r="BT12" i="2"/>
  <c r="BT22" i="2"/>
  <c r="BT2" i="2"/>
  <c r="BT23" i="2"/>
  <c r="BT21" i="2"/>
  <c r="BT11" i="2"/>
  <c r="BT27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47" i="1"/>
  <c r="AD1030" i="1"/>
  <c r="AD995" i="1"/>
  <c r="AD854" i="1"/>
  <c r="AD822" i="1"/>
  <c r="AD758" i="1"/>
  <c r="AD742" i="1"/>
  <c r="AD710" i="1"/>
  <c r="AD694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1122" i="1"/>
  <c r="AD834" i="1"/>
  <c r="AD1313" i="1"/>
  <c r="AD1297" i="1"/>
  <c r="AD1281" i="1"/>
  <c r="AD1265" i="1"/>
  <c r="AD1249" i="1"/>
  <c r="AD1233" i="1"/>
  <c r="AD1185" i="1"/>
  <c r="AD1137" i="1"/>
  <c r="AD1041" i="1"/>
  <c r="AD961" i="1"/>
  <c r="AD529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82" i="1"/>
  <c r="AD1150" i="1"/>
  <c r="AD1084" i="1"/>
  <c r="AD1070" i="1"/>
  <c r="AD896" i="1"/>
  <c r="AD1309" i="1"/>
  <c r="AD1293" i="1"/>
  <c r="AD1277" i="1"/>
  <c r="AD1261" i="1"/>
  <c r="AD1245" i="1"/>
  <c r="AD1229" i="1"/>
  <c r="AD1213" i="1"/>
  <c r="AD1181" i="1"/>
  <c r="AD1053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83" i="1"/>
  <c r="AD1051" i="1"/>
  <c r="AD1035" i="1"/>
  <c r="AD987" i="1"/>
  <c r="AD971" i="1"/>
  <c r="AD940" i="1"/>
  <c r="AD890" i="1"/>
  <c r="AD763" i="1"/>
  <c r="AD1306" i="1"/>
  <c r="AD1290" i="1"/>
  <c r="AD1274" i="1"/>
  <c r="AD1258" i="1"/>
  <c r="AD1242" i="1"/>
  <c r="AD1226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969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1126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69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013" i="1"/>
  <c r="AC1304" i="1"/>
  <c r="AC1292" i="1"/>
  <c r="AC1268" i="1"/>
  <c r="AC1238" i="1"/>
  <c r="AC1226" i="1"/>
  <c r="AC1214" i="1"/>
  <c r="AC1202" i="1"/>
  <c r="AC1190" i="1"/>
  <c r="AC1142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980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109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122" i="1"/>
  <c r="AC1098" i="1"/>
  <c r="AC1092" i="1"/>
  <c r="AC1084" i="1"/>
  <c r="AC1080" i="1"/>
  <c r="AC102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0" i="2"/>
  <c r="BG17" i="2"/>
  <c r="BE17" i="2"/>
  <c r="BF33" i="2"/>
  <c r="BE29" i="2"/>
  <c r="BA27" i="2"/>
  <c r="BG9" i="2"/>
  <c r="BA10" i="2"/>
  <c r="BF23" i="2"/>
  <c r="BG5" i="2"/>
  <c r="BE10" i="2"/>
  <c r="BF20" i="2"/>
  <c r="BG25" i="2"/>
  <c r="BA33" i="2"/>
  <c r="BA8" i="2"/>
  <c r="BG29" i="2"/>
  <c r="BE20" i="2"/>
  <c r="BF2" i="2"/>
  <c r="BA32" i="2"/>
  <c r="BA28" i="2"/>
  <c r="BF3" i="2"/>
  <c r="BA5" i="2"/>
  <c r="BF21" i="2"/>
  <c r="BG15" i="2"/>
  <c r="BA26" i="2"/>
  <c r="BF7" i="2"/>
  <c r="BG6" i="2"/>
  <c r="BE11" i="2"/>
  <c r="BA22" i="2"/>
  <c r="BG23" i="2"/>
  <c r="BG19" i="2"/>
  <c r="BG12" i="2"/>
  <c r="BE18" i="2"/>
  <c r="BA16" i="2"/>
  <c r="BF6" i="2"/>
  <c r="BF32" i="2"/>
  <c r="BG31" i="2"/>
  <c r="BA6" i="2"/>
  <c r="BE32" i="2"/>
  <c r="BA19" i="2"/>
  <c r="BA30" i="2"/>
  <c r="BF12" i="2"/>
  <c r="BE16" i="2"/>
  <c r="BG4" i="2"/>
  <c r="BE4" i="2"/>
  <c r="BA9" i="2"/>
  <c r="BF8" i="2"/>
  <c r="BG13" i="2"/>
  <c r="BE8" i="2"/>
  <c r="BA29" i="2"/>
  <c r="BF19" i="2"/>
  <c r="BA21" i="2"/>
  <c r="BA24" i="2"/>
  <c r="BE31" i="2"/>
  <c r="BE33" i="2"/>
  <c r="BA15" i="2"/>
  <c r="BF16" i="2"/>
  <c r="BA11" i="2"/>
  <c r="BE2" i="2"/>
  <c r="BE28" i="2"/>
  <c r="BA3" i="2"/>
  <c r="BE25" i="2"/>
  <c r="BF10" i="2"/>
  <c r="BA17" i="2"/>
  <c r="BF27" i="2"/>
  <c r="BE19" i="2"/>
  <c r="BE24" i="2"/>
  <c r="BG7" i="2"/>
  <c r="BF18" i="2"/>
  <c r="BE9" i="2"/>
  <c r="BF29" i="2"/>
  <c r="BE23" i="2"/>
  <c r="BA20" i="2"/>
  <c r="BF25" i="2"/>
  <c r="BE27" i="2"/>
  <c r="BE5" i="2"/>
  <c r="BG24" i="2"/>
  <c r="BE12" i="2"/>
  <c r="BE26" i="2"/>
  <c r="BG11" i="2"/>
  <c r="BA2" i="2"/>
  <c r="BA4" i="2"/>
  <c r="BE22" i="2"/>
  <c r="BG3" i="2"/>
  <c r="BF31" i="2"/>
  <c r="BG10" i="2"/>
  <c r="BE21" i="2"/>
  <c r="BG30" i="2"/>
  <c r="BG26" i="2"/>
  <c r="BG22" i="2"/>
  <c r="BG28" i="2"/>
  <c r="BE3" i="2"/>
  <c r="BA31" i="2"/>
  <c r="BA13" i="2"/>
  <c r="BE13" i="2"/>
  <c r="BA23" i="2"/>
  <c r="BE30" i="2"/>
  <c r="BE15" i="2"/>
  <c r="BE7" i="2"/>
  <c r="BG18" i="2"/>
  <c r="BA25" i="2"/>
  <c r="BG21" i="2"/>
  <c r="BA18" i="2"/>
  <c r="BE6" i="2"/>
  <c r="BF11" i="2"/>
  <c r="BG2" i="2"/>
  <c r="BF9" i="2"/>
  <c r="BF13" i="2"/>
  <c r="BG8" i="2"/>
  <c r="BF17" i="2"/>
  <c r="BG27" i="2"/>
  <c r="BF24" i="2"/>
  <c r="BG33" i="2"/>
  <c r="BF26" i="2"/>
  <c r="BG16" i="2"/>
  <c r="BF22" i="2"/>
  <c r="BG32" i="2"/>
  <c r="BF30" i="2"/>
  <c r="BF4" i="2"/>
  <c r="BA12" i="2"/>
  <c r="BF5" i="2"/>
  <c r="BF15" i="2"/>
  <c r="BA7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1102" i="1" l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23" i="2"/>
  <c r="Z23" i="2"/>
  <c r="AA2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3" i="2"/>
  <c r="R3" i="2"/>
  <c r="S3" i="2"/>
  <c r="AA2" i="2"/>
  <c r="Z2" i="2"/>
  <c r="Y2" i="2"/>
  <c r="R6" i="2"/>
  <c r="Q6" i="2"/>
  <c r="S6" i="2"/>
  <c r="S5" i="2"/>
  <c r="R5" i="2"/>
  <c r="Q5" i="2"/>
  <c r="Y7" i="2"/>
  <c r="AA7" i="2"/>
  <c r="Z7" i="2"/>
  <c r="AD1133" i="1"/>
  <c r="AC1119" i="1"/>
  <c r="AD933" i="1"/>
  <c r="AC1135" i="1"/>
  <c r="AC1066" i="1"/>
  <c r="Z8" i="2"/>
  <c r="AA8" i="2"/>
  <c r="Y8" i="2"/>
  <c r="AC1094" i="1"/>
  <c r="AD902" i="1"/>
  <c r="AD747" i="1"/>
  <c r="R19" i="2"/>
  <c r="Q19" i="2"/>
  <c r="S19" i="2"/>
  <c r="AC1148" i="1"/>
  <c r="AC1162" i="1"/>
  <c r="Z26" i="2"/>
  <c r="AA26" i="2"/>
  <c r="Y26" i="2"/>
  <c r="S9" i="2"/>
  <c r="AA10" i="2"/>
  <c r="Y10" i="2"/>
  <c r="Z10" i="2"/>
  <c r="Q9" i="2"/>
  <c r="R9" i="2"/>
  <c r="Z28" i="2"/>
  <c r="AA28" i="2"/>
  <c r="Y28" i="2"/>
  <c r="R16" i="2"/>
  <c r="AA21" i="2"/>
  <c r="Z21" i="2"/>
  <c r="S16" i="2"/>
  <c r="Y21" i="2"/>
  <c r="Q16" i="2"/>
  <c r="AA20" i="2"/>
  <c r="Y20" i="2"/>
  <c r="Q11" i="2"/>
  <c r="Z20" i="2"/>
  <c r="S11" i="2"/>
  <c r="R11" i="2"/>
  <c r="R13" i="2"/>
  <c r="S13" i="2"/>
  <c r="Q13" i="2"/>
  <c r="R15" i="2"/>
  <c r="Y30" i="2"/>
  <c r="Q15" i="2"/>
  <c r="AA30" i="2"/>
  <c r="Z30" i="2"/>
  <c r="S15" i="2"/>
  <c r="Q25" i="2"/>
  <c r="R25" i="2"/>
  <c r="S25" i="2"/>
  <c r="Q4" i="2"/>
  <c r="R4" i="2"/>
  <c r="S4" i="2"/>
  <c r="Y24" i="2"/>
  <c r="Z24" i="2"/>
  <c r="AA24" i="2"/>
  <c r="Z6" i="2"/>
  <c r="R29" i="2"/>
  <c r="AA6" i="2"/>
  <c r="S29" i="2"/>
  <c r="Q29" i="2"/>
  <c r="Y6" i="2"/>
  <c r="AA18" i="2"/>
  <c r="Z18" i="2"/>
  <c r="Y18" i="2"/>
  <c r="S10" i="2"/>
  <c r="Y33" i="2"/>
  <c r="Z33" i="2"/>
  <c r="Q10" i="2"/>
  <c r="AA33" i="2"/>
  <c r="R10" i="2"/>
  <c r="Q31" i="2"/>
  <c r="S31" i="2"/>
  <c r="R31" i="2"/>
  <c r="Z22" i="2"/>
  <c r="Y22" i="2"/>
  <c r="AA22" i="2"/>
  <c r="R20" i="2"/>
  <c r="Q20" i="2"/>
  <c r="S20" i="2"/>
  <c r="R17" i="2"/>
  <c r="AA32" i="2"/>
  <c r="Q17" i="2"/>
  <c r="S17" i="2"/>
  <c r="Y32" i="2"/>
  <c r="Z32" i="2"/>
  <c r="Q26" i="2"/>
  <c r="R26" i="2"/>
  <c r="S26" i="2"/>
  <c r="J69" i="7"/>
  <c r="Y8" i="6"/>
  <c r="J33" i="7"/>
  <c r="AA27" i="2"/>
  <c r="S8" i="2"/>
  <c r="Q8" i="2"/>
  <c r="Z27" i="2"/>
  <c r="Y27" i="2"/>
  <c r="R8" i="2"/>
  <c r="J29" i="7"/>
  <c r="B8" i="6"/>
  <c r="J67" i="7"/>
  <c r="S14" i="2"/>
  <c r="Z5" i="2"/>
  <c r="R14" i="2"/>
  <c r="AA5" i="2"/>
  <c r="Q14" i="2"/>
  <c r="Y5" i="2"/>
  <c r="AD8" i="6"/>
  <c r="J32" i="7"/>
  <c r="J66" i="7"/>
  <c r="Q32" i="2"/>
  <c r="Y29" i="2"/>
  <c r="Z29" i="2"/>
  <c r="S32" i="2"/>
  <c r="AA29" i="2"/>
  <c r="R32" i="2"/>
  <c r="Z4" i="2"/>
  <c r="AA4" i="2"/>
  <c r="Q23" i="2"/>
  <c r="Y4" i="2"/>
  <c r="S23" i="2"/>
  <c r="R23" i="2"/>
  <c r="J25" i="7"/>
  <c r="AC8" i="6"/>
  <c r="J59" i="7"/>
  <c r="J54" i="7"/>
  <c r="J22" i="7"/>
  <c r="AF8" i="6"/>
  <c r="J8" i="6"/>
  <c r="J55" i="7"/>
  <c r="J19" i="7"/>
  <c r="Y13" i="2"/>
  <c r="Z13" i="2"/>
  <c r="AA13" i="2"/>
  <c r="S2" i="2"/>
  <c r="Q2" i="2"/>
  <c r="R2" i="2"/>
  <c r="R28" i="2"/>
  <c r="Q28" i="2"/>
  <c r="Z15" i="2"/>
  <c r="Y15" i="2"/>
  <c r="AA15" i="2"/>
  <c r="S28" i="2"/>
  <c r="Z3" i="2"/>
  <c r="R12" i="2"/>
  <c r="AA3" i="2"/>
  <c r="Y3" i="2"/>
  <c r="S12" i="2"/>
  <c r="Q12" i="2"/>
  <c r="S21" i="2"/>
  <c r="Q21" i="2"/>
  <c r="AA16" i="2"/>
  <c r="R21" i="2"/>
  <c r="Y16" i="2"/>
  <c r="Z16" i="2"/>
  <c r="Z25" i="2"/>
  <c r="Q30" i="2"/>
  <c r="AA25" i="2"/>
  <c r="Y25" i="2"/>
  <c r="R30" i="2"/>
  <c r="S30" i="2"/>
  <c r="Y11" i="2"/>
  <c r="R7" i="2"/>
  <c r="Q7" i="2"/>
  <c r="AA11" i="2"/>
  <c r="Z11" i="2"/>
  <c r="S7" i="2"/>
  <c r="AA31" i="2"/>
  <c r="Q24" i="2"/>
  <c r="Y31" i="2"/>
  <c r="S24" i="2"/>
  <c r="R24" i="2"/>
  <c r="Z31" i="2"/>
  <c r="AD10" i="1"/>
  <c r="BD22" i="1"/>
  <c r="Q22" i="2"/>
  <c r="R22" i="2"/>
  <c r="AA9" i="2"/>
  <c r="Z9" i="2"/>
  <c r="S22" i="2"/>
  <c r="Y9" i="2"/>
  <c r="AA19" i="2"/>
  <c r="Q33" i="2"/>
  <c r="Z19" i="2"/>
  <c r="Y19" i="2"/>
  <c r="S33" i="2"/>
  <c r="R33" i="2"/>
  <c r="AD17" i="1"/>
  <c r="BM6" i="1"/>
  <c r="BM7" i="1"/>
  <c r="Y17" i="2"/>
  <c r="Z17" i="2"/>
  <c r="S18" i="2"/>
  <c r="R18" i="2"/>
  <c r="AA17" i="2"/>
  <c r="Q18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2" i="7"/>
  <c r="O32" i="7"/>
  <c r="M32" i="7"/>
  <c r="AX32" i="7"/>
  <c r="EP32" i="7"/>
  <c r="BE32" i="7"/>
  <c r="EW32" i="7"/>
  <c r="BF32" i="7"/>
  <c r="EX32" i="7"/>
  <c r="BG32" i="7"/>
  <c r="CF32" i="7"/>
  <c r="FX32" i="7"/>
  <c r="CM32" i="7"/>
  <c r="GE32" i="7"/>
  <c r="FW32" i="7"/>
  <c r="BD32" i="7"/>
  <c r="EV32" i="7"/>
  <c r="BK32" i="7"/>
  <c r="FC32" i="7"/>
  <c r="BL32" i="7"/>
  <c r="FD32" i="7"/>
  <c r="BM32" i="7"/>
  <c r="CL32" i="7"/>
  <c r="GD32" i="7"/>
  <c r="CS32" i="7"/>
  <c r="GK32" i="7"/>
  <c r="DI32" i="7"/>
  <c r="BJ32" i="7"/>
  <c r="FB32" i="7"/>
  <c r="BQ32" i="7"/>
  <c r="FI32" i="7"/>
  <c r="BR32" i="7"/>
  <c r="FJ32" i="7"/>
  <c r="BS32" i="7"/>
  <c r="CR32" i="7"/>
  <c r="GJ32" i="7"/>
  <c r="CY32" i="7"/>
  <c r="GQ32" i="7"/>
  <c r="ES32" i="7"/>
  <c r="BP32" i="7"/>
  <c r="FH32" i="7"/>
  <c r="BW32" i="7"/>
  <c r="FO32" i="7"/>
  <c r="BX32" i="7"/>
  <c r="FP32" i="7"/>
  <c r="BY32" i="7"/>
  <c r="CX32" i="7"/>
  <c r="GP32" i="7"/>
  <c r="DE32" i="7"/>
  <c r="CK32" i="7"/>
  <c r="GC32" i="7"/>
  <c r="BV32" i="7"/>
  <c r="FN32" i="7"/>
  <c r="CC32" i="7"/>
  <c r="FU32" i="7"/>
  <c r="CD32" i="7"/>
  <c r="FV32" i="7"/>
  <c r="CE32" i="7"/>
  <c r="DD32" i="7"/>
  <c r="S32" i="7"/>
  <c r="DK32" i="7"/>
  <c r="DU32" i="7"/>
  <c r="DO32" i="7"/>
  <c r="CB32" i="7"/>
  <c r="FT32" i="7"/>
  <c r="CI32" i="7"/>
  <c r="GA32" i="7"/>
  <c r="CJ32" i="7"/>
  <c r="GB32" i="7"/>
  <c r="R32" i="7"/>
  <c r="DJ32" i="7"/>
  <c r="Y32" i="7"/>
  <c r="DQ32" i="7"/>
  <c r="FE32" i="7"/>
  <c r="EY32" i="7"/>
  <c r="CH32" i="7"/>
  <c r="FZ32" i="7"/>
  <c r="CO32" i="7"/>
  <c r="GG32" i="7"/>
  <c r="CP32" i="7"/>
  <c r="GH32" i="7"/>
  <c r="X32" i="7"/>
  <c r="DP32" i="7"/>
  <c r="AE32" i="7"/>
  <c r="DW32" i="7"/>
  <c r="GO32" i="7"/>
  <c r="GI32" i="7"/>
  <c r="CN32" i="7"/>
  <c r="GF32" i="7"/>
  <c r="CU32" i="7"/>
  <c r="GM32" i="7"/>
  <c r="CV32" i="7"/>
  <c r="GN32" i="7"/>
  <c r="AD32" i="7"/>
  <c r="DV32" i="7"/>
  <c r="AK32" i="7"/>
  <c r="EC32" i="7"/>
  <c r="CQ32" i="7"/>
  <c r="CT32" i="7"/>
  <c r="GL32" i="7"/>
  <c r="DA32" i="7"/>
  <c r="GS32" i="7"/>
  <c r="DB32" i="7"/>
  <c r="GT32" i="7"/>
  <c r="AJ32" i="7"/>
  <c r="EB32" i="7"/>
  <c r="AQ32" i="7"/>
  <c r="EI32" i="7"/>
  <c r="EA32" i="7"/>
  <c r="CZ32" i="7"/>
  <c r="GR32" i="7"/>
  <c r="DG32" i="7"/>
  <c r="P32" i="7"/>
  <c r="DH32" i="7"/>
  <c r="Q32" i="7"/>
  <c r="AP32" i="7"/>
  <c r="EH32" i="7"/>
  <c r="AW32" i="7"/>
  <c r="EO32" i="7"/>
  <c r="FK32" i="7"/>
  <c r="DF32" i="7"/>
  <c r="U32" i="7"/>
  <c r="DM32" i="7"/>
  <c r="V32" i="7"/>
  <c r="DN32" i="7"/>
  <c r="W32" i="7"/>
  <c r="AV32" i="7"/>
  <c r="EN32" i="7"/>
  <c r="BC32" i="7"/>
  <c r="EU32" i="7"/>
  <c r="GU32" i="7"/>
  <c r="T32" i="7"/>
  <c r="DL32" i="7"/>
  <c r="AA32" i="7"/>
  <c r="DS32" i="7"/>
  <c r="AB32" i="7"/>
  <c r="DT32" i="7"/>
  <c r="AC32" i="7"/>
  <c r="BB32" i="7"/>
  <c r="ET32" i="7"/>
  <c r="BI32" i="7"/>
  <c r="FA32" i="7"/>
  <c r="CW32" i="7"/>
  <c r="Z32" i="7"/>
  <c r="DR32" i="7"/>
  <c r="AG32" i="7"/>
  <c r="DY32" i="7"/>
  <c r="AH32" i="7"/>
  <c r="DZ32" i="7"/>
  <c r="AI32" i="7"/>
  <c r="BH32" i="7"/>
  <c r="EZ32" i="7"/>
  <c r="BO32" i="7"/>
  <c r="FG32" i="7"/>
  <c r="EG32" i="7"/>
  <c r="AF32" i="7"/>
  <c r="DX32" i="7"/>
  <c r="AM32" i="7"/>
  <c r="EE32" i="7"/>
  <c r="AN32" i="7"/>
  <c r="EF32" i="7"/>
  <c r="AO32" i="7"/>
  <c r="BN32" i="7"/>
  <c r="FF32" i="7"/>
  <c r="BU32" i="7"/>
  <c r="FM32" i="7"/>
  <c r="FQ32" i="7"/>
  <c r="AL32" i="7"/>
  <c r="ED32" i="7"/>
  <c r="AS32" i="7"/>
  <c r="EK32" i="7"/>
  <c r="AT32" i="7"/>
  <c r="EL32" i="7"/>
  <c r="AU32" i="7"/>
  <c r="BT32" i="7"/>
  <c r="FL32" i="7"/>
  <c r="CA32" i="7"/>
  <c r="FS32" i="7"/>
  <c r="DC32" i="7"/>
  <c r="AR32" i="7"/>
  <c r="EJ32" i="7"/>
  <c r="AY32" i="7"/>
  <c r="EQ32" i="7"/>
  <c r="AZ32" i="7"/>
  <c r="ER32" i="7"/>
  <c r="BA32" i="7"/>
  <c r="BZ32" i="7"/>
  <c r="FR32" i="7"/>
  <c r="CG32" i="7"/>
  <c r="FY32" i="7"/>
  <c r="EM32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9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9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9" i="7"/>
  <c r="ER29" i="7"/>
  <c r="BA29" i="7"/>
  <c r="ES29" i="7"/>
  <c r="BB29" i="7"/>
  <c r="ET29" i="7"/>
  <c r="BC29" i="7"/>
  <c r="EU29" i="7"/>
  <c r="BD29" i="7"/>
  <c r="EV29" i="7"/>
  <c r="BE29" i="7"/>
  <c r="EW29" i="7"/>
  <c r="BF29" i="7"/>
  <c r="EX29" i="7"/>
  <c r="BG29" i="7"/>
  <c r="EY29" i="7"/>
  <c r="BH29" i="7"/>
  <c r="EZ29" i="7"/>
  <c r="BI29" i="7"/>
  <c r="FA29" i="7"/>
  <c r="BJ29" i="7"/>
  <c r="FB29" i="7"/>
  <c r="BK29" i="7"/>
  <c r="FC29" i="7"/>
  <c r="BL29" i="7"/>
  <c r="FD29" i="7"/>
  <c r="BM29" i="7"/>
  <c r="FE29" i="7"/>
  <c r="BN29" i="7"/>
  <c r="FF29" i="7"/>
  <c r="BO29" i="7"/>
  <c r="FG29" i="7"/>
  <c r="BP29" i="7"/>
  <c r="FH29" i="7"/>
  <c r="BQ29" i="7"/>
  <c r="FI29" i="7"/>
  <c r="BR29" i="7"/>
  <c r="FJ29" i="7"/>
  <c r="BS29" i="7"/>
  <c r="FK29" i="7"/>
  <c r="BT29" i="7"/>
  <c r="FL29" i="7"/>
  <c r="BU29" i="7"/>
  <c r="FM29" i="7"/>
  <c r="BV29" i="7"/>
  <c r="FN29" i="7"/>
  <c r="BW29" i="7"/>
  <c r="FO29" i="7"/>
  <c r="BX29" i="7"/>
  <c r="FP29" i="7"/>
  <c r="BY29" i="7"/>
  <c r="FQ29" i="7"/>
  <c r="BZ29" i="7"/>
  <c r="FR29" i="7"/>
  <c r="CA29" i="7"/>
  <c r="FS29" i="7"/>
  <c r="CB29" i="7"/>
  <c r="FT29" i="7"/>
  <c r="CC29" i="7"/>
  <c r="FU29" i="7"/>
  <c r="CD29" i="7"/>
  <c r="FV29" i="7"/>
  <c r="CE29" i="7"/>
  <c r="FW29" i="7"/>
  <c r="CF29" i="7"/>
  <c r="FX29" i="7"/>
  <c r="CG29" i="7"/>
  <c r="FY29" i="7"/>
  <c r="CH29" i="7"/>
  <c r="FZ29" i="7"/>
  <c r="CI29" i="7"/>
  <c r="GA29" i="7"/>
  <c r="CJ29" i="7"/>
  <c r="GB29" i="7"/>
  <c r="CK29" i="7"/>
  <c r="GC29" i="7"/>
  <c r="CL29" i="7"/>
  <c r="GD29" i="7"/>
  <c r="CM29" i="7"/>
  <c r="GE29" i="7"/>
  <c r="CN29" i="7"/>
  <c r="GF29" i="7"/>
  <c r="CO29" i="7"/>
  <c r="GG29" i="7"/>
  <c r="CP29" i="7"/>
  <c r="GH29" i="7"/>
  <c r="CQ29" i="7"/>
  <c r="GI29" i="7"/>
  <c r="CR29" i="7"/>
  <c r="GJ29" i="7"/>
  <c r="CS29" i="7"/>
  <c r="GK29" i="7"/>
  <c r="CT29" i="7"/>
  <c r="GL29" i="7"/>
  <c r="CU29" i="7"/>
  <c r="GM29" i="7"/>
  <c r="CV29" i="7"/>
  <c r="GN29" i="7"/>
  <c r="CW29" i="7"/>
  <c r="GO29" i="7"/>
  <c r="CX29" i="7"/>
  <c r="GP29" i="7"/>
  <c r="CY29" i="7"/>
  <c r="GQ29" i="7"/>
  <c r="CZ29" i="7"/>
  <c r="GR29" i="7"/>
  <c r="DA29" i="7"/>
  <c r="GS29" i="7"/>
  <c r="DB29" i="7"/>
  <c r="GT29" i="7"/>
  <c r="DC29" i="7"/>
  <c r="GU29" i="7"/>
  <c r="DD29" i="7"/>
  <c r="M29" i="7"/>
  <c r="DE29" i="7"/>
  <c r="N29" i="7"/>
  <c r="DF29" i="7"/>
  <c r="O29" i="7"/>
  <c r="DG29" i="7"/>
  <c r="P29" i="7"/>
  <c r="DH29" i="7"/>
  <c r="Q29" i="7"/>
  <c r="DI29" i="7"/>
  <c r="R29" i="7"/>
  <c r="DJ29" i="7"/>
  <c r="S29" i="7"/>
  <c r="DK29" i="7"/>
  <c r="T29" i="7"/>
  <c r="DL29" i="7"/>
  <c r="U29" i="7"/>
  <c r="DM29" i="7"/>
  <c r="V29" i="7"/>
  <c r="DN29" i="7"/>
  <c r="W29" i="7"/>
  <c r="DO29" i="7"/>
  <c r="X29" i="7"/>
  <c r="DP29" i="7"/>
  <c r="Y29" i="7"/>
  <c r="DQ29" i="7"/>
  <c r="Z29" i="7"/>
  <c r="DR29" i="7"/>
  <c r="AA29" i="7"/>
  <c r="DS29" i="7"/>
  <c r="AB29" i="7"/>
  <c r="DT29" i="7"/>
  <c r="AC29" i="7"/>
  <c r="DU29" i="7"/>
  <c r="AD29" i="7"/>
  <c r="DV29" i="7"/>
  <c r="AE29" i="7"/>
  <c r="DW29" i="7"/>
  <c r="AF29" i="7"/>
  <c r="DX29" i="7"/>
  <c r="AG29" i="7"/>
  <c r="DY29" i="7"/>
  <c r="AH29" i="7"/>
  <c r="DZ29" i="7"/>
  <c r="AI29" i="7"/>
  <c r="EA29" i="7"/>
  <c r="AJ29" i="7"/>
  <c r="EB29" i="7"/>
  <c r="AK29" i="7"/>
  <c r="EC29" i="7"/>
  <c r="AL29" i="7"/>
  <c r="ED29" i="7"/>
  <c r="AM29" i="7"/>
  <c r="EE29" i="7"/>
  <c r="AN29" i="7"/>
  <c r="EF29" i="7"/>
  <c r="AO29" i="7"/>
  <c r="EG29" i="7"/>
  <c r="AP29" i="7"/>
  <c r="EH29" i="7"/>
  <c r="AQ29" i="7"/>
  <c r="EI29" i="7"/>
  <c r="AR29" i="7"/>
  <c r="EJ29" i="7"/>
  <c r="AS29" i="7"/>
  <c r="EK29" i="7"/>
  <c r="AT29" i="7"/>
  <c r="EL29" i="7"/>
  <c r="AU29" i="7"/>
  <c r="EM29" i="7"/>
  <c r="AV29" i="7"/>
  <c r="EN29" i="7"/>
  <c r="AW29" i="7"/>
  <c r="EO29" i="7"/>
  <c r="AX29" i="7"/>
  <c r="EP29" i="7"/>
  <c r="AY29" i="7"/>
  <c r="EQ29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20" i="7"/>
  <c r="Y20" i="7"/>
  <c r="T20" i="7"/>
  <c r="U20" i="7"/>
  <c r="P20" i="7"/>
  <c r="V20" i="7"/>
  <c r="Q20" i="7"/>
  <c r="W20" i="7"/>
  <c r="R20" i="7"/>
  <c r="X20" i="7"/>
  <c r="BU20" i="7"/>
  <c r="FM20" i="7"/>
  <c r="CH20" i="7"/>
  <c r="FZ20" i="7"/>
  <c r="CU20" i="7"/>
  <c r="GM20" i="7"/>
  <c r="DH20" i="7"/>
  <c r="AC20" i="7"/>
  <c r="DU20" i="7"/>
  <c r="AP20" i="7"/>
  <c r="EH20" i="7"/>
  <c r="CA20" i="7"/>
  <c r="FS20" i="7"/>
  <c r="CN20" i="7"/>
  <c r="GF20" i="7"/>
  <c r="DA20" i="7"/>
  <c r="GS20" i="7"/>
  <c r="DN20" i="7"/>
  <c r="AI20" i="7"/>
  <c r="EA20" i="7"/>
  <c r="AV20" i="7"/>
  <c r="EN20" i="7"/>
  <c r="CG20" i="7"/>
  <c r="FY20" i="7"/>
  <c r="CT20" i="7"/>
  <c r="GL20" i="7"/>
  <c r="DG20" i="7"/>
  <c r="AB20" i="7"/>
  <c r="DT20" i="7"/>
  <c r="AO20" i="7"/>
  <c r="EG20" i="7"/>
  <c r="BB20" i="7"/>
  <c r="ET20" i="7"/>
  <c r="CM20" i="7"/>
  <c r="GE20" i="7"/>
  <c r="CZ20" i="7"/>
  <c r="GR20" i="7"/>
  <c r="DM20" i="7"/>
  <c r="AH20" i="7"/>
  <c r="DZ20" i="7"/>
  <c r="AU20" i="7"/>
  <c r="EM20" i="7"/>
  <c r="BH20" i="7"/>
  <c r="EZ20" i="7"/>
  <c r="CS20" i="7"/>
  <c r="GK20" i="7"/>
  <c r="DF20" i="7"/>
  <c r="AA20" i="7"/>
  <c r="DS20" i="7"/>
  <c r="AN20" i="7"/>
  <c r="EF20" i="7"/>
  <c r="BA20" i="7"/>
  <c r="ES20" i="7"/>
  <c r="BN20" i="7"/>
  <c r="FF20" i="7"/>
  <c r="CY20" i="7"/>
  <c r="GQ20" i="7"/>
  <c r="DL20" i="7"/>
  <c r="AG20" i="7"/>
  <c r="DY20" i="7"/>
  <c r="AT20" i="7"/>
  <c r="EL20" i="7"/>
  <c r="BG20" i="7"/>
  <c r="EY20" i="7"/>
  <c r="BT20" i="7"/>
  <c r="FL20" i="7"/>
  <c r="DE20" i="7"/>
  <c r="Z20" i="7"/>
  <c r="DR20" i="7"/>
  <c r="AM20" i="7"/>
  <c r="EE20" i="7"/>
  <c r="AZ20" i="7"/>
  <c r="ER20" i="7"/>
  <c r="BM20" i="7"/>
  <c r="FE20" i="7"/>
  <c r="BZ20" i="7"/>
  <c r="FR20" i="7"/>
  <c r="DK20" i="7"/>
  <c r="AF20" i="7"/>
  <c r="DX20" i="7"/>
  <c r="AS20" i="7"/>
  <c r="EK20" i="7"/>
  <c r="BF20" i="7"/>
  <c r="EX20" i="7"/>
  <c r="BS20" i="7"/>
  <c r="FK20" i="7"/>
  <c r="CF20" i="7"/>
  <c r="FX20" i="7"/>
  <c r="DQ20" i="7"/>
  <c r="AL20" i="7"/>
  <c r="ED20" i="7"/>
  <c r="AY20" i="7"/>
  <c r="EQ20" i="7"/>
  <c r="BL20" i="7"/>
  <c r="FD20" i="7"/>
  <c r="BY20" i="7"/>
  <c r="FQ20" i="7"/>
  <c r="CL20" i="7"/>
  <c r="GD20" i="7"/>
  <c r="AE20" i="7"/>
  <c r="DW20" i="7"/>
  <c r="AR20" i="7"/>
  <c r="EJ20" i="7"/>
  <c r="BE20" i="7"/>
  <c r="EW20" i="7"/>
  <c r="BR20" i="7"/>
  <c r="FJ20" i="7"/>
  <c r="CE20" i="7"/>
  <c r="FW20" i="7"/>
  <c r="CR20" i="7"/>
  <c r="GJ20" i="7"/>
  <c r="O20" i="7"/>
  <c r="AK20" i="7"/>
  <c r="EC20" i="7"/>
  <c r="AX20" i="7"/>
  <c r="EP20" i="7"/>
  <c r="BK20" i="7"/>
  <c r="FC20" i="7"/>
  <c r="BX20" i="7"/>
  <c r="FP20" i="7"/>
  <c r="CK20" i="7"/>
  <c r="GC20" i="7"/>
  <c r="CX20" i="7"/>
  <c r="GP20" i="7"/>
  <c r="N20" i="7"/>
  <c r="AQ20" i="7"/>
  <c r="EI20" i="7"/>
  <c r="BD20" i="7"/>
  <c r="EV20" i="7"/>
  <c r="BQ20" i="7"/>
  <c r="FI20" i="7"/>
  <c r="CD20" i="7"/>
  <c r="FV20" i="7"/>
  <c r="CQ20" i="7"/>
  <c r="GI20" i="7"/>
  <c r="DD20" i="7"/>
  <c r="AW20" i="7"/>
  <c r="EO20" i="7"/>
  <c r="BJ20" i="7"/>
  <c r="FB20" i="7"/>
  <c r="BW20" i="7"/>
  <c r="FO20" i="7"/>
  <c r="CJ20" i="7"/>
  <c r="GB20" i="7"/>
  <c r="CW20" i="7"/>
  <c r="GO20" i="7"/>
  <c r="DJ20" i="7"/>
  <c r="BC20" i="7"/>
  <c r="EU20" i="7"/>
  <c r="BP20" i="7"/>
  <c r="FH20" i="7"/>
  <c r="CC20" i="7"/>
  <c r="FU20" i="7"/>
  <c r="CP20" i="7"/>
  <c r="GH20" i="7"/>
  <c r="DC20" i="7"/>
  <c r="GU20" i="7"/>
  <c r="DP20" i="7"/>
  <c r="BI20" i="7"/>
  <c r="FA20" i="7"/>
  <c r="BV20" i="7"/>
  <c r="FN20" i="7"/>
  <c r="CI20" i="7"/>
  <c r="GA20" i="7"/>
  <c r="CV20" i="7"/>
  <c r="GN20" i="7"/>
  <c r="DI20" i="7"/>
  <c r="AD20" i="7"/>
  <c r="DV20" i="7"/>
  <c r="BO20" i="7"/>
  <c r="FG20" i="7"/>
  <c r="CB20" i="7"/>
  <c r="FT20" i="7"/>
  <c r="CO20" i="7"/>
  <c r="GG20" i="7"/>
  <c r="DB20" i="7"/>
  <c r="GT20" i="7"/>
  <c r="DO20" i="7"/>
  <c r="AJ20" i="7"/>
  <c r="EB20" i="7"/>
  <c r="AD863" i="1"/>
  <c r="I64" i="7"/>
  <c r="I28" i="7"/>
  <c r="K28" i="7"/>
  <c r="N64" i="7"/>
  <c r="M64" i="7"/>
  <c r="L64" i="7"/>
  <c r="J64" i="7"/>
  <c r="K64" i="7"/>
  <c r="J28" i="7"/>
  <c r="L28" i="7"/>
  <c r="N28" i="7"/>
  <c r="M28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1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1" i="7"/>
  <c r="DF31" i="7"/>
  <c r="K31" i="7"/>
  <c r="DG31" i="7"/>
  <c r="L31" i="7"/>
  <c r="DH31" i="7"/>
  <c r="M31" i="7"/>
  <c r="DI31" i="7"/>
  <c r="N31" i="7"/>
  <c r="DJ31" i="7"/>
  <c r="BO31" i="7"/>
  <c r="DQ31" i="7"/>
  <c r="Q31" i="7"/>
  <c r="DL31" i="7"/>
  <c r="R31" i="7"/>
  <c r="DM31" i="7"/>
  <c r="S31" i="7"/>
  <c r="DN31" i="7"/>
  <c r="T31" i="7"/>
  <c r="DO31" i="7"/>
  <c r="V31" i="7"/>
  <c r="DP31" i="7"/>
  <c r="CY31" i="7"/>
  <c r="FA31" i="7"/>
  <c r="X31" i="7"/>
  <c r="DR31" i="7"/>
  <c r="Y31" i="7"/>
  <c r="DS31" i="7"/>
  <c r="Z31" i="7"/>
  <c r="DT31" i="7"/>
  <c r="AB31" i="7"/>
  <c r="DU31" i="7"/>
  <c r="AC31" i="7"/>
  <c r="DV31" i="7"/>
  <c r="EI31" i="7"/>
  <c r="GK31" i="7"/>
  <c r="AE31" i="7"/>
  <c r="DX31" i="7"/>
  <c r="AF31" i="7"/>
  <c r="DY31" i="7"/>
  <c r="AH31" i="7"/>
  <c r="DZ31" i="7"/>
  <c r="AI31" i="7"/>
  <c r="EA31" i="7"/>
  <c r="AJ31" i="7"/>
  <c r="EB31" i="7"/>
  <c r="FS31" i="7"/>
  <c r="P31" i="7"/>
  <c r="AL31" i="7"/>
  <c r="ED31" i="7"/>
  <c r="AM31" i="7"/>
  <c r="EE31" i="7"/>
  <c r="AN31" i="7"/>
  <c r="EF31" i="7"/>
  <c r="AO31" i="7"/>
  <c r="EG31" i="7"/>
  <c r="AP31" i="7"/>
  <c r="EH31" i="7"/>
  <c r="AK31" i="7"/>
  <c r="BC31" i="7"/>
  <c r="AR31" i="7"/>
  <c r="EJ31" i="7"/>
  <c r="AS31" i="7"/>
  <c r="EK31" i="7"/>
  <c r="AT31" i="7"/>
  <c r="EL31" i="7"/>
  <c r="AU31" i="7"/>
  <c r="EM31" i="7"/>
  <c r="AV31" i="7"/>
  <c r="EN31" i="7"/>
  <c r="BU31" i="7"/>
  <c r="CM31" i="7"/>
  <c r="AX31" i="7"/>
  <c r="EP31" i="7"/>
  <c r="AY31" i="7"/>
  <c r="EQ31" i="7"/>
  <c r="AZ31" i="7"/>
  <c r="ER31" i="7"/>
  <c r="BA31" i="7"/>
  <c r="ES31" i="7"/>
  <c r="BB31" i="7"/>
  <c r="ET31" i="7"/>
  <c r="DE31" i="7"/>
  <c r="DW31" i="7"/>
  <c r="BD31" i="7"/>
  <c r="EV31" i="7"/>
  <c r="BE31" i="7"/>
  <c r="EW31" i="7"/>
  <c r="BF31" i="7"/>
  <c r="EX31" i="7"/>
  <c r="BG31" i="7"/>
  <c r="EY31" i="7"/>
  <c r="BH31" i="7"/>
  <c r="EZ31" i="7"/>
  <c r="EO31" i="7"/>
  <c r="FG31" i="7"/>
  <c r="BJ31" i="7"/>
  <c r="FB31" i="7"/>
  <c r="BK31" i="7"/>
  <c r="FC31" i="7"/>
  <c r="BL31" i="7"/>
  <c r="FD31" i="7"/>
  <c r="BM31" i="7"/>
  <c r="FE31" i="7"/>
  <c r="BN31" i="7"/>
  <c r="FF31" i="7"/>
  <c r="FY31" i="7"/>
  <c r="GQ31" i="7"/>
  <c r="BP31" i="7"/>
  <c r="FH31" i="7"/>
  <c r="BQ31" i="7"/>
  <c r="FI31" i="7"/>
  <c r="BR31" i="7"/>
  <c r="FJ31" i="7"/>
  <c r="BS31" i="7"/>
  <c r="FK31" i="7"/>
  <c r="BT31" i="7"/>
  <c r="FL31" i="7"/>
  <c r="AQ31" i="7"/>
  <c r="EC31" i="7"/>
  <c r="BV31" i="7"/>
  <c r="FN31" i="7"/>
  <c r="BW31" i="7"/>
  <c r="FO31" i="7"/>
  <c r="BX31" i="7"/>
  <c r="FP31" i="7"/>
  <c r="BY31" i="7"/>
  <c r="FQ31" i="7"/>
  <c r="BZ31" i="7"/>
  <c r="FR31" i="7"/>
  <c r="CA31" i="7"/>
  <c r="FM31" i="7"/>
  <c r="CB31" i="7"/>
  <c r="FT31" i="7"/>
  <c r="CC31" i="7"/>
  <c r="FU31" i="7"/>
  <c r="CD31" i="7"/>
  <c r="FV31" i="7"/>
  <c r="CE31" i="7"/>
  <c r="FW31" i="7"/>
  <c r="CF31" i="7"/>
  <c r="FX31" i="7"/>
  <c r="DK31" i="7"/>
  <c r="W31" i="7"/>
  <c r="O31" i="7"/>
  <c r="CH31" i="7"/>
  <c r="FZ31" i="7"/>
  <c r="CI31" i="7"/>
  <c r="GA31" i="7"/>
  <c r="CJ31" i="7"/>
  <c r="GB31" i="7"/>
  <c r="CK31" i="7"/>
  <c r="GC31" i="7"/>
  <c r="CL31" i="7"/>
  <c r="GD31" i="7"/>
  <c r="EU31" i="7"/>
  <c r="CS31" i="7"/>
  <c r="U31" i="7"/>
  <c r="CN31" i="7"/>
  <c r="GF31" i="7"/>
  <c r="CO31" i="7"/>
  <c r="GG31" i="7"/>
  <c r="CP31" i="7"/>
  <c r="GH31" i="7"/>
  <c r="CQ31" i="7"/>
  <c r="GI31" i="7"/>
  <c r="CR31" i="7"/>
  <c r="GJ31" i="7"/>
  <c r="GE31" i="7"/>
  <c r="BI31" i="7"/>
  <c r="AA31" i="7"/>
  <c r="CT31" i="7"/>
  <c r="GL31" i="7"/>
  <c r="CU31" i="7"/>
  <c r="GM31" i="7"/>
  <c r="CV31" i="7"/>
  <c r="GN31" i="7"/>
  <c r="CW31" i="7"/>
  <c r="GO31" i="7"/>
  <c r="CX31" i="7"/>
  <c r="GP31" i="7"/>
  <c r="AW31" i="7"/>
  <c r="AG31" i="7"/>
  <c r="CZ31" i="7"/>
  <c r="GR31" i="7"/>
  <c r="DA31" i="7"/>
  <c r="GS31" i="7"/>
  <c r="DB31" i="7"/>
  <c r="GT31" i="7"/>
  <c r="DC31" i="7"/>
  <c r="GU31" i="7"/>
  <c r="DD31" i="7"/>
  <c r="AD31" i="7"/>
  <c r="CG31" i="7"/>
  <c r="J63" i="7"/>
  <c r="I63" i="7"/>
  <c r="I30" i="7"/>
  <c r="J30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30" i="7"/>
  <c r="GI30" i="7"/>
  <c r="CL30" i="7"/>
  <c r="GD30" i="7"/>
  <c r="CM30" i="7"/>
  <c r="GE30" i="7"/>
  <c r="CN30" i="7"/>
  <c r="GF30" i="7"/>
  <c r="CO30" i="7"/>
  <c r="GG30" i="7"/>
  <c r="EX30" i="7"/>
  <c r="CV30" i="7"/>
  <c r="CW30" i="7"/>
  <c r="GO30" i="7"/>
  <c r="CR30" i="7"/>
  <c r="GJ30" i="7"/>
  <c r="CS30" i="7"/>
  <c r="GK30" i="7"/>
  <c r="CT30" i="7"/>
  <c r="GL30" i="7"/>
  <c r="CU30" i="7"/>
  <c r="GM30" i="7"/>
  <c r="GH30" i="7"/>
  <c r="EF30" i="7"/>
  <c r="K30" i="7"/>
  <c r="DC30" i="7"/>
  <c r="GU30" i="7"/>
  <c r="CX30" i="7"/>
  <c r="GP30" i="7"/>
  <c r="CY30" i="7"/>
  <c r="GQ30" i="7"/>
  <c r="CZ30" i="7"/>
  <c r="GR30" i="7"/>
  <c r="DA30" i="7"/>
  <c r="GS30" i="7"/>
  <c r="P30" i="7"/>
  <c r="FP30" i="7"/>
  <c r="Q30" i="7"/>
  <c r="DI30" i="7"/>
  <c r="L30" i="7"/>
  <c r="DD30" i="7"/>
  <c r="M30" i="7"/>
  <c r="DE30" i="7"/>
  <c r="N30" i="7"/>
  <c r="DF30" i="7"/>
  <c r="O30" i="7"/>
  <c r="DG30" i="7"/>
  <c r="AH30" i="7"/>
  <c r="AZ30" i="7"/>
  <c r="W30" i="7"/>
  <c r="DO30" i="7"/>
  <c r="R30" i="7"/>
  <c r="DJ30" i="7"/>
  <c r="S30" i="7"/>
  <c r="DK30" i="7"/>
  <c r="T30" i="7"/>
  <c r="DL30" i="7"/>
  <c r="U30" i="7"/>
  <c r="DM30" i="7"/>
  <c r="BR30" i="7"/>
  <c r="CJ30" i="7"/>
  <c r="AC30" i="7"/>
  <c r="DU30" i="7"/>
  <c r="X30" i="7"/>
  <c r="DP30" i="7"/>
  <c r="Y30" i="7"/>
  <c r="DQ30" i="7"/>
  <c r="Z30" i="7"/>
  <c r="DR30" i="7"/>
  <c r="AA30" i="7"/>
  <c r="DS30" i="7"/>
  <c r="DB30" i="7"/>
  <c r="DT30" i="7"/>
  <c r="AI30" i="7"/>
  <c r="EA30" i="7"/>
  <c r="AD30" i="7"/>
  <c r="DV30" i="7"/>
  <c r="AE30" i="7"/>
  <c r="DW30" i="7"/>
  <c r="AF30" i="7"/>
  <c r="DX30" i="7"/>
  <c r="AG30" i="7"/>
  <c r="DY30" i="7"/>
  <c r="EL30" i="7"/>
  <c r="FD30" i="7"/>
  <c r="AO30" i="7"/>
  <c r="EG30" i="7"/>
  <c r="AJ30" i="7"/>
  <c r="EB30" i="7"/>
  <c r="AK30" i="7"/>
  <c r="EC30" i="7"/>
  <c r="AL30" i="7"/>
  <c r="ED30" i="7"/>
  <c r="AM30" i="7"/>
  <c r="EE30" i="7"/>
  <c r="FV30" i="7"/>
  <c r="GN30" i="7"/>
  <c r="AU30" i="7"/>
  <c r="EM30" i="7"/>
  <c r="AP30" i="7"/>
  <c r="EH30" i="7"/>
  <c r="AQ30" i="7"/>
  <c r="EI30" i="7"/>
  <c r="AR30" i="7"/>
  <c r="EJ30" i="7"/>
  <c r="AS30" i="7"/>
  <c r="EK30" i="7"/>
  <c r="AN30" i="7"/>
  <c r="V30" i="7"/>
  <c r="BA30" i="7"/>
  <c r="ES30" i="7"/>
  <c r="AV30" i="7"/>
  <c r="EN30" i="7"/>
  <c r="AW30" i="7"/>
  <c r="EO30" i="7"/>
  <c r="AX30" i="7"/>
  <c r="EP30" i="7"/>
  <c r="AY30" i="7"/>
  <c r="EQ30" i="7"/>
  <c r="BX30" i="7"/>
  <c r="BF30" i="7"/>
  <c r="BG30" i="7"/>
  <c r="EY30" i="7"/>
  <c r="BB30" i="7"/>
  <c r="ET30" i="7"/>
  <c r="BC30" i="7"/>
  <c r="EU30" i="7"/>
  <c r="BD30" i="7"/>
  <c r="EV30" i="7"/>
  <c r="BE30" i="7"/>
  <c r="EW30" i="7"/>
  <c r="DH30" i="7"/>
  <c r="CP30" i="7"/>
  <c r="BM30" i="7"/>
  <c r="FE30" i="7"/>
  <c r="BH30" i="7"/>
  <c r="EZ30" i="7"/>
  <c r="BI30" i="7"/>
  <c r="FA30" i="7"/>
  <c r="BJ30" i="7"/>
  <c r="FB30" i="7"/>
  <c r="BK30" i="7"/>
  <c r="FC30" i="7"/>
  <c r="ER30" i="7"/>
  <c r="DZ30" i="7"/>
  <c r="BS30" i="7"/>
  <c r="FK30" i="7"/>
  <c r="BN30" i="7"/>
  <c r="FF30" i="7"/>
  <c r="BO30" i="7"/>
  <c r="FG30" i="7"/>
  <c r="BP30" i="7"/>
  <c r="FH30" i="7"/>
  <c r="BQ30" i="7"/>
  <c r="FI30" i="7"/>
  <c r="GB30" i="7"/>
  <c r="FJ30" i="7"/>
  <c r="BY30" i="7"/>
  <c r="FQ30" i="7"/>
  <c r="BT30" i="7"/>
  <c r="FL30" i="7"/>
  <c r="BU30" i="7"/>
  <c r="FM30" i="7"/>
  <c r="BV30" i="7"/>
  <c r="FN30" i="7"/>
  <c r="BW30" i="7"/>
  <c r="FO30" i="7"/>
  <c r="AT30" i="7"/>
  <c r="GT30" i="7"/>
  <c r="CE30" i="7"/>
  <c r="FW30" i="7"/>
  <c r="BZ30" i="7"/>
  <c r="FR30" i="7"/>
  <c r="CA30" i="7"/>
  <c r="FS30" i="7"/>
  <c r="CB30" i="7"/>
  <c r="FT30" i="7"/>
  <c r="CC30" i="7"/>
  <c r="FU30" i="7"/>
  <c r="CD30" i="7"/>
  <c r="AB30" i="7"/>
  <c r="CK30" i="7"/>
  <c r="GC30" i="7"/>
  <c r="CF30" i="7"/>
  <c r="FX30" i="7"/>
  <c r="CG30" i="7"/>
  <c r="FY30" i="7"/>
  <c r="CH30" i="7"/>
  <c r="FZ30" i="7"/>
  <c r="CI30" i="7"/>
  <c r="GA30" i="7"/>
  <c r="DN30" i="7"/>
  <c r="BL30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1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2" i="7"/>
  <c r="FA22" i="7"/>
  <c r="BJ22" i="7"/>
  <c r="FB22" i="7"/>
  <c r="BK22" i="7"/>
  <c r="FC22" i="7"/>
  <c r="BL22" i="7"/>
  <c r="FD22" i="7"/>
  <c r="BM22" i="7"/>
  <c r="FE22" i="7"/>
  <c r="BN22" i="7"/>
  <c r="FF22" i="7"/>
  <c r="BO22" i="7"/>
  <c r="FG22" i="7"/>
  <c r="BP22" i="7"/>
  <c r="FH22" i="7"/>
  <c r="BQ22" i="7"/>
  <c r="FI22" i="7"/>
  <c r="BR22" i="7"/>
  <c r="FJ22" i="7"/>
  <c r="BS22" i="7"/>
  <c r="FK22" i="7"/>
  <c r="BT22" i="7"/>
  <c r="FL22" i="7"/>
  <c r="BU22" i="7"/>
  <c r="FM22" i="7"/>
  <c r="BV22" i="7"/>
  <c r="FN22" i="7"/>
  <c r="BW22" i="7"/>
  <c r="FO22" i="7"/>
  <c r="BX22" i="7"/>
  <c r="FP22" i="7"/>
  <c r="BY22" i="7"/>
  <c r="FQ22" i="7"/>
  <c r="BZ22" i="7"/>
  <c r="FR22" i="7"/>
  <c r="CA22" i="7"/>
  <c r="FS22" i="7"/>
  <c r="CB22" i="7"/>
  <c r="FT22" i="7"/>
  <c r="CC22" i="7"/>
  <c r="FU22" i="7"/>
  <c r="CD22" i="7"/>
  <c r="FV22" i="7"/>
  <c r="CE22" i="7"/>
  <c r="FW22" i="7"/>
  <c r="CF22" i="7"/>
  <c r="FX22" i="7"/>
  <c r="CG22" i="7"/>
  <c r="FY22" i="7"/>
  <c r="CH22" i="7"/>
  <c r="FZ22" i="7"/>
  <c r="CI22" i="7"/>
  <c r="GA22" i="7"/>
  <c r="CJ22" i="7"/>
  <c r="GB22" i="7"/>
  <c r="CK22" i="7"/>
  <c r="GC22" i="7"/>
  <c r="CL22" i="7"/>
  <c r="GD22" i="7"/>
  <c r="CM22" i="7"/>
  <c r="GE22" i="7"/>
  <c r="CN22" i="7"/>
  <c r="GF22" i="7"/>
  <c r="CO22" i="7"/>
  <c r="GG22" i="7"/>
  <c r="CP22" i="7"/>
  <c r="GH22" i="7"/>
  <c r="CQ22" i="7"/>
  <c r="GI22" i="7"/>
  <c r="CR22" i="7"/>
  <c r="GJ22" i="7"/>
  <c r="S22" i="7"/>
  <c r="CS22" i="7"/>
  <c r="GK22" i="7"/>
  <c r="CT22" i="7"/>
  <c r="GL22" i="7"/>
  <c r="CU22" i="7"/>
  <c r="GM22" i="7"/>
  <c r="CV22" i="7"/>
  <c r="GN22" i="7"/>
  <c r="CW22" i="7"/>
  <c r="GO22" i="7"/>
  <c r="CX22" i="7"/>
  <c r="GP22" i="7"/>
  <c r="Y22" i="7"/>
  <c r="CY22" i="7"/>
  <c r="GQ22" i="7"/>
  <c r="CZ22" i="7"/>
  <c r="GR22" i="7"/>
  <c r="DA22" i="7"/>
  <c r="GS22" i="7"/>
  <c r="DB22" i="7"/>
  <c r="GT22" i="7"/>
  <c r="DC22" i="7"/>
  <c r="GU22" i="7"/>
  <c r="DD22" i="7"/>
  <c r="AE22" i="7"/>
  <c r="DE22" i="7"/>
  <c r="DF22" i="7"/>
  <c r="DG22" i="7"/>
  <c r="DH22" i="7"/>
  <c r="N22" i="7"/>
  <c r="DI22" i="7"/>
  <c r="O22" i="7"/>
  <c r="DJ22" i="7"/>
  <c r="P22" i="7"/>
  <c r="DK22" i="7"/>
  <c r="Q22" i="7"/>
  <c r="DL22" i="7"/>
  <c r="R22" i="7"/>
  <c r="DM22" i="7"/>
  <c r="T22" i="7"/>
  <c r="DN22" i="7"/>
  <c r="U22" i="7"/>
  <c r="DO22" i="7"/>
  <c r="V22" i="7"/>
  <c r="DP22" i="7"/>
  <c r="W22" i="7"/>
  <c r="DQ22" i="7"/>
  <c r="X22" i="7"/>
  <c r="DR22" i="7"/>
  <c r="Z22" i="7"/>
  <c r="DS22" i="7"/>
  <c r="AA22" i="7"/>
  <c r="DT22" i="7"/>
  <c r="AB22" i="7"/>
  <c r="DU22" i="7"/>
  <c r="AC22" i="7"/>
  <c r="DV22" i="7"/>
  <c r="AD22" i="7"/>
  <c r="DW22" i="7"/>
  <c r="AF22" i="7"/>
  <c r="DX22" i="7"/>
  <c r="AG22" i="7"/>
  <c r="DY22" i="7"/>
  <c r="AH22" i="7"/>
  <c r="DZ22" i="7"/>
  <c r="AI22" i="7"/>
  <c r="EA22" i="7"/>
  <c r="AJ22" i="7"/>
  <c r="EB22" i="7"/>
  <c r="AK22" i="7"/>
  <c r="EC22" i="7"/>
  <c r="AL22" i="7"/>
  <c r="ED22" i="7"/>
  <c r="AM22" i="7"/>
  <c r="EE22" i="7"/>
  <c r="AN22" i="7"/>
  <c r="EF22" i="7"/>
  <c r="AO22" i="7"/>
  <c r="EG22" i="7"/>
  <c r="AP22" i="7"/>
  <c r="EH22" i="7"/>
  <c r="AQ22" i="7"/>
  <c r="EI22" i="7"/>
  <c r="AR22" i="7"/>
  <c r="EJ22" i="7"/>
  <c r="AS22" i="7"/>
  <c r="EK22" i="7"/>
  <c r="AT22" i="7"/>
  <c r="EL22" i="7"/>
  <c r="AU22" i="7"/>
  <c r="EM22" i="7"/>
  <c r="AV22" i="7"/>
  <c r="EN22" i="7"/>
  <c r="AW22" i="7"/>
  <c r="EO22" i="7"/>
  <c r="AX22" i="7"/>
  <c r="EP22" i="7"/>
  <c r="AY22" i="7"/>
  <c r="EQ22" i="7"/>
  <c r="AZ22" i="7"/>
  <c r="ER22" i="7"/>
  <c r="BA22" i="7"/>
  <c r="ES22" i="7"/>
  <c r="BB22" i="7"/>
  <c r="ET22" i="7"/>
  <c r="BC22" i="7"/>
  <c r="EU22" i="7"/>
  <c r="BD22" i="7"/>
  <c r="EV22" i="7"/>
  <c r="BE22" i="7"/>
  <c r="EW22" i="7"/>
  <c r="BF22" i="7"/>
  <c r="EX22" i="7"/>
  <c r="BG22" i="7"/>
  <c r="EY22" i="7"/>
  <c r="BH22" i="7"/>
  <c r="EZ22" i="7"/>
  <c r="H63" i="7"/>
  <c r="H30" i="7"/>
  <c r="J43" i="7"/>
  <c r="J5" i="7"/>
  <c r="M43" i="7"/>
  <c r="L43" i="7"/>
  <c r="K43" i="7"/>
  <c r="M5" i="7"/>
  <c r="L5" i="7"/>
  <c r="K5" i="7"/>
  <c r="L54" i="7"/>
  <c r="K54" i="7"/>
  <c r="M54" i="7"/>
  <c r="M22" i="7"/>
  <c r="K22" i="7"/>
  <c r="L22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19" i="7"/>
  <c r="DV19" i="7"/>
  <c r="AE19" i="7"/>
  <c r="DW19" i="7"/>
  <c r="AF19" i="7"/>
  <c r="DX19" i="7"/>
  <c r="AG19" i="7"/>
  <c r="DY19" i="7"/>
  <c r="AH19" i="7"/>
  <c r="DZ19" i="7"/>
  <c r="EM19" i="7"/>
  <c r="DU19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19" i="7"/>
  <c r="EB19" i="7"/>
  <c r="AK19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19" i="7"/>
  <c r="EH19" i="7"/>
  <c r="AQ19" i="7"/>
  <c r="EI19" i="7"/>
  <c r="AR19" i="7"/>
  <c r="EJ19" i="7"/>
  <c r="AS19" i="7"/>
  <c r="EK19" i="7"/>
  <c r="AT19" i="7"/>
  <c r="EL19" i="7"/>
  <c r="AO19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19" i="7"/>
  <c r="ET19" i="7"/>
  <c r="BC19" i="7"/>
  <c r="EU19" i="7"/>
  <c r="BD19" i="7"/>
  <c r="EV19" i="7"/>
  <c r="BE19" i="7"/>
  <c r="EW19" i="7"/>
  <c r="BF19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19" i="7"/>
  <c r="EZ19" i="7"/>
  <c r="BI19" i="7"/>
  <c r="FA19" i="7"/>
  <c r="BJ19" i="7"/>
  <c r="FB19" i="7"/>
  <c r="BK19" i="7"/>
  <c r="FC19" i="7"/>
  <c r="BL19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19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19" i="7"/>
  <c r="FL19" i="7"/>
  <c r="BU19" i="7"/>
  <c r="FM19" i="7"/>
  <c r="BV19" i="7"/>
  <c r="FN19" i="7"/>
  <c r="BW19" i="7"/>
  <c r="FO19" i="7"/>
  <c r="BX19" i="7"/>
  <c r="FP19" i="7"/>
  <c r="K19" i="7"/>
  <c r="FQ19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19" i="7"/>
  <c r="FX19" i="7"/>
  <c r="CG19" i="7"/>
  <c r="FY19" i="7"/>
  <c r="CH19" i="7"/>
  <c r="FZ19" i="7"/>
  <c r="CI19" i="7"/>
  <c r="GA19" i="7"/>
  <c r="CJ19" i="7"/>
  <c r="GB19" i="7"/>
  <c r="CE19" i="7"/>
  <c r="EA19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19" i="7"/>
  <c r="GD19" i="7"/>
  <c r="CM19" i="7"/>
  <c r="GE19" i="7"/>
  <c r="CN19" i="7"/>
  <c r="GF19" i="7"/>
  <c r="CO19" i="7"/>
  <c r="GG19" i="7"/>
  <c r="CP19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19" i="7"/>
  <c r="GJ19" i="7"/>
  <c r="CS19" i="7"/>
  <c r="GK19" i="7"/>
  <c r="CT19" i="7"/>
  <c r="GL19" i="7"/>
  <c r="CU19" i="7"/>
  <c r="GM19" i="7"/>
  <c r="CV19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19" i="7"/>
  <c r="GP19" i="7"/>
  <c r="CY19" i="7"/>
  <c r="GQ19" i="7"/>
  <c r="CZ19" i="7"/>
  <c r="GR19" i="7"/>
  <c r="DA19" i="7"/>
  <c r="GS19" i="7"/>
  <c r="DB19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19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19" i="7"/>
  <c r="DP19" i="7"/>
  <c r="Y19" i="7"/>
  <c r="DQ19" i="7"/>
  <c r="Z19" i="7"/>
  <c r="DR19" i="7"/>
  <c r="AA19" i="7"/>
  <c r="DS19" i="7"/>
  <c r="AB19" i="7"/>
  <c r="DT19" i="7"/>
  <c r="DC19" i="7"/>
  <c r="CK19" i="7"/>
  <c r="ES55" i="7"/>
  <c r="S19" i="7"/>
  <c r="DF19" i="7"/>
  <c r="FI19" i="7"/>
  <c r="GH19" i="7"/>
  <c r="FE19" i="7"/>
  <c r="CF55" i="7"/>
  <c r="AW19" i="7"/>
  <c r="DL19" i="7"/>
  <c r="FU19" i="7"/>
  <c r="GN19" i="7"/>
  <c r="GO19" i="7"/>
  <c r="AW55" i="7"/>
  <c r="BO19" i="7"/>
  <c r="ED19" i="7"/>
  <c r="P19" i="7"/>
  <c r="GT19" i="7"/>
  <c r="AC19" i="7"/>
  <c r="EQ55" i="7"/>
  <c r="CA19" i="7"/>
  <c r="EP19" i="7"/>
  <c r="V19" i="7"/>
  <c r="AI19" i="7"/>
  <c r="BM19" i="7"/>
  <c r="BM55" i="7"/>
  <c r="DE19" i="7"/>
  <c r="FH19" i="7"/>
  <c r="AN19" i="7"/>
  <c r="BS19" i="7"/>
  <c r="CW19" i="7"/>
  <c r="DK19" i="7"/>
  <c r="FT19" i="7"/>
  <c r="AZ19" i="7"/>
  <c r="FW19" i="7"/>
  <c r="EG19" i="7"/>
  <c r="EC19" i="7"/>
  <c r="O19" i="7"/>
  <c r="BR19" i="7"/>
  <c r="BY19" i="7"/>
  <c r="CQ19" i="7"/>
  <c r="R19" i="7"/>
  <c r="EO19" i="7"/>
  <c r="U19" i="7"/>
  <c r="CD19" i="7"/>
  <c r="DI19" i="7"/>
  <c r="FK19" i="7"/>
  <c r="AV19" i="7"/>
  <c r="FG19" i="7"/>
  <c r="AM19" i="7"/>
  <c r="DH19" i="7"/>
  <c r="ES19" i="7"/>
  <c r="GU19" i="7"/>
  <c r="GH55" i="7"/>
  <c r="BZ19" i="7"/>
  <c r="FS19" i="7"/>
  <c r="AY19" i="7"/>
  <c r="DN19" i="7"/>
  <c r="GC19" i="7"/>
  <c r="W19" i="7"/>
  <c r="DU55" i="7"/>
  <c r="DD19" i="7"/>
  <c r="N19" i="7"/>
  <c r="BQ19" i="7"/>
  <c r="EF19" i="7"/>
  <c r="AU19" i="7"/>
  <c r="BG19" i="7"/>
  <c r="BH55" i="7"/>
  <c r="DJ19" i="7"/>
  <c r="T19" i="7"/>
  <c r="CC19" i="7"/>
  <c r="ER19" i="7"/>
  <c r="DO19" i="7"/>
  <c r="K55" i="7"/>
  <c r="EN19" i="7"/>
  <c r="AL19" i="7"/>
  <c r="DG19" i="7"/>
  <c r="EX19" i="7"/>
  <c r="EY19" i="7"/>
  <c r="EW55" i="7"/>
  <c r="FF19" i="7"/>
  <c r="AX19" i="7"/>
  <c r="DM19" i="7"/>
  <c r="FD19" i="7"/>
  <c r="GI19" i="7"/>
  <c r="CJ55" i="7"/>
  <c r="FR19" i="7"/>
  <c r="BP19" i="7"/>
  <c r="EE19" i="7"/>
  <c r="FJ19" i="7"/>
  <c r="Q19" i="7"/>
  <c r="W55" i="7"/>
  <c r="M19" i="7"/>
  <c r="CB19" i="7"/>
  <c r="EQ19" i="7"/>
  <c r="FV19" i="7"/>
  <c r="BA19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20" i="7"/>
  <c r="M60" i="7"/>
  <c r="L60" i="7"/>
  <c r="K60" i="7"/>
  <c r="L20" i="7"/>
  <c r="K20" i="7"/>
  <c r="M20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2" i="7"/>
  <c r="L32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3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3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3" i="7"/>
  <c r="ER57" i="7"/>
  <c r="DY57" i="7"/>
  <c r="GG57" i="7"/>
  <c r="GT57" i="7"/>
  <c r="EF57" i="7"/>
  <c r="K23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3" i="7"/>
  <c r="DC23" i="7"/>
  <c r="X23" i="7"/>
  <c r="BO23" i="7"/>
  <c r="FG23" i="7"/>
  <c r="FL23" i="7"/>
  <c r="ED23" i="7"/>
  <c r="DD23" i="7"/>
  <c r="CD23" i="7"/>
  <c r="AR23" i="7"/>
  <c r="GM23" i="7"/>
  <c r="FS23" i="7"/>
  <c r="Q23" i="7"/>
  <c r="DI23" i="7"/>
  <c r="AD23" i="7"/>
  <c r="BU23" i="7"/>
  <c r="FM23" i="7"/>
  <c r="FT23" i="7"/>
  <c r="EL23" i="7"/>
  <c r="DM23" i="7"/>
  <c r="CN23" i="7"/>
  <c r="BJ23" i="7"/>
  <c r="GS23" i="7"/>
  <c r="FZ23" i="7"/>
  <c r="W23" i="7"/>
  <c r="DO23" i="7"/>
  <c r="AJ23" i="7"/>
  <c r="CA23" i="7"/>
  <c r="N23" i="7"/>
  <c r="GA23" i="7"/>
  <c r="EV23" i="7"/>
  <c r="DV23" i="7"/>
  <c r="CV23" i="7"/>
  <c r="BW23" i="7"/>
  <c r="AA23" i="7"/>
  <c r="GG23" i="7"/>
  <c r="AC23" i="7"/>
  <c r="DU23" i="7"/>
  <c r="AP23" i="7"/>
  <c r="CG23" i="7"/>
  <c r="AF23" i="7"/>
  <c r="GH23" i="7"/>
  <c r="FD23" i="7"/>
  <c r="EE23" i="7"/>
  <c r="DF23" i="7"/>
  <c r="CF23" i="7"/>
  <c r="AS23" i="7"/>
  <c r="GN23" i="7"/>
  <c r="AI23" i="7"/>
  <c r="EA23" i="7"/>
  <c r="AV23" i="7"/>
  <c r="CM23" i="7"/>
  <c r="AX23" i="7"/>
  <c r="GO23" i="7"/>
  <c r="FN23" i="7"/>
  <c r="EN23" i="7"/>
  <c r="DN23" i="7"/>
  <c r="CO23" i="7"/>
  <c r="BK23" i="7"/>
  <c r="GT23" i="7"/>
  <c r="AO23" i="7"/>
  <c r="EG23" i="7"/>
  <c r="BB23" i="7"/>
  <c r="CS23" i="7"/>
  <c r="BP23" i="7"/>
  <c r="GU23" i="7"/>
  <c r="FU23" i="7"/>
  <c r="EW23" i="7"/>
  <c r="DX23" i="7"/>
  <c r="CX23" i="7"/>
  <c r="BX23" i="7"/>
  <c r="AU23" i="7"/>
  <c r="EM23" i="7"/>
  <c r="BH23" i="7"/>
  <c r="CY23" i="7"/>
  <c r="BZ23" i="7"/>
  <c r="O23" i="7"/>
  <c r="GB23" i="7"/>
  <c r="FF23" i="7"/>
  <c r="EF23" i="7"/>
  <c r="DG23" i="7"/>
  <c r="CH23" i="7"/>
  <c r="P23" i="7"/>
  <c r="BA23" i="7"/>
  <c r="ES23" i="7"/>
  <c r="BN23" i="7"/>
  <c r="DE23" i="7"/>
  <c r="CI23" i="7"/>
  <c r="AG23" i="7"/>
  <c r="GJ23" i="7"/>
  <c r="FO23" i="7"/>
  <c r="EP23" i="7"/>
  <c r="DP23" i="7"/>
  <c r="CP23" i="7"/>
  <c r="V23" i="7"/>
  <c r="BG23" i="7"/>
  <c r="EY23" i="7"/>
  <c r="S23" i="7"/>
  <c r="DK23" i="7"/>
  <c r="CR23" i="7"/>
  <c r="AY23" i="7"/>
  <c r="GP23" i="7"/>
  <c r="FV23" i="7"/>
  <c r="EX23" i="7"/>
  <c r="DY23" i="7"/>
  <c r="CZ23" i="7"/>
  <c r="AB23" i="7"/>
  <c r="BM23" i="7"/>
  <c r="FE23" i="7"/>
  <c r="Y23" i="7"/>
  <c r="DQ23" i="7"/>
  <c r="DA23" i="7"/>
  <c r="BQ23" i="7"/>
  <c r="T23" i="7"/>
  <c r="GD23" i="7"/>
  <c r="FH23" i="7"/>
  <c r="EH23" i="7"/>
  <c r="DH23" i="7"/>
  <c r="AH23" i="7"/>
  <c r="BS23" i="7"/>
  <c r="FK23" i="7"/>
  <c r="AE23" i="7"/>
  <c r="DW23" i="7"/>
  <c r="DJ23" i="7"/>
  <c r="CB23" i="7"/>
  <c r="AL23" i="7"/>
  <c r="GK23" i="7"/>
  <c r="FP23" i="7"/>
  <c r="EQ23" i="7"/>
  <c r="DR23" i="7"/>
  <c r="AN23" i="7"/>
  <c r="BY23" i="7"/>
  <c r="FQ23" i="7"/>
  <c r="AK23" i="7"/>
  <c r="EC23" i="7"/>
  <c r="DS23" i="7"/>
  <c r="CJ23" i="7"/>
  <c r="BD23" i="7"/>
  <c r="GQ23" i="7"/>
  <c r="FX23" i="7"/>
  <c r="EZ23" i="7"/>
  <c r="DZ23" i="7"/>
  <c r="AT23" i="7"/>
  <c r="CE23" i="7"/>
  <c r="FW23" i="7"/>
  <c r="AQ23" i="7"/>
  <c r="EI23" i="7"/>
  <c r="EB23" i="7"/>
  <c r="CT23" i="7"/>
  <c r="BT23" i="7"/>
  <c r="U23" i="7"/>
  <c r="GE23" i="7"/>
  <c r="FI23" i="7"/>
  <c r="EJ23" i="7"/>
  <c r="AZ23" i="7"/>
  <c r="CK23" i="7"/>
  <c r="GC23" i="7"/>
  <c r="AW23" i="7"/>
  <c r="EO23" i="7"/>
  <c r="EK23" i="7"/>
  <c r="DB23" i="7"/>
  <c r="CC23" i="7"/>
  <c r="AM23" i="7"/>
  <c r="GL23" i="7"/>
  <c r="FR23" i="7"/>
  <c r="ER23" i="7"/>
  <c r="BF23" i="7"/>
  <c r="CQ23" i="7"/>
  <c r="GI23" i="7"/>
  <c r="BC23" i="7"/>
  <c r="EU23" i="7"/>
  <c r="ET23" i="7"/>
  <c r="DL23" i="7"/>
  <c r="CL23" i="7"/>
  <c r="BE23" i="7"/>
  <c r="GR23" i="7"/>
  <c r="FY23" i="7"/>
  <c r="FB23" i="7"/>
  <c r="BL23" i="7"/>
  <c r="CW23" i="7"/>
  <c r="R23" i="7"/>
  <c r="BI23" i="7"/>
  <c r="FA23" i="7"/>
  <c r="FC23" i="7"/>
  <c r="DT23" i="7"/>
  <c r="CU23" i="7"/>
  <c r="BV23" i="7"/>
  <c r="Z23" i="7"/>
  <c r="GF23" i="7"/>
  <c r="FJ23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4" i="7"/>
  <c r="K24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4" i="2"/>
  <c r="BN20" i="2"/>
  <c r="BN22" i="2"/>
  <c r="BN17" i="2"/>
  <c r="BN26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3" i="2"/>
  <c r="H36" i="2"/>
  <c r="H35" i="2"/>
  <c r="H37" i="2"/>
  <c r="V35" i="2"/>
  <c r="V37" i="2"/>
  <c r="V36" i="2"/>
  <c r="T37" i="2"/>
  <c r="T36" i="2"/>
  <c r="T35" i="2"/>
  <c r="O37" i="2"/>
  <c r="O36" i="2"/>
  <c r="O35" i="2"/>
  <c r="G13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4" i="2"/>
  <c r="BL22" i="2"/>
  <c r="BL26" i="2"/>
  <c r="AD225" i="1"/>
  <c r="AD164" i="1"/>
  <c r="AD168" i="1"/>
  <c r="AC170" i="1"/>
  <c r="AC156" i="1"/>
  <c r="AJ24" i="2"/>
  <c r="AC231" i="1"/>
  <c r="BL21" i="2"/>
  <c r="AD239" i="1"/>
  <c r="AC236" i="1"/>
  <c r="AC150" i="1"/>
  <c r="AC122" i="1"/>
  <c r="AD123" i="1"/>
  <c r="AC102" i="1"/>
  <c r="BL20" i="2"/>
  <c r="BL17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3" i="2"/>
  <c r="AH26" i="2"/>
  <c r="BO29" i="2"/>
  <c r="BO3" i="2"/>
  <c r="BO11" i="2"/>
  <c r="AJ19" i="2"/>
  <c r="AJ22" i="2"/>
  <c r="AH22" i="2"/>
  <c r="AH20" i="2"/>
  <c r="BO24" i="2"/>
  <c r="AJ27" i="2"/>
  <c r="AJ20" i="2"/>
  <c r="BO19" i="2"/>
  <c r="BN33" i="2"/>
  <c r="AJ3" i="2"/>
  <c r="AG9" i="2"/>
  <c r="BO53" i="5"/>
  <c r="CY6" i="2"/>
  <c r="CY5" i="2"/>
  <c r="AE33" i="2"/>
  <c r="AI26" i="2"/>
  <c r="AI2" i="2"/>
  <c r="BO46" i="5"/>
  <c r="AI14" i="2"/>
  <c r="AH7" i="2"/>
  <c r="AJ33" i="2"/>
  <c r="BO30" i="2"/>
  <c r="AE29" i="2"/>
  <c r="AF25" i="2"/>
  <c r="AF33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3" i="2"/>
  <c r="BO10" i="5"/>
  <c r="AF4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4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9" i="2"/>
  <c r="AH30" i="2"/>
  <c r="AF10" i="2"/>
  <c r="BN13" i="2"/>
  <c r="BO16" i="2"/>
  <c r="BO42" i="5"/>
  <c r="BO7" i="2"/>
  <c r="BO8" i="2"/>
  <c r="BO21" i="5"/>
  <c r="AJ17" i="2"/>
  <c r="AI32" i="2"/>
  <c r="AG21" i="2"/>
  <c r="AI24" i="2"/>
  <c r="AE12" i="2"/>
  <c r="AI11" i="2"/>
  <c r="AI18" i="2"/>
  <c r="AG32" i="2"/>
  <c r="AC31" i="2"/>
  <c r="AC8" i="2"/>
  <c r="AC22" i="2"/>
  <c r="AG26" i="2"/>
  <c r="AI31" i="2"/>
  <c r="AI8" i="2"/>
  <c r="AG31" i="2"/>
  <c r="AC24" i="2"/>
  <c r="AE7" i="2"/>
  <c r="AE25" i="2"/>
  <c r="AI4" i="2"/>
  <c r="AI28" i="2"/>
  <c r="AE15" i="2"/>
  <c r="AC12" i="2"/>
  <c r="AC9" i="2"/>
  <c r="AC16" i="2"/>
  <c r="AE22" i="2"/>
  <c r="AE4" i="2"/>
  <c r="AI23" i="2"/>
  <c r="AF20" i="2"/>
  <c r="AE13" i="2"/>
  <c r="AI29" i="2"/>
  <c r="AE19" i="2"/>
  <c r="AG17" i="2"/>
  <c r="AG18" i="2"/>
  <c r="AE30" i="2"/>
  <c r="AI3" i="2"/>
  <c r="AC14" i="2"/>
  <c r="AE24" i="2"/>
  <c r="AC32" i="2"/>
  <c r="AI13" i="2"/>
  <c r="AG15" i="2"/>
  <c r="AE2" i="2"/>
  <c r="AE21" i="2"/>
  <c r="AE23" i="2"/>
  <c r="AI19" i="2"/>
  <c r="AF26" i="2"/>
  <c r="AE11" i="2"/>
  <c r="AI5" i="2"/>
  <c r="AE28" i="2"/>
  <c r="AC33" i="2"/>
  <c r="AC7" i="2"/>
  <c r="AE31" i="2"/>
  <c r="AE20" i="2"/>
  <c r="AI9" i="2"/>
  <c r="AI30" i="2"/>
  <c r="AE26" i="2"/>
  <c r="AE9" i="2"/>
  <c r="AF22" i="2"/>
  <c r="AC23" i="2"/>
  <c r="AG25" i="2"/>
  <c r="AI17" i="2"/>
  <c r="AI16" i="2"/>
  <c r="AG22" i="2"/>
  <c r="AC21" i="2"/>
  <c r="AI25" i="2"/>
  <c r="AE16" i="2"/>
  <c r="AE18" i="2"/>
  <c r="AG23" i="2"/>
  <c r="AI27" i="2"/>
  <c r="AE17" i="2"/>
  <c r="AE5" i="2"/>
  <c r="AC30" i="2"/>
  <c r="AI15" i="2"/>
  <c r="AI12" i="2"/>
  <c r="AC2" i="2"/>
  <c r="AI7" i="2"/>
  <c r="AE8" i="2"/>
  <c r="AG7" i="2"/>
  <c r="AI33" i="2"/>
  <c r="AC13" i="2"/>
  <c r="AC4" i="2"/>
  <c r="AC19" i="2"/>
  <c r="AC29" i="2"/>
  <c r="AG4" i="2"/>
  <c r="AI22" i="2"/>
  <c r="AI10" i="2"/>
  <c r="AC27" i="2"/>
  <c r="AC6" i="2"/>
  <c r="AC10" i="2"/>
  <c r="AG27" i="2"/>
  <c r="AG11" i="2"/>
  <c r="AI20" i="2"/>
  <c r="AC18" i="2"/>
  <c r="AE14" i="2"/>
  <c r="AG19" i="2"/>
  <c r="AG12" i="2"/>
  <c r="AG30" i="2"/>
  <c r="AC5" i="2"/>
  <c r="AC15" i="2"/>
  <c r="AG14" i="2"/>
  <c r="AE32" i="2"/>
  <c r="AG5" i="2"/>
  <c r="AE27" i="2"/>
  <c r="AG24" i="2"/>
  <c r="AG6" i="2"/>
  <c r="AG28" i="2"/>
  <c r="AC3" i="2"/>
  <c r="AC20" i="2"/>
  <c r="AC25" i="2"/>
  <c r="AC17" i="2"/>
  <c r="AE3" i="2"/>
  <c r="AG16" i="2"/>
  <c r="AG20" i="2"/>
  <c r="AG29" i="2"/>
  <c r="AE6" i="2"/>
  <c r="AH13" i="2"/>
  <c r="AG33" i="2"/>
  <c r="AC26" i="2"/>
  <c r="AC11" i="2"/>
  <c r="AC28" i="2"/>
  <c r="AJ4" i="2"/>
  <c r="AG13" i="2"/>
  <c r="AG8" i="2"/>
  <c r="AG2" i="2"/>
  <c r="AI6" i="2"/>
  <c r="AG10" i="2"/>
  <c r="AE10" i="2"/>
  <c r="AH28" i="2"/>
  <c r="BX25" i="2"/>
  <c r="J12" i="2"/>
  <c r="G12" i="2"/>
  <c r="J11" i="2"/>
  <c r="G11" i="2"/>
  <c r="J33" i="2"/>
  <c r="BX21" i="2"/>
  <c r="J21" i="2"/>
  <c r="BV30" i="2"/>
  <c r="X21" i="2"/>
  <c r="BX30" i="2"/>
  <c r="BX26" i="2"/>
  <c r="J20" i="2"/>
  <c r="X20" i="2"/>
  <c r="X11" i="2"/>
  <c r="X18" i="2"/>
  <c r="BV26" i="2"/>
  <c r="J4" i="2"/>
  <c r="BV18" i="2"/>
  <c r="BX18" i="2"/>
  <c r="X16" i="2"/>
  <c r="BV15" i="2"/>
  <c r="X19" i="2"/>
  <c r="X27" i="2"/>
  <c r="BX2" i="2"/>
  <c r="BW25" i="2"/>
  <c r="AH5" i="2"/>
  <c r="BX29" i="2"/>
  <c r="X29" i="2"/>
  <c r="BW6" i="2"/>
  <c r="X28" i="2"/>
  <c r="BV6" i="2"/>
  <c r="BX28" i="2"/>
  <c r="BX27" i="2"/>
  <c r="BX15" i="2"/>
  <c r="X12" i="2"/>
  <c r="X10" i="2"/>
  <c r="BO9" i="2"/>
  <c r="X17" i="2"/>
  <c r="BX22" i="2"/>
  <c r="BX9" i="2"/>
  <c r="BX6" i="2"/>
  <c r="X31" i="2"/>
  <c r="BX24" i="2"/>
  <c r="BX31" i="2"/>
  <c r="BX12" i="2"/>
  <c r="X9" i="2"/>
  <c r="J26" i="2"/>
  <c r="X25" i="2"/>
  <c r="X15" i="2"/>
  <c r="BV10" i="2"/>
  <c r="BX10" i="2"/>
  <c r="BW18" i="2"/>
  <c r="BV19" i="2"/>
  <c r="BV22" i="2"/>
  <c r="BW22" i="2"/>
  <c r="BV29" i="2"/>
  <c r="BV24" i="2"/>
  <c r="BV27" i="2"/>
  <c r="X3" i="2"/>
  <c r="BX19" i="2"/>
  <c r="BV12" i="2"/>
  <c r="X22" i="2"/>
  <c r="X30" i="2"/>
  <c r="BW9" i="2"/>
  <c r="BX17" i="2"/>
  <c r="BX5" i="2"/>
  <c r="BX20" i="2"/>
  <c r="BV20" i="2"/>
  <c r="BV4" i="2"/>
  <c r="X24" i="2"/>
  <c r="BX33" i="2"/>
  <c r="X33" i="2"/>
  <c r="BX11" i="2"/>
  <c r="BX7" i="2"/>
  <c r="J5" i="2"/>
  <c r="E5" i="2" s="1"/>
  <c r="X32" i="2"/>
  <c r="BV9" i="2"/>
  <c r="AF28" i="2"/>
  <c r="AF6" i="2"/>
  <c r="AJ21" i="2"/>
  <c r="AF21" i="2"/>
  <c r="AF17" i="2"/>
  <c r="BN27" i="2"/>
  <c r="AF14" i="2"/>
  <c r="AH16" i="2"/>
  <c r="BV25" i="2"/>
  <c r="P17" i="2"/>
  <c r="BV31" i="2"/>
  <c r="BV7" i="2"/>
  <c r="X23" i="2"/>
  <c r="BX23" i="2"/>
  <c r="J6" i="2"/>
  <c r="X6" i="2"/>
  <c r="J13" i="2"/>
  <c r="X8" i="2"/>
  <c r="BX8" i="2"/>
  <c r="X13" i="2"/>
  <c r="P6" i="2"/>
  <c r="BW21" i="2"/>
  <c r="BX13" i="2"/>
  <c r="P11" i="2"/>
  <c r="X5" i="2"/>
  <c r="P10" i="2"/>
  <c r="X26" i="2"/>
  <c r="P29" i="2"/>
  <c r="P31" i="2"/>
  <c r="P19" i="2"/>
  <c r="X4" i="2"/>
  <c r="P16" i="2"/>
  <c r="P7" i="2"/>
  <c r="X7" i="2"/>
  <c r="P23" i="2"/>
  <c r="P27" i="2"/>
  <c r="BV5" i="2"/>
  <c r="BV21" i="2"/>
  <c r="BV8" i="2"/>
  <c r="BV17" i="2"/>
  <c r="BV13" i="2"/>
  <c r="BV32" i="2"/>
  <c r="BX4" i="2"/>
  <c r="BW11" i="2"/>
  <c r="BV16" i="2"/>
  <c r="BV33" i="2"/>
  <c r="BV28" i="2"/>
  <c r="BW24" i="2"/>
  <c r="BW30" i="2"/>
  <c r="BV11" i="2"/>
  <c r="BW3" i="2"/>
  <c r="BV3" i="2"/>
  <c r="BV23" i="2"/>
  <c r="BW15" i="2"/>
  <c r="BW28" i="2"/>
  <c r="BW2" i="2"/>
  <c r="BV2" i="2"/>
  <c r="BX3" i="2"/>
  <c r="AH29" i="2"/>
  <c r="X2" i="2"/>
  <c r="P8" i="2"/>
  <c r="BX16" i="2"/>
  <c r="J19" i="2"/>
  <c r="BW17" i="2"/>
  <c r="J18" i="2"/>
  <c r="P28" i="2"/>
  <c r="BX32" i="2"/>
  <c r="BW20" i="2"/>
  <c r="P20" i="2"/>
  <c r="J23" i="2"/>
  <c r="BW23" i="2"/>
  <c r="BW10" i="2"/>
  <c r="J3" i="2"/>
  <c r="P3" i="2"/>
  <c r="BW33" i="2"/>
  <c r="P33" i="2"/>
  <c r="J28" i="2"/>
  <c r="J25" i="2"/>
  <c r="J31" i="2"/>
  <c r="BW26" i="2"/>
  <c r="J15" i="2"/>
  <c r="P15" i="2"/>
  <c r="P21" i="2"/>
  <c r="BW7" i="2"/>
  <c r="BW31" i="2"/>
  <c r="J9" i="2"/>
  <c r="J16" i="2"/>
  <c r="J10" i="2"/>
  <c r="P25" i="2"/>
  <c r="P26" i="2"/>
  <c r="BW19" i="2"/>
  <c r="J32" i="2"/>
  <c r="BW8" i="2"/>
  <c r="J29" i="2"/>
  <c r="P9" i="2"/>
  <c r="BW12" i="2"/>
  <c r="P5" i="2"/>
  <c r="J2" i="2"/>
  <c r="J8" i="2"/>
  <c r="J7" i="2"/>
  <c r="P2" i="2"/>
  <c r="J27" i="2"/>
  <c r="J22" i="2"/>
  <c r="J24" i="2"/>
  <c r="BW5" i="2"/>
  <c r="P18" i="2"/>
  <c r="BW27" i="2"/>
  <c r="P12" i="2"/>
  <c r="J17" i="2"/>
  <c r="P30" i="2"/>
  <c r="P24" i="2"/>
  <c r="P13" i="2"/>
  <c r="P4" i="2"/>
  <c r="BW4" i="2"/>
  <c r="J30" i="2"/>
  <c r="BW16" i="2"/>
  <c r="BW13" i="2"/>
  <c r="P32" i="2"/>
  <c r="BW29" i="2"/>
  <c r="BW32" i="2"/>
  <c r="P22" i="2"/>
  <c r="BH12" i="2"/>
  <c r="BH16" i="2"/>
  <c r="BH8" i="2"/>
  <c r="BH6" i="2"/>
  <c r="BH23" i="2"/>
  <c r="BH5" i="2"/>
  <c r="BH2" i="2"/>
  <c r="BH31" i="2"/>
  <c r="BH25" i="2"/>
  <c r="BH33" i="2"/>
  <c r="BH17" i="2"/>
  <c r="BH9" i="2"/>
  <c r="BH3" i="2"/>
  <c r="BH28" i="2"/>
  <c r="BH20" i="2"/>
  <c r="BH4" i="2"/>
  <c r="BH19" i="2"/>
  <c r="BH30" i="2"/>
  <c r="BH24" i="2"/>
  <c r="BH21" i="2"/>
  <c r="BH18" i="2"/>
  <c r="BH27" i="2"/>
  <c r="BH26" i="2"/>
  <c r="BH13" i="2"/>
  <c r="BH11" i="2"/>
  <c r="BH7" i="2"/>
  <c r="BH15" i="2"/>
  <c r="BH29" i="2"/>
  <c r="BH32" i="2"/>
  <c r="BH22" i="2"/>
  <c r="BH10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J26" i="2" l="1"/>
  <c r="AH21" i="2"/>
  <c r="AL21" i="2" s="1"/>
  <c r="BO5" i="2"/>
  <c r="BL28" i="2"/>
  <c r="BN28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4" i="2"/>
  <c r="AL20" i="2"/>
  <c r="AL22" i="2"/>
  <c r="AL26" i="2"/>
  <c r="AP1009" i="1"/>
  <c r="AP990" i="1"/>
  <c r="AP855" i="1"/>
  <c r="AP989" i="1"/>
  <c r="AP1012" i="1"/>
  <c r="BZ29" i="2"/>
  <c r="AO1113" i="1"/>
  <c r="BZ20" i="2"/>
  <c r="BZ2" i="2"/>
  <c r="BZ13" i="2"/>
  <c r="BZ12" i="2"/>
  <c r="BZ8" i="2"/>
  <c r="BZ24" i="2"/>
  <c r="CJ17" i="2"/>
  <c r="CJ10" i="2"/>
  <c r="CJ22" i="2"/>
  <c r="BZ21" i="2"/>
  <c r="BZ4" i="2"/>
  <c r="BZ33" i="2"/>
  <c r="CI21" i="2"/>
  <c r="CI11" i="2"/>
  <c r="CJ15" i="2"/>
  <c r="BZ16" i="2"/>
  <c r="BZ10" i="2"/>
  <c r="BZ3" i="2"/>
  <c r="BZ30" i="2"/>
  <c r="BZ17" i="2"/>
  <c r="BZ26" i="2"/>
  <c r="BZ25" i="2"/>
  <c r="BZ11" i="2"/>
  <c r="BZ5" i="2"/>
  <c r="BZ22" i="2"/>
  <c r="BZ18" i="2"/>
  <c r="BZ32" i="2"/>
  <c r="BZ9" i="2"/>
  <c r="BZ19" i="2"/>
  <c r="BZ23" i="2"/>
  <c r="BZ28" i="2"/>
  <c r="BZ31" i="2"/>
  <c r="BZ27" i="2"/>
  <c r="BZ7" i="2"/>
  <c r="BZ15" i="2"/>
  <c r="BZ6" i="2"/>
  <c r="AO958" i="1"/>
  <c r="CJ33" i="2"/>
  <c r="CI20" i="2"/>
  <c r="CI13" i="2"/>
  <c r="CJ24" i="2"/>
  <c r="CI7" i="2"/>
  <c r="CJ12" i="2"/>
  <c r="CJ29" i="2"/>
  <c r="CI17" i="2"/>
  <c r="CI12" i="2"/>
  <c r="CI14" i="2"/>
  <c r="CI33" i="2"/>
  <c r="CJ28" i="2"/>
  <c r="CJ20" i="2"/>
  <c r="CJ21" i="2"/>
  <c r="CI30" i="2"/>
  <c r="CI5" i="2"/>
  <c r="CI26" i="2"/>
  <c r="CJ9" i="2"/>
  <c r="CJ2" i="2"/>
  <c r="CJ13" i="2"/>
  <c r="AP762" i="1"/>
  <c r="CI3" i="2"/>
  <c r="CI31" i="2"/>
  <c r="CJ4" i="2"/>
  <c r="CJ26" i="2"/>
  <c r="CI8" i="2"/>
  <c r="CI29" i="2"/>
  <c r="CJ8" i="2"/>
  <c r="CI28" i="2"/>
  <c r="CI18" i="2"/>
  <c r="CJ6" i="2"/>
  <c r="CI2" i="2"/>
  <c r="CI32" i="2"/>
  <c r="CI23" i="2"/>
  <c r="CJ11" i="2"/>
  <c r="CI19" i="2"/>
  <c r="CJ27" i="2"/>
  <c r="CJ23" i="2"/>
  <c r="CI22" i="2"/>
  <c r="CI4" i="2"/>
  <c r="CJ3" i="2"/>
  <c r="CI25" i="2"/>
  <c r="CI16" i="2"/>
  <c r="CJ16" i="2"/>
  <c r="CI9" i="2"/>
  <c r="CJ32" i="2"/>
  <c r="CJ18" i="2"/>
  <c r="CI24" i="2"/>
  <c r="CJ7" i="2"/>
  <c r="CI27" i="2"/>
  <c r="CJ19" i="2"/>
  <c r="CJ30" i="2"/>
  <c r="CJ31" i="2"/>
  <c r="CI15" i="2"/>
  <c r="CI6" i="2"/>
  <c r="CI10" i="2"/>
  <c r="CJ14" i="2"/>
  <c r="CJ5" i="2"/>
  <c r="CJ25" i="2"/>
  <c r="E15" i="2"/>
  <c r="BK33" i="2"/>
  <c r="E26" i="2"/>
  <c r="E27" i="2"/>
  <c r="E25" i="2"/>
  <c r="BK11" i="2"/>
  <c r="E8" i="2"/>
  <c r="E16" i="2"/>
  <c r="E28" i="2"/>
  <c r="E18" i="2"/>
  <c r="E24" i="2"/>
  <c r="E2" i="2"/>
  <c r="E9" i="2"/>
  <c r="E19" i="2"/>
  <c r="E4" i="2"/>
  <c r="E30" i="2"/>
  <c r="E17" i="2"/>
  <c r="E22" i="2"/>
  <c r="E31" i="2"/>
  <c r="E3" i="2"/>
  <c r="E7" i="2"/>
  <c r="E29" i="2"/>
  <c r="E10" i="2"/>
  <c r="E23" i="2"/>
  <c r="E21" i="2"/>
  <c r="BK12" i="2"/>
  <c r="BK20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0" i="2"/>
  <c r="AK21" i="2"/>
  <c r="AK26" i="2"/>
  <c r="AK4" i="2"/>
  <c r="AK22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2" i="2"/>
  <c r="BN12" i="2"/>
  <c r="BN2" i="2"/>
  <c r="BO2" i="2"/>
  <c r="BN25" i="2"/>
  <c r="BN3" i="2"/>
  <c r="BN11" i="2"/>
  <c r="BO18" i="2"/>
  <c r="BN10" i="2"/>
  <c r="BO33" i="2"/>
  <c r="BN23" i="2"/>
  <c r="BN24" i="2"/>
  <c r="BO17" i="2"/>
  <c r="BO15" i="2"/>
  <c r="BN15" i="2"/>
  <c r="BN32" i="2"/>
  <c r="BO12" i="2"/>
  <c r="BN6" i="2"/>
  <c r="BN18" i="2"/>
  <c r="BN19" i="2"/>
  <c r="BO25" i="2"/>
  <c r="BO31" i="2"/>
  <c r="BO23" i="2"/>
  <c r="BO6" i="2"/>
  <c r="BN8" i="2"/>
  <c r="BN31" i="2"/>
  <c r="BO10" i="2"/>
  <c r="BO27" i="2"/>
  <c r="BN30" i="2"/>
  <c r="BO21" i="2"/>
  <c r="BO14" i="2"/>
  <c r="BN9" i="2"/>
  <c r="BO28" i="2"/>
  <c r="BN7" i="2"/>
  <c r="BN16" i="2"/>
  <c r="BN29" i="2"/>
  <c r="BO4" i="2"/>
  <c r="BO26" i="2"/>
  <c r="BO20" i="2"/>
  <c r="BO22" i="2"/>
  <c r="BN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3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3" i="2"/>
  <c r="BM13" i="2"/>
  <c r="AP24" i="2"/>
  <c r="BL24" i="2"/>
  <c r="BM33" i="2"/>
  <c r="BL8" i="2"/>
  <c r="BL5" i="2"/>
  <c r="BM24" i="2"/>
  <c r="BM29" i="2"/>
  <c r="BM8" i="2"/>
  <c r="BL9" i="2"/>
  <c r="BL31" i="2"/>
  <c r="BM15" i="2"/>
  <c r="BL27" i="2"/>
  <c r="BM16" i="2"/>
  <c r="BM7" i="2"/>
  <c r="BL30" i="2"/>
  <c r="BM18" i="2"/>
  <c r="BM27" i="2"/>
  <c r="BM11" i="2"/>
  <c r="BL2" i="2"/>
  <c r="BM9" i="2"/>
  <c r="BM10" i="2"/>
  <c r="BM3" i="2"/>
  <c r="BL15" i="2"/>
  <c r="BM6" i="2"/>
  <c r="BL7" i="2"/>
  <c r="BL23" i="2"/>
  <c r="BL29" i="2"/>
  <c r="BM31" i="2"/>
  <c r="BM12" i="2"/>
  <c r="BM19" i="2"/>
  <c r="BM25" i="2"/>
  <c r="BM5" i="2"/>
  <c r="BL18" i="2"/>
  <c r="BL19" i="2"/>
  <c r="BM2" i="2"/>
  <c r="BL16" i="2"/>
  <c r="BM32" i="2"/>
  <c r="BL32" i="2"/>
  <c r="BL12" i="2"/>
  <c r="BM30" i="2"/>
  <c r="BL11" i="2"/>
  <c r="BL3" i="2"/>
  <c r="BM23" i="2"/>
  <c r="BM17" i="2"/>
  <c r="BM28" i="2"/>
  <c r="BL13" i="2"/>
  <c r="BL6" i="2"/>
  <c r="BM21" i="2"/>
  <c r="BL10" i="2"/>
  <c r="BM26" i="2"/>
  <c r="BM14" i="2"/>
  <c r="BM4" i="2"/>
  <c r="BM20" i="2"/>
  <c r="BL33" i="2"/>
  <c r="BL25" i="2"/>
  <c r="BM22" i="2"/>
  <c r="AP13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6" i="2"/>
  <c r="AF3" i="2"/>
  <c r="AH6" i="2"/>
  <c r="AP26" i="2"/>
  <c r="AF19" i="2"/>
  <c r="AO24" i="2"/>
  <c r="AF11" i="2"/>
  <c r="AH19" i="2"/>
  <c r="AK19" i="2" s="1"/>
  <c r="AF23" i="2"/>
  <c r="AP20" i="2"/>
  <c r="AH3" i="2"/>
  <c r="AK3" i="2" s="1"/>
  <c r="AF5" i="2"/>
  <c r="AO20" i="2"/>
  <c r="AJ29" i="2"/>
  <c r="AK29" i="2" s="1"/>
  <c r="AJ5" i="2"/>
  <c r="AK5" i="2" s="1"/>
  <c r="AP22" i="2"/>
  <c r="AF24" i="2"/>
  <c r="AO6" i="2"/>
  <c r="AP27" i="2"/>
  <c r="AO11" i="2"/>
  <c r="AJ11" i="2"/>
  <c r="AO22" i="2"/>
  <c r="AH24" i="2"/>
  <c r="AK24" i="2" s="1"/>
  <c r="AH12" i="2"/>
  <c r="AF27" i="2"/>
  <c r="AO19" i="2"/>
  <c r="AO3" i="2"/>
  <c r="AP3" i="2"/>
  <c r="AP19" i="2"/>
  <c r="AJ25" i="2"/>
  <c r="BP47" i="5"/>
  <c r="BP13" i="5"/>
  <c r="AO25" i="2"/>
  <c r="BP45" i="5"/>
  <c r="BP53" i="5"/>
  <c r="AF15" i="2"/>
  <c r="AF2" i="2"/>
  <c r="AJ10" i="2"/>
  <c r="AJ15" i="2"/>
  <c r="AW20" i="2"/>
  <c r="AW22" i="2"/>
  <c r="AW26" i="2"/>
  <c r="AW4" i="2"/>
  <c r="AW21" i="2"/>
  <c r="AW14" i="2"/>
  <c r="AH15" i="2"/>
  <c r="AF7" i="2"/>
  <c r="AP33" i="2"/>
  <c r="BP61" i="5"/>
  <c r="BP7" i="5"/>
  <c r="BP19" i="5"/>
  <c r="BP35" i="5"/>
  <c r="BP33" i="5"/>
  <c r="BP29" i="5"/>
  <c r="AO4" i="2"/>
  <c r="BP15" i="5"/>
  <c r="BP59" i="5"/>
  <c r="AP25" i="2"/>
  <c r="BP57" i="5"/>
  <c r="AH2" i="2"/>
  <c r="AF12" i="2"/>
  <c r="AJ13" i="2"/>
  <c r="AK13" i="2" s="1"/>
  <c r="BP21" i="5"/>
  <c r="E32" i="2"/>
  <c r="CY2" i="2"/>
  <c r="CZ5" i="2" s="1"/>
  <c r="AO13" i="2"/>
  <c r="AH25" i="2"/>
  <c r="AD16" i="2"/>
  <c r="BP16" i="2" s="1"/>
  <c r="AJ31" i="2"/>
  <c r="AH11" i="2"/>
  <c r="AP11" i="2"/>
  <c r="AH8" i="2"/>
  <c r="AP10" i="2"/>
  <c r="AJ16" i="2"/>
  <c r="AK16" i="2" s="1"/>
  <c r="DA5" i="2"/>
  <c r="DA6" i="2"/>
  <c r="AF29" i="2"/>
  <c r="AF31" i="2"/>
  <c r="CY3" i="2"/>
  <c r="DA3" i="2" s="1"/>
  <c r="AP4" i="2"/>
  <c r="AJ23" i="2"/>
  <c r="AF18" i="2"/>
  <c r="AJ30" i="2"/>
  <c r="AK30" i="2" s="1"/>
  <c r="AF16" i="2"/>
  <c r="AO7" i="2"/>
  <c r="AO23" i="2"/>
  <c r="AH23" i="2"/>
  <c r="AP23" i="2"/>
  <c r="AO30" i="2"/>
  <c r="AH31" i="2"/>
  <c r="AP30" i="2"/>
  <c r="AJ7" i="2"/>
  <c r="AK7" i="2" s="1"/>
  <c r="BP27" i="5"/>
  <c r="BP3" i="5"/>
  <c r="BP11" i="5"/>
  <c r="BP25" i="5"/>
  <c r="AD23" i="2"/>
  <c r="BP23" i="2" s="1"/>
  <c r="AF9" i="2"/>
  <c r="AF8" i="2"/>
  <c r="AO10" i="2"/>
  <c r="AO33" i="2"/>
  <c r="AH33" i="2"/>
  <c r="AW33" i="2" s="1"/>
  <c r="CS8" i="2"/>
  <c r="CS7" i="2"/>
  <c r="AF30" i="2"/>
  <c r="AJ12" i="2"/>
  <c r="AJ2" i="2"/>
  <c r="BP5" i="5"/>
  <c r="BP17" i="5"/>
  <c r="BP37" i="5"/>
  <c r="BP9" i="5"/>
  <c r="AH18" i="2"/>
  <c r="BP55" i="5"/>
  <c r="BP23" i="5"/>
  <c r="BP63" i="5"/>
  <c r="BP51" i="5"/>
  <c r="BP65" i="5"/>
  <c r="BP31" i="5"/>
  <c r="BP41" i="5"/>
  <c r="AO8" i="2"/>
  <c r="BP43" i="5"/>
  <c r="BP49" i="5"/>
  <c r="AH10" i="2"/>
  <c r="BP39" i="5"/>
  <c r="AP7" i="2"/>
  <c r="E6" i="2"/>
  <c r="BK3" i="2"/>
  <c r="BK6" i="2"/>
  <c r="BK28" i="2"/>
  <c r="BK19" i="2"/>
  <c r="BK8" i="2"/>
  <c r="BK21" i="2"/>
  <c r="BK7" i="2"/>
  <c r="BK2" i="2"/>
  <c r="BK16" i="2"/>
  <c r="BK27" i="2"/>
  <c r="BK29" i="2"/>
  <c r="BK25" i="2"/>
  <c r="BK32" i="2"/>
  <c r="BK10" i="2"/>
  <c r="BK9" i="2"/>
  <c r="BK4" i="2"/>
  <c r="BK17" i="2"/>
  <c r="BK18" i="2"/>
  <c r="BK24" i="2"/>
  <c r="BK31" i="2"/>
  <c r="BK22" i="2"/>
  <c r="BK13" i="2"/>
  <c r="BK23" i="2"/>
  <c r="BK30" i="2"/>
  <c r="BK5" i="2"/>
  <c r="BK15" i="2"/>
  <c r="BK26" i="2"/>
  <c r="K12" i="2"/>
  <c r="E12" i="2"/>
  <c r="BI20" i="2"/>
  <c r="E20" i="2"/>
  <c r="K33" i="2"/>
  <c r="E33" i="2"/>
  <c r="K11" i="2"/>
  <c r="E11" i="2"/>
  <c r="BJ11" i="2"/>
  <c r="AD33" i="2"/>
  <c r="BP33" i="2" s="1"/>
  <c r="BI12" i="2"/>
  <c r="BJ12" i="2"/>
  <c r="AD32" i="2"/>
  <c r="BP32" i="2" s="1"/>
  <c r="AD30" i="2"/>
  <c r="BP30" i="2" s="1"/>
  <c r="AF32" i="2"/>
  <c r="AD22" i="2"/>
  <c r="BP22" i="2" s="1"/>
  <c r="AD15" i="2"/>
  <c r="BP15" i="2" s="1"/>
  <c r="AD24" i="2"/>
  <c r="BP24" i="2" s="1"/>
  <c r="AO18" i="2"/>
  <c r="AD11" i="2"/>
  <c r="BP11" i="2" s="1"/>
  <c r="AD6" i="2"/>
  <c r="BP6" i="2" s="1"/>
  <c r="AD29" i="2"/>
  <c r="BP29" i="2" s="1"/>
  <c r="AH32" i="2"/>
  <c r="AD19" i="2"/>
  <c r="BP19" i="2" s="1"/>
  <c r="AD20" i="2"/>
  <c r="BP20" i="2" s="1"/>
  <c r="AD5" i="2"/>
  <c r="BP5" i="2" s="1"/>
  <c r="AD3" i="2"/>
  <c r="BP3" i="2" s="1"/>
  <c r="AD10" i="2"/>
  <c r="BP10" i="2" s="1"/>
  <c r="AD12" i="2"/>
  <c r="BP12" i="2" s="1"/>
  <c r="AD26" i="2"/>
  <c r="BP26" i="2" s="1"/>
  <c r="AD4" i="2"/>
  <c r="BP4" i="2" s="1"/>
  <c r="AD2" i="2"/>
  <c r="BP2" i="2" s="1"/>
  <c r="AD25" i="2"/>
  <c r="BP25" i="2" s="1"/>
  <c r="AD28" i="2"/>
  <c r="BP28" i="2" s="1"/>
  <c r="AD27" i="2"/>
  <c r="BP27" i="2" s="1"/>
  <c r="AD31" i="2"/>
  <c r="BP31" i="2" s="1"/>
  <c r="AD9" i="2"/>
  <c r="BP9" i="2" s="1"/>
  <c r="AD21" i="2"/>
  <c r="BP21" i="2" s="1"/>
  <c r="AD18" i="2"/>
  <c r="BP18" i="2" s="1"/>
  <c r="AD17" i="2"/>
  <c r="BP17" i="2" s="1"/>
  <c r="AJ32" i="2"/>
  <c r="AP17" i="2"/>
  <c r="AH17" i="2"/>
  <c r="AW17" i="2" s="1"/>
  <c r="AJ6" i="2"/>
  <c r="AO28" i="2"/>
  <c r="AJ28" i="2"/>
  <c r="AW28" i="2" s="1"/>
  <c r="AD7" i="2"/>
  <c r="BP7" i="2" s="1"/>
  <c r="AO9" i="2"/>
  <c r="AJ9" i="2"/>
  <c r="AK9" i="2" s="1"/>
  <c r="AJ8" i="2"/>
  <c r="AD8" i="2"/>
  <c r="BP8" i="2" s="1"/>
  <c r="AJ18" i="2"/>
  <c r="AD13" i="2"/>
  <c r="BP13" i="2" s="1"/>
  <c r="AH27" i="2"/>
  <c r="AK27" i="2" s="1"/>
  <c r="BI11" i="2"/>
  <c r="BY21" i="2"/>
  <c r="BY25" i="2"/>
  <c r="BJ33" i="2"/>
  <c r="BI33" i="2"/>
  <c r="BI31" i="2"/>
  <c r="K31" i="2"/>
  <c r="BI3" i="2"/>
  <c r="K3" i="2"/>
  <c r="BJ7" i="2"/>
  <c r="K7" i="2"/>
  <c r="BJ29" i="2"/>
  <c r="K29" i="2"/>
  <c r="BJ25" i="2"/>
  <c r="K25" i="2"/>
  <c r="BI13" i="2"/>
  <c r="K13" i="2"/>
  <c r="BI27" i="2"/>
  <c r="K27" i="2"/>
  <c r="BI19" i="2"/>
  <c r="K19" i="2"/>
  <c r="BI21" i="2"/>
  <c r="K21" i="2"/>
  <c r="BJ21" i="2"/>
  <c r="BI30" i="2"/>
  <c r="K30" i="2"/>
  <c r="BJ24" i="2"/>
  <c r="K24" i="2"/>
  <c r="BI2" i="2"/>
  <c r="K2" i="2"/>
  <c r="BJ16" i="2"/>
  <c r="K16" i="2"/>
  <c r="BI15" i="2"/>
  <c r="K15" i="2"/>
  <c r="BJ23" i="2"/>
  <c r="K23" i="2"/>
  <c r="BJ6" i="2"/>
  <c r="K6" i="2"/>
  <c r="BJ26" i="2"/>
  <c r="K26" i="2"/>
  <c r="BJ20" i="2"/>
  <c r="K20" i="2"/>
  <c r="BJ8" i="2"/>
  <c r="K8" i="2"/>
  <c r="BI10" i="2"/>
  <c r="K10" i="2"/>
  <c r="BJ28" i="2"/>
  <c r="K28" i="2"/>
  <c r="BJ18" i="2"/>
  <c r="K18" i="2"/>
  <c r="BJ17" i="2"/>
  <c r="K17" i="2"/>
  <c r="BI22" i="2"/>
  <c r="K22" i="2"/>
  <c r="BJ32" i="2"/>
  <c r="K32" i="2"/>
  <c r="BJ9" i="2"/>
  <c r="K9" i="2"/>
  <c r="BI5" i="2"/>
  <c r="K5" i="2"/>
  <c r="BJ4" i="2"/>
  <c r="K4" i="2"/>
  <c r="BI4" i="2"/>
  <c r="BY30" i="2"/>
  <c r="BY26" i="2"/>
  <c r="BY18" i="2"/>
  <c r="BI26" i="2"/>
  <c r="BY28" i="2"/>
  <c r="AP2" i="2"/>
  <c r="BY22" i="2"/>
  <c r="BY27" i="2"/>
  <c r="BY2" i="2"/>
  <c r="AP5" i="2"/>
  <c r="AO5" i="2"/>
  <c r="BY24" i="2"/>
  <c r="AP8" i="2"/>
  <c r="BY29" i="2"/>
  <c r="BJ5" i="2"/>
  <c r="AP12" i="2"/>
  <c r="BY7" i="2"/>
  <c r="AO15" i="2"/>
  <c r="AO12" i="2"/>
  <c r="BY31" i="2"/>
  <c r="AP28" i="2"/>
  <c r="BY12" i="2"/>
  <c r="BY15" i="2"/>
  <c r="BY6" i="2"/>
  <c r="AP9" i="2"/>
  <c r="BY9" i="2"/>
  <c r="BY10" i="2"/>
  <c r="BY33" i="2"/>
  <c r="BY20" i="2"/>
  <c r="BY19" i="2"/>
  <c r="BY5" i="2"/>
  <c r="BY11" i="2"/>
  <c r="BY17" i="2"/>
  <c r="BI6" i="2"/>
  <c r="BY23" i="2"/>
  <c r="AO31" i="2"/>
  <c r="AP6" i="2"/>
  <c r="AO32" i="2"/>
  <c r="AP16" i="2"/>
  <c r="AO16" i="2"/>
  <c r="AO21" i="2"/>
  <c r="BY8" i="2"/>
  <c r="AP31" i="2"/>
  <c r="BY13" i="2"/>
  <c r="AP15" i="2"/>
  <c r="AO27" i="2"/>
  <c r="AO2" i="2"/>
  <c r="AO17" i="2"/>
  <c r="AP29" i="2"/>
  <c r="AP14" i="2"/>
  <c r="AP18" i="2"/>
  <c r="AP21" i="2"/>
  <c r="AP32" i="2"/>
  <c r="BJ19" i="2"/>
  <c r="BJ13" i="2"/>
  <c r="BY4" i="2"/>
  <c r="BJ10" i="2"/>
  <c r="AO29" i="2"/>
  <c r="BY3" i="2"/>
  <c r="BY16" i="2"/>
  <c r="BI18" i="2"/>
  <c r="BI23" i="2"/>
  <c r="BI32" i="2"/>
  <c r="BI16" i="2"/>
  <c r="BJ3" i="2"/>
  <c r="BJ31" i="2"/>
  <c r="BY32" i="2"/>
  <c r="BI28" i="2"/>
  <c r="AO14" i="2"/>
  <c r="D2" i="9" s="1"/>
  <c r="U7" i="9" s="1"/>
  <c r="BI25" i="2"/>
  <c r="BJ15" i="2"/>
  <c r="BJ27" i="2"/>
  <c r="BI9" i="2"/>
  <c r="BI24" i="2"/>
  <c r="BI29" i="2"/>
  <c r="BJ30" i="2"/>
  <c r="BJ22" i="2"/>
  <c r="BJ2" i="2"/>
  <c r="BI8" i="2"/>
  <c r="BI7" i="2"/>
  <c r="BI17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6" i="2" l="1"/>
  <c r="AN26" i="2"/>
  <c r="AM22" i="2"/>
  <c r="AN22" i="2"/>
  <c r="AM20" i="2"/>
  <c r="AN20" i="2"/>
  <c r="AM21" i="2"/>
  <c r="AN21" i="2"/>
  <c r="AM4" i="2"/>
  <c r="AN4" i="2"/>
  <c r="AM14" i="2"/>
  <c r="AN14" i="2"/>
  <c r="AB12" i="2"/>
  <c r="AB33" i="2"/>
  <c r="AB25" i="2"/>
  <c r="AB31" i="2"/>
  <c r="AB23" i="2"/>
  <c r="AB13" i="2"/>
  <c r="AB20" i="2"/>
  <c r="AB32" i="2"/>
  <c r="AB21" i="2"/>
  <c r="AB29" i="2"/>
  <c r="AB5" i="2"/>
  <c r="AB28" i="2"/>
  <c r="AB7" i="2"/>
  <c r="AB19" i="2"/>
  <c r="AB10" i="2"/>
  <c r="AB17" i="2"/>
  <c r="AB15" i="2"/>
  <c r="AB2" i="2"/>
  <c r="AB6" i="2"/>
  <c r="AB30" i="2"/>
  <c r="AB8" i="2"/>
  <c r="AB3" i="2"/>
  <c r="AB22" i="2"/>
  <c r="AB16" i="2"/>
  <c r="AB4" i="2"/>
  <c r="AB26" i="2"/>
  <c r="AB24" i="2"/>
  <c r="AB11" i="2"/>
  <c r="AB9" i="2"/>
  <c r="AB18" i="2"/>
  <c r="AB27" i="2"/>
  <c r="CW11" i="2"/>
  <c r="AL10" i="2"/>
  <c r="AL31" i="2"/>
  <c r="AL11" i="2"/>
  <c r="AL32" i="2"/>
  <c r="AL25" i="2"/>
  <c r="AL6" i="2"/>
  <c r="AL15" i="2"/>
  <c r="AL8" i="2"/>
  <c r="AL12" i="2"/>
  <c r="AL23" i="2"/>
  <c r="AL18" i="2"/>
  <c r="AL2" i="2"/>
  <c r="AL29" i="2"/>
  <c r="AL19" i="2"/>
  <c r="AL17" i="2"/>
  <c r="AL5" i="2"/>
  <c r="AL9" i="2"/>
  <c r="AL30" i="2"/>
  <c r="AL24" i="2"/>
  <c r="AL3" i="2"/>
  <c r="AL16" i="2"/>
  <c r="AL33" i="2"/>
  <c r="AL27" i="2"/>
  <c r="AL7" i="2"/>
  <c r="AL28" i="2"/>
  <c r="AL13" i="2"/>
  <c r="BO36" i="2"/>
  <c r="BN35" i="2"/>
  <c r="BO35" i="2"/>
  <c r="BR30" i="2"/>
  <c r="BS30" i="2" s="1"/>
  <c r="BR8" i="2"/>
  <c r="BS8" i="2" s="1"/>
  <c r="BR3" i="2"/>
  <c r="BS3" i="2" s="1"/>
  <c r="BR32" i="2"/>
  <c r="BS32" i="2" s="1"/>
  <c r="BR15" i="2"/>
  <c r="BS15" i="2" s="1"/>
  <c r="BN37" i="2"/>
  <c r="BR20" i="2"/>
  <c r="BS20" i="2" s="1"/>
  <c r="BR24" i="2"/>
  <c r="BS24" i="2" s="1"/>
  <c r="BR11" i="2"/>
  <c r="BS11" i="2" s="1"/>
  <c r="BR7" i="2"/>
  <c r="BS7" i="2" s="1"/>
  <c r="BR31" i="2"/>
  <c r="BS31" i="2" s="1"/>
  <c r="BN36" i="2"/>
  <c r="BR28" i="2"/>
  <c r="BS28" i="2" s="1"/>
  <c r="BR12" i="2"/>
  <c r="BS12" i="2" s="1"/>
  <c r="BR33" i="2"/>
  <c r="BS33" i="2" s="1"/>
  <c r="BR2" i="2"/>
  <c r="BS2" i="2" s="1"/>
  <c r="BR21" i="2"/>
  <c r="BS21" i="2" s="1"/>
  <c r="BR16" i="2"/>
  <c r="BS16" i="2" s="1"/>
  <c r="BR23" i="2"/>
  <c r="BS23" i="2" s="1"/>
  <c r="BR13" i="2"/>
  <c r="BS13" i="2" s="1"/>
  <c r="BR4" i="2"/>
  <c r="BR19" i="2"/>
  <c r="BS19" i="2" s="1"/>
  <c r="BO37" i="2"/>
  <c r="BR22" i="2"/>
  <c r="BS22" i="2" s="1"/>
  <c r="BR29" i="2"/>
  <c r="BS29" i="2" s="1"/>
  <c r="BR5" i="2"/>
  <c r="BS5" i="2" s="1"/>
  <c r="BR27" i="2"/>
  <c r="BS27" i="2" s="1"/>
  <c r="BR6" i="2"/>
  <c r="BS6" i="2" s="1"/>
  <c r="BR9" i="2"/>
  <c r="BS9" i="2" s="1"/>
  <c r="BR25" i="2"/>
  <c r="BS25" i="2" s="1"/>
  <c r="BR10" i="2"/>
  <c r="BS10" i="2" s="1"/>
  <c r="BR17" i="2"/>
  <c r="BS17" i="2" s="1"/>
  <c r="BR18" i="2"/>
  <c r="BS18" i="2" s="1"/>
  <c r="BR26" i="2"/>
  <c r="BS26" i="2" s="1"/>
  <c r="BL35" i="2"/>
  <c r="BL36" i="2"/>
  <c r="BL37" i="2"/>
  <c r="BM35" i="2"/>
  <c r="BM36" i="2"/>
  <c r="BM37" i="2"/>
  <c r="CK10" i="2"/>
  <c r="CL10" i="2" s="1"/>
  <c r="CK17" i="2"/>
  <c r="CL17" i="2" s="1"/>
  <c r="CK11" i="2"/>
  <c r="CL11" i="2" s="1"/>
  <c r="CK22" i="2"/>
  <c r="CL22" i="2" s="1"/>
  <c r="CK7" i="2"/>
  <c r="CL7" i="2" s="1"/>
  <c r="CK21" i="2"/>
  <c r="CL21" i="2" s="1"/>
  <c r="CK15" i="2"/>
  <c r="CL15" i="2" s="1"/>
  <c r="CK4" i="2"/>
  <c r="CL4" i="2" s="1"/>
  <c r="BV37" i="2"/>
  <c r="BZ14" i="2"/>
  <c r="BZ37" i="2" s="1"/>
  <c r="CK24" i="2"/>
  <c r="CL24" i="2" s="1"/>
  <c r="CK28" i="2"/>
  <c r="CL28" i="2" s="1"/>
  <c r="CK29" i="2"/>
  <c r="CL29" i="2" s="1"/>
  <c r="CK20" i="2"/>
  <c r="CL20" i="2" s="1"/>
  <c r="CK13" i="2"/>
  <c r="CL13" i="2" s="1"/>
  <c r="CK26" i="2"/>
  <c r="CL26" i="2" s="1"/>
  <c r="CK33" i="2"/>
  <c r="CL33" i="2" s="1"/>
  <c r="CK12" i="2"/>
  <c r="CL12" i="2" s="1"/>
  <c r="CK5" i="2"/>
  <c r="CL5" i="2" s="1"/>
  <c r="CK14" i="2"/>
  <c r="CL14" i="2" s="1"/>
  <c r="CK30" i="2"/>
  <c r="CL30" i="2" s="1"/>
  <c r="CK19" i="2"/>
  <c r="CL19" i="2" s="1"/>
  <c r="CK8" i="2"/>
  <c r="CL8" i="2" s="1"/>
  <c r="CK16" i="2"/>
  <c r="CL16" i="2" s="1"/>
  <c r="CK23" i="2"/>
  <c r="CL23" i="2" s="1"/>
  <c r="CK18" i="2"/>
  <c r="CL18" i="2" s="1"/>
  <c r="CK9" i="2"/>
  <c r="CL9" i="2" s="1"/>
  <c r="CK32" i="2"/>
  <c r="CL32" i="2" s="1"/>
  <c r="CK2" i="2"/>
  <c r="CL2" i="2" s="1"/>
  <c r="CK6" i="2"/>
  <c r="CL6" i="2" s="1"/>
  <c r="CK25" i="2"/>
  <c r="CL25" i="2" s="1"/>
  <c r="CK3" i="2"/>
  <c r="CL3" i="2" s="1"/>
  <c r="CK27" i="2"/>
  <c r="CL27" i="2" s="1"/>
  <c r="CK31" i="2"/>
  <c r="CL3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23" i="2"/>
  <c r="AK10" i="2"/>
  <c r="AK25" i="2"/>
  <c r="AK6" i="2"/>
  <c r="AK31" i="2"/>
  <c r="AK8" i="2"/>
  <c r="AK2" i="2"/>
  <c r="AK12" i="2"/>
  <c r="AK18" i="2"/>
  <c r="AK11" i="2"/>
  <c r="AK15" i="2"/>
  <c r="AK32" i="2"/>
  <c r="AK33" i="2"/>
  <c r="AK28" i="2"/>
  <c r="AK17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8" i="2"/>
  <c r="AV8" i="2" s="1"/>
  <c r="AR30" i="2"/>
  <c r="AV30" i="2" s="1"/>
  <c r="AQ3" i="2"/>
  <c r="AQ27" i="2"/>
  <c r="AR25" i="2"/>
  <c r="AV25" i="2" s="1"/>
  <c r="AQ19" i="2"/>
  <c r="AR20" i="2"/>
  <c r="AV20" i="2" s="1"/>
  <c r="AR31" i="2"/>
  <c r="AV31" i="2" s="1"/>
  <c r="AQ5" i="2"/>
  <c r="AQ9" i="2"/>
  <c r="AQ30" i="2"/>
  <c r="AR10" i="2"/>
  <c r="AV10" i="2" s="1"/>
  <c r="AQ18" i="2"/>
  <c r="AR3" i="2"/>
  <c r="AV3" i="2" s="1"/>
  <c r="AR15" i="2"/>
  <c r="AV15" i="2" s="1"/>
  <c r="AR5" i="2"/>
  <c r="AV5" i="2" s="1"/>
  <c r="AQ8" i="2"/>
  <c r="AR23" i="2"/>
  <c r="AV23" i="2" s="1"/>
  <c r="AR13" i="2"/>
  <c r="AQ29" i="2"/>
  <c r="AQ21" i="2"/>
  <c r="AR9" i="2"/>
  <c r="AV9" i="2" s="1"/>
  <c r="AR11" i="2"/>
  <c r="AV11" i="2" s="1"/>
  <c r="AQ4" i="2"/>
  <c r="AQ23" i="2"/>
  <c r="AQ22" i="2"/>
  <c r="AQ24" i="2"/>
  <c r="AQ33" i="2"/>
  <c r="AQ7" i="2"/>
  <c r="AQ28" i="2"/>
  <c r="AQ10" i="2"/>
  <c r="AQ11" i="2"/>
  <c r="AR26" i="2"/>
  <c r="AV26" i="2" s="1"/>
  <c r="AR32" i="2"/>
  <c r="AV32" i="2" s="1"/>
  <c r="AR6" i="2"/>
  <c r="AV6" i="2" s="1"/>
  <c r="AR28" i="2"/>
  <c r="AV28" i="2" s="1"/>
  <c r="AR17" i="2"/>
  <c r="AV17" i="2" s="1"/>
  <c r="AR27" i="2"/>
  <c r="AV27" i="2" s="1"/>
  <c r="AQ32" i="2"/>
  <c r="AQ31" i="2"/>
  <c r="AQ6" i="2"/>
  <c r="AR18" i="2"/>
  <c r="AV18" i="2" s="1"/>
  <c r="AQ25" i="2"/>
  <c r="AQ26" i="2"/>
  <c r="AR4" i="2"/>
  <c r="AV4" i="2" s="1"/>
  <c r="AR33" i="2"/>
  <c r="AV33" i="2" s="1"/>
  <c r="AR22" i="2"/>
  <c r="AV22" i="2" s="1"/>
  <c r="AQ16" i="2"/>
  <c r="AR16" i="2"/>
  <c r="AV16" i="2" s="1"/>
  <c r="AR2" i="2"/>
  <c r="AV2" i="2" s="1"/>
  <c r="AR21" i="2"/>
  <c r="AV21" i="2" s="1"/>
  <c r="AQ13" i="2"/>
  <c r="BQ13" i="2" s="1"/>
  <c r="AQ12" i="2"/>
  <c r="AQ15" i="2"/>
  <c r="AR29" i="2"/>
  <c r="AV29" i="2" s="1"/>
  <c r="AR24" i="2"/>
  <c r="AV24" i="2" s="1"/>
  <c r="AQ17" i="2"/>
  <c r="AR12" i="2"/>
  <c r="AV12" i="2" s="1"/>
  <c r="AQ2" i="2"/>
  <c r="AR7" i="2"/>
  <c r="AV7" i="2" s="1"/>
  <c r="AR19" i="2"/>
  <c r="AV19" i="2" s="1"/>
  <c r="AQ20" i="2"/>
  <c r="AW13" i="2"/>
  <c r="AR14" i="2"/>
  <c r="AW29" i="2"/>
  <c r="AW19" i="2"/>
  <c r="AW3" i="2"/>
  <c r="AW6" i="2"/>
  <c r="AW24" i="2"/>
  <c r="AW11" i="2"/>
  <c r="AW5" i="2"/>
  <c r="AT27" i="2"/>
  <c r="AS11" i="2"/>
  <c r="AW27" i="2"/>
  <c r="AW25" i="2"/>
  <c r="AW10" i="2"/>
  <c r="AW23" i="2"/>
  <c r="AW15" i="2"/>
  <c r="AW2" i="2"/>
  <c r="AW32" i="2"/>
  <c r="AW12" i="2"/>
  <c r="AW7" i="2"/>
  <c r="AW18" i="2"/>
  <c r="AW30" i="2"/>
  <c r="AW8" i="2"/>
  <c r="AW9" i="2"/>
  <c r="AW16" i="2"/>
  <c r="AW31" i="2"/>
  <c r="CR18" i="2"/>
  <c r="CZ6" i="2"/>
  <c r="CY4" i="2"/>
  <c r="DA4" i="2" s="1"/>
  <c r="AS33" i="2"/>
  <c r="BP67" i="5"/>
  <c r="AT12" i="2"/>
  <c r="AT11" i="2"/>
  <c r="BK14" i="2"/>
  <c r="BK36" i="2" s="1"/>
  <c r="AT33" i="2"/>
  <c r="K14" i="2"/>
  <c r="E14" i="2"/>
  <c r="E35" i="2" s="1"/>
  <c r="AT17" i="2"/>
  <c r="AD14" i="2"/>
  <c r="AS12" i="2"/>
  <c r="AQ14" i="2"/>
  <c r="AT16" i="2"/>
  <c r="AT29" i="2"/>
  <c r="AT31" i="2"/>
  <c r="AS25" i="2"/>
  <c r="AT25" i="2"/>
  <c r="AS4" i="2"/>
  <c r="AT4" i="2"/>
  <c r="AS18" i="2"/>
  <c r="AT18" i="2"/>
  <c r="AS6" i="2"/>
  <c r="AT6" i="2"/>
  <c r="AS30" i="2"/>
  <c r="AT30" i="2"/>
  <c r="AS22" i="2"/>
  <c r="AT22" i="2"/>
  <c r="AS20" i="2"/>
  <c r="AT20" i="2"/>
  <c r="AT2" i="2"/>
  <c r="AT21" i="2"/>
  <c r="AS13" i="2"/>
  <c r="AT13" i="2"/>
  <c r="AS7" i="2"/>
  <c r="AT7" i="2"/>
  <c r="AS19" i="2"/>
  <c r="AT19" i="2"/>
  <c r="AS3" i="2"/>
  <c r="AT3" i="2"/>
  <c r="AT32" i="2"/>
  <c r="AS8" i="2"/>
  <c r="AT8" i="2"/>
  <c r="AT5" i="2"/>
  <c r="AS28" i="2"/>
  <c r="AT28" i="2"/>
  <c r="AS23" i="2"/>
  <c r="AT23" i="2"/>
  <c r="AS9" i="2"/>
  <c r="AT9" i="2"/>
  <c r="AS10" i="2"/>
  <c r="AT10" i="2"/>
  <c r="AS26" i="2"/>
  <c r="AT26" i="2"/>
  <c r="AT15" i="2"/>
  <c r="AS24" i="2"/>
  <c r="AT24" i="2"/>
  <c r="AS29" i="2"/>
  <c r="AS31" i="2"/>
  <c r="AS5" i="2"/>
  <c r="AS2" i="2"/>
  <c r="AS21" i="2"/>
  <c r="AS27" i="2"/>
  <c r="AS17" i="2"/>
  <c r="AS15" i="2"/>
  <c r="AS32" i="2"/>
  <c r="AS1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3" i="2" l="1"/>
  <c r="AN3" i="2"/>
  <c r="AM32" i="2"/>
  <c r="AN32" i="2"/>
  <c r="AM30" i="2"/>
  <c r="AN30" i="2"/>
  <c r="AM31" i="2"/>
  <c r="AN31" i="2"/>
  <c r="AM9" i="2"/>
  <c r="AN9" i="2"/>
  <c r="AM10" i="2"/>
  <c r="AN10" i="2"/>
  <c r="AM5" i="2"/>
  <c r="AN5" i="2"/>
  <c r="AM11" i="2"/>
  <c r="AN11" i="2"/>
  <c r="AM17" i="2"/>
  <c r="AN17" i="2"/>
  <c r="AM19" i="2"/>
  <c r="AN19" i="2"/>
  <c r="AM29" i="2"/>
  <c r="AN29" i="2"/>
  <c r="AM2" i="2"/>
  <c r="AN2" i="2"/>
  <c r="AM18" i="2"/>
  <c r="AN18" i="2"/>
  <c r="AM24" i="2"/>
  <c r="AN24" i="2"/>
  <c r="AM13" i="2"/>
  <c r="AN13" i="2"/>
  <c r="AM23" i="2"/>
  <c r="AN23" i="2"/>
  <c r="AM28" i="2"/>
  <c r="AN28" i="2"/>
  <c r="AM12" i="2"/>
  <c r="AN12" i="2"/>
  <c r="AM7" i="2"/>
  <c r="AN7" i="2"/>
  <c r="AM8" i="2"/>
  <c r="AN8" i="2"/>
  <c r="AM27" i="2"/>
  <c r="AN27" i="2"/>
  <c r="AM15" i="2"/>
  <c r="AN15" i="2"/>
  <c r="AM33" i="2"/>
  <c r="AN33" i="2"/>
  <c r="AM6" i="2"/>
  <c r="AN6" i="2"/>
  <c r="AM16" i="2"/>
  <c r="AN16" i="2"/>
  <c r="AM25" i="2"/>
  <c r="AN25" i="2"/>
  <c r="BR14" i="2"/>
  <c r="BR37" i="2" s="1"/>
  <c r="AB14" i="2"/>
  <c r="CX7" i="2"/>
  <c r="CW9" i="2" s="1"/>
  <c r="CX10" i="2" s="1"/>
  <c r="BS4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16" i="2"/>
  <c r="BQ16" i="2"/>
  <c r="AU11" i="2"/>
  <c r="BQ11" i="2"/>
  <c r="AU20" i="2"/>
  <c r="BQ20" i="2"/>
  <c r="AU28" i="2"/>
  <c r="BQ28" i="2"/>
  <c r="AU26" i="2"/>
  <c r="BQ26" i="2"/>
  <c r="AU33" i="2"/>
  <c r="BQ33" i="2"/>
  <c r="AU2" i="2"/>
  <c r="BQ2" i="2"/>
  <c r="AU25" i="2"/>
  <c r="BQ25" i="2"/>
  <c r="AU24" i="2"/>
  <c r="BQ24" i="2"/>
  <c r="AU30" i="2"/>
  <c r="BQ30" i="2"/>
  <c r="AU22" i="2"/>
  <c r="BQ22" i="2"/>
  <c r="AU9" i="2"/>
  <c r="BQ9" i="2"/>
  <c r="AU17" i="2"/>
  <c r="BQ17" i="2"/>
  <c r="AU6" i="2"/>
  <c r="BQ6" i="2"/>
  <c r="AU23" i="2"/>
  <c r="BQ23" i="2"/>
  <c r="AU5" i="2"/>
  <c r="BQ5" i="2"/>
  <c r="AU31" i="2"/>
  <c r="BQ31" i="2"/>
  <c r="AU4" i="2"/>
  <c r="BQ4" i="2"/>
  <c r="AU32" i="2"/>
  <c r="BQ32" i="2"/>
  <c r="AU18" i="2"/>
  <c r="BQ18" i="2"/>
  <c r="AU15" i="2"/>
  <c r="BQ15" i="2"/>
  <c r="AU19" i="2"/>
  <c r="BQ19" i="2"/>
  <c r="AU12" i="2"/>
  <c r="BQ12" i="2"/>
  <c r="AU21" i="2"/>
  <c r="BQ21" i="2"/>
  <c r="AU29" i="2"/>
  <c r="BQ29" i="2"/>
  <c r="AU27" i="2"/>
  <c r="BQ27" i="2"/>
  <c r="AU7" i="2"/>
  <c r="BQ7" i="2"/>
  <c r="AU3" i="2"/>
  <c r="BQ3" i="2"/>
  <c r="AU10" i="2"/>
  <c r="BQ10" i="2"/>
  <c r="AU8" i="2"/>
  <c r="BQ8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3" i="2"/>
  <c r="AR35" i="2"/>
  <c r="AR37" i="2"/>
  <c r="AR36" i="2"/>
  <c r="AU13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<sst xmlns="http://schemas.openxmlformats.org/spreadsheetml/2006/main" count="5274" uniqueCount="752">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</sst>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-1</c:v>
                </c:pt>
                <c:pt idx="65">
                  <c:v>-2</c:v>
                </c:pt>
                <c:pt idx="66">
                  <c:v>-5</c:v>
                </c:pt>
                <c:pt idx="67">
                  <c:v>-6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-3</c:v>
                </c:pt>
                <c:pt idx="62">
                  <c:v>-5</c:v>
                </c:pt>
                <c:pt idx="63">
                  <c:v>-3</c:v>
                </c:pt>
                <c:pt idx="64">
                  <c:v>-4</c:v>
                </c:pt>
                <c:pt idx="65">
                  <c:v>-1</c:v>
                </c:pt>
                <c:pt idx="66">
                  <c:v>-2</c:v>
                </c:pt>
                <c:pt idx="67">
                  <c:v>-3</c:v>
                </c:pt>
                <c:pt idx="68">
                  <c:v>-6</c:v>
                </c:pt>
                <c:pt idx="69">
                  <c:v>-5</c:v>
                </c:pt>
                <c:pt idx="70">
                  <c:v>-4</c:v>
                </c:pt>
                <c:pt idx="71">
                  <c:v>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72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-34</c:v>
                </c:pt>
                <c:pt idx="62">
                  <c:v>-34</c:v>
                </c:pt>
                <c:pt idx="63">
                  <c:v>-34</c:v>
                </c:pt>
                <c:pt idx="64">
                  <c:v>-34</c:v>
                </c:pt>
                <c:pt idx="65">
                  <c:v>-34</c:v>
                </c:pt>
                <c:pt idx="66">
                  <c:v>-34</c:v>
                </c:pt>
                <c:pt idx="67">
                  <c:v>-34</c:v>
                </c:pt>
                <c:pt idx="68">
                  <c:v>-34</c:v>
                </c:pt>
                <c:pt idx="69">
                  <c:v>-34</c:v>
                </c:pt>
                <c:pt idx="70">
                  <c:v>-34</c:v>
                </c:pt>
                <c:pt idx="71">
                  <c:v>-34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72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-40</c:v>
                </c:pt>
                <c:pt idx="62">
                  <c:v>-40</c:v>
                </c:pt>
                <c:pt idx="63">
                  <c:v>-40</c:v>
                </c:pt>
                <c:pt idx="64">
                  <c:v>-40</c:v>
                </c:pt>
                <c:pt idx="65">
                  <c:v>-40</c:v>
                </c:pt>
                <c:pt idx="66">
                  <c:v>-40</c:v>
                </c:pt>
                <c:pt idx="67">
                  <c:v>-40</c:v>
                </c:pt>
                <c:pt idx="68">
                  <c:v>-40</c:v>
                </c:pt>
                <c:pt idx="69">
                  <c:v>-40</c:v>
                </c:pt>
                <c:pt idx="70">
                  <c:v>-40</c:v>
                </c:pt>
                <c:pt idx="71">
                  <c:v>-40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52" workbookViewId="0">
      <selection activeCell="P68" sqref="P6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60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29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37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19</v>
      </c>
      <c r="BP5" s="57"/>
      <c r="BR5" s="2">
        <v>0</v>
      </c>
      <c r="BS5" s="110" cm="1">
        <f t="array" ref="BS5">SUM(--(ABS($F$3:$F$1315 - $J$3:$J$1315) = 0)) -(((32*82)/2) - $BD$4)</f>
        <v>-1</v>
      </c>
      <c r="BT5" s="111">
        <f>$BS5/$BD$4</f>
        <v>-1.6666666666666666E-2</v>
      </c>
      <c r="BU5" s="112" cm="1">
        <f t="array" ref="BU5">SUM(--(ABS($G$3:$G$1315 - $K$3:$K$1315) = 0)) -(((32*82)/2) - $BD$4)</f>
        <v>2</v>
      </c>
      <c r="BV5" s="113">
        <f>$BU5/$BD$4</f>
        <v>3.3333333333333333E-2</v>
      </c>
      <c r="BW5" s="109">
        <f t="shared" ref="BW5:BW15" si="5">BS5+BU5</f>
        <v>1</v>
      </c>
      <c r="BX5" s="114">
        <f t="shared" ref="BX5:BX15" si="6">(BS5+BU5)/($BD$4*2)</f>
        <v>8.3333333333333332E-3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23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7</v>
      </c>
      <c r="BP6" s="57"/>
      <c r="BR6" s="2">
        <v>1</v>
      </c>
      <c r="BS6" s="110" cm="1">
        <f t="array" ref="BS6">SUM(--(ABS($F$3:$F$1315 - $J$3:$J$1315) = $BR6))</f>
        <v>23</v>
      </c>
      <c r="BT6" s="111">
        <f t="shared" ref="BT6:BT15" si="7">$BS6/$BD$4</f>
        <v>0.38333333333333336</v>
      </c>
      <c r="BU6" s="112" cm="1">
        <f t="array" ref="BU6">SUM(--(ABS($G$3:$G$1315 - $K$3:$K$1315) = $BR6))</f>
        <v>21</v>
      </c>
      <c r="BV6" s="113">
        <f t="shared" ref="BV6:BV15" si="8">$BU6/$BD$4</f>
        <v>0.35</v>
      </c>
      <c r="BW6" s="109">
        <f t="shared" si="5"/>
        <v>44</v>
      </c>
      <c r="BX6" s="114">
        <f t="shared" si="6"/>
        <v>0.36666666666666664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0.6166666666666667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17</v>
      </c>
      <c r="BT7" s="111">
        <f t="shared" si="7"/>
        <v>0.28333333333333333</v>
      </c>
      <c r="BU7" s="112" cm="1">
        <f t="array" ref="BU7">SUM(--(ABS($G$3:$G$1315 - $K$3:$K$1315) = $BR7))</f>
        <v>15</v>
      </c>
      <c r="BV7" s="113">
        <f t="shared" si="8"/>
        <v>0.25</v>
      </c>
      <c r="BW7" s="109">
        <f t="shared" si="5"/>
        <v>32</v>
      </c>
      <c r="BX7" s="114">
        <f t="shared" si="6"/>
        <v>0.26666666666666666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13</v>
      </c>
      <c r="BT8" s="111">
        <f t="shared" si="7"/>
        <v>0.21666666666666667</v>
      </c>
      <c r="BU8" s="112" cm="1">
        <f t="array" ref="BU8">SUM(--(ABS($G$3:$G$1315 - $K$3:$K$1315) = $BR8))</f>
        <v>10</v>
      </c>
      <c r="BV8" s="113">
        <f t="shared" si="8"/>
        <v>0.16666666666666666</v>
      </c>
      <c r="BW8" s="109">
        <f t="shared" si="5"/>
        <v>23</v>
      </c>
      <c r="BX8" s="114">
        <f t="shared" si="6"/>
        <v>0.19166666666666668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31.70000000000001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5</v>
      </c>
      <c r="BT9" s="111">
        <f t="shared" si="7"/>
        <v>8.3333333333333329E-2</v>
      </c>
      <c r="BU9" s="112" cm="1">
        <f t="array" ref="BU9">SUM(--(ABS($G$3:$G$1315 - $K$3:$K$1315) = $BR9))</f>
        <v>9</v>
      </c>
      <c r="BV9" s="113">
        <f t="shared" si="8"/>
        <v>0.15</v>
      </c>
      <c r="BW9" s="109">
        <f t="shared" si="5"/>
        <v>14</v>
      </c>
      <c r="BX9" s="114">
        <f t="shared" si="6"/>
        <v>0.11666666666666667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0.52833333333333354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3.3333333333333333E-2</v>
      </c>
      <c r="BU10" s="112" cm="1">
        <f t="array" ref="BU10">SUM(--(ABS($G$3:$G$1315 - $K$3:$K$1315) = $BR10))</f>
        <v>2</v>
      </c>
      <c r="BV10" s="113">
        <f t="shared" si="8"/>
        <v>3.3333333333333333E-2</v>
      </c>
      <c r="BW10" s="109">
        <f t="shared" si="5"/>
        <v>4</v>
      </c>
      <c r="BX10" s="114">
        <f t="shared" si="6"/>
        <v>3.3333333333333333E-2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29.6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37-19-4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3.3333333333333333E-2</v>
      </c>
      <c r="BU11" s="112" cm="1">
        <f t="array" ref="BU11">SUM(--(ABS($G$3:$G$1315 - $K$3:$K$1315) = $BR11))</f>
        <v>2</v>
      </c>
      <c r="BV11" s="113">
        <f t="shared" si="8"/>
        <v>3.3333333333333333E-2</v>
      </c>
      <c r="BW11" s="109">
        <f t="shared" si="5"/>
        <v>4</v>
      </c>
      <c r="BX11" s="114">
        <f t="shared" si="6"/>
        <v>3.3333333333333333E-2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9</v>
      </c>
      <c r="BF12">
        <f>10/100</f>
        <v>0.1</v>
      </c>
      <c r="BK12" s="57"/>
      <c r="BL12" s="157" t="str">
        <f>_xlfn.CONCAT(TEXT(BM4, "0"),"-",TEXT(BM5, "0"),"-",TEXT(BM7+BM9+BM6+BM8, "0"))</f>
        <v>29-19-12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1.2000000000000002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2.3000000000000003</v>
      </c>
      <c r="BT16" s="156"/>
      <c r="BU16" s="156">
        <f>((BR5*BV5)+(BV6*BR6)+(BV7*BR7)+(BV8*BR8)+(BV9*BR9)+(BV10*BR10)+(BV11*BR11)+(BV12*BR12)+(BV13*BR13)+(BV14*BR14)+(BV15*BR15))</f>
        <v>2.3166666666666669</v>
      </c>
      <c r="BV16" s="156"/>
      <c r="BX16">
        <f>((BR5*BX5)+(BX6*BR6)+(BX7*BR7)+(BX8*BR8)+(BX9*BR9)+(BX10*BR10)+(BX11*BR11)+(BX12*BR12)+(BX13*BR13)+(BX14*BR14)+(BX15*BR15))</f>
        <v>2.3083333333333336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33.980000000000011</v>
      </c>
      <c r="BH17" t="s">
        <v>486</v>
      </c>
      <c r="BI17">
        <f>COUNTIFS($N$3:$N$1315,1,$AC$3:$AC$1315,1)</f>
        <v>4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0.56633333333333347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11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19.8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1-0-0</v>
      </c>
      <c r="AP55" s="2" t="str">
        <f>INDEX(Sheet5!$B$2:$AG$33, MATCH(Table2[[#This Row],[HomeTeam]],Sheet5!$A$2:$A$33, 0), MATCH(Table2[[#This Row],[AwayTeam]],Sheet5!$A$2:$A$33, 0))</f>
        <v>0-1-0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 t="s">
        <v>719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4</v>
      </c>
      <c r="L58" s="143" t="str">
        <f t="shared" si="1"/>
        <v>ANA</v>
      </c>
      <c r="M58" s="143" t="s">
        <v>719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720</v>
      </c>
      <c r="J59" s="2">
        <v>4</v>
      </c>
      <c r="K59" s="2">
        <v>8</v>
      </c>
      <c r="L59" s="2" t="str">
        <f t="shared" si="1"/>
        <v>BUF</v>
      </c>
      <c r="M59" s="2" t="s">
        <v>719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721</v>
      </c>
      <c r="J60" s="2">
        <v>1</v>
      </c>
      <c r="K60" s="2">
        <v>4</v>
      </c>
      <c r="L60" s="2" t="str">
        <f t="shared" si="1"/>
        <v>DET</v>
      </c>
      <c r="M60" s="2" t="s">
        <v>719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719</v>
      </c>
      <c r="J61" s="2">
        <v>8</v>
      </c>
      <c r="K61" s="2">
        <v>3</v>
      </c>
      <c r="L61" s="2" t="str">
        <f t="shared" si="1"/>
        <v>CHI</v>
      </c>
      <c r="M61" s="2" t="s">
        <v>719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720</v>
      </c>
      <c r="J62" s="143">
        <v>1</v>
      </c>
      <c r="K62" s="143">
        <v>3</v>
      </c>
      <c r="L62" s="143" t="str">
        <f t="shared" si="1"/>
        <v>UTA</v>
      </c>
      <c r="M62" s="143" t="s">
        <v>719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721</v>
      </c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-4</v>
      </c>
      <c r="AG63" s="2">
        <f>Table2[[#This Row],[ActualHomeScore]]-Table2[[#This Row],[PredictedHomeScore]]</f>
        <v>-3</v>
      </c>
      <c r="AH63" s="2">
        <f t="shared" si="3"/>
        <v>-34</v>
      </c>
      <c r="AI63" s="2">
        <f t="shared" si="4"/>
        <v>-40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719</v>
      </c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-3</v>
      </c>
      <c r="AG64" s="2">
        <f>Table2[[#This Row],[ActualHomeScore]]-Table2[[#This Row],[PredictedHomeScore]]</f>
        <v>-5</v>
      </c>
      <c r="AH64" s="2">
        <f t="shared" si="3"/>
        <v>-34</v>
      </c>
      <c r="AI64" s="2">
        <f t="shared" si="4"/>
        <v>-40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720</v>
      </c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-4</v>
      </c>
      <c r="AG65" s="2">
        <f>Table2[[#This Row],[ActualHomeScore]]-Table2[[#This Row],[PredictedHomeScore]]</f>
        <v>-3</v>
      </c>
      <c r="AH65" s="2">
        <f t="shared" si="3"/>
        <v>-34</v>
      </c>
      <c r="AI65" s="2">
        <f t="shared" si="4"/>
        <v>-40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719</v>
      </c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-1</v>
      </c>
      <c r="AG66" s="2">
        <f>Table2[[#This Row],[ActualHomeScore]]-Table2[[#This Row],[PredictedHomeScore]]</f>
        <v>-4</v>
      </c>
      <c r="AH66" s="2">
        <f t="shared" si="3"/>
        <v>-34</v>
      </c>
      <c r="AI66" s="2">
        <f t="shared" si="4"/>
        <v>-40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721</v>
      </c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-2</v>
      </c>
      <c r="AG67" s="2">
        <f>Table2[[#This Row],[ActualHomeScore]]-Table2[[#This Row],[PredictedHomeScore]]</f>
        <v>-1</v>
      </c>
      <c r="AH67" s="2">
        <f t="shared" ref="AH67:AH130" si="12">SUMIF($B$3:$B$1315, $B67, $AF$3:$AF$1315)</f>
        <v>-34</v>
      </c>
      <c r="AI67" s="2">
        <f t="shared" ref="AI67:AI130" si="13">SUMIF($B$3:$B$1315, $B67, $AG$3:$AG$1315)</f>
        <v>-40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719</v>
      </c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-5</v>
      </c>
      <c r="AG68" s="2">
        <f>Table2[[#This Row],[ActualHomeScore]]-Table2[[#This Row],[PredictedHomeScore]]</f>
        <v>-2</v>
      </c>
      <c r="AH68" s="2">
        <f t="shared" si="12"/>
        <v>-34</v>
      </c>
      <c r="AI68" s="2">
        <f t="shared" si="13"/>
        <v>-40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719</v>
      </c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-6</v>
      </c>
      <c r="AG69" s="2">
        <f>Table2[[#This Row],[ActualHomeScore]]-Table2[[#This Row],[PredictedHomeScore]]</f>
        <v>-3</v>
      </c>
      <c r="AH69" s="2">
        <f t="shared" si="12"/>
        <v>-34</v>
      </c>
      <c r="AI69" s="2">
        <f t="shared" si="13"/>
        <v>-40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719</v>
      </c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-2</v>
      </c>
      <c r="AG70" s="2">
        <f>Table2[[#This Row],[ActualHomeScore]]-Table2[[#This Row],[PredictedHomeScore]]</f>
        <v>-6</v>
      </c>
      <c r="AH70" s="2">
        <f t="shared" si="12"/>
        <v>-34</v>
      </c>
      <c r="AI70" s="2">
        <f t="shared" si="13"/>
        <v>-40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719</v>
      </c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-2</v>
      </c>
      <c r="AG71" s="2">
        <f>Table2[[#This Row],[ActualHomeScore]]-Table2[[#This Row],[PredictedHomeScore]]</f>
        <v>-5</v>
      </c>
      <c r="AH71" s="2">
        <f t="shared" si="12"/>
        <v>-34</v>
      </c>
      <c r="AI71" s="2">
        <f t="shared" si="13"/>
        <v>-40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2</v>
      </c>
      <c r="G72" s="2">
        <v>4</v>
      </c>
      <c r="H72" s="2" t="str">
        <f t="shared" si="9"/>
        <v>ANA</v>
      </c>
      <c r="I72" s="2" t="s">
        <v>719</v>
      </c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-2</v>
      </c>
      <c r="AG72" s="2">
        <f>Table2[[#This Row],[ActualHomeScore]]-Table2[[#This Row],[PredictedHomeScore]]</f>
        <v>-4</v>
      </c>
      <c r="AH72" s="2">
        <f t="shared" si="12"/>
        <v>-34</v>
      </c>
      <c r="AI72" s="2">
        <f t="shared" si="13"/>
        <v>-40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720</v>
      </c>
      <c r="J73" s="143"/>
      <c r="K73" s="143"/>
      <c r="L73" s="143" t="str">
        <f t="shared" si="10"/>
        <v>_</v>
      </c>
      <c r="M73" s="143"/>
      <c r="N73" s="143">
        <f>IF(ISBLANK(Table2[[#This Row],[ActualResult]]), 0, 1)</f>
        <v>0</v>
      </c>
      <c r="O73" s="143" t="str">
        <f>IF(ISBLANK(Table2[[#This Row],[ActualResult]]), "_", IF(Table2[[#This Row],[ActualWinner]]=Table2[[#This Row],[PredictedWinner]], "Y", "N"))</f>
        <v>_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143"/>
      <c r="S73" s="143" t="str">
        <f t="shared" si="11"/>
        <v>_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-3</v>
      </c>
      <c r="AG73" s="143">
        <f>Table2[[#This Row],[ActualHomeScore]]-Table2[[#This Row],[PredictedHomeScore]]</f>
        <v>-4</v>
      </c>
      <c r="AH73" s="143">
        <f t="shared" si="12"/>
        <v>-34</v>
      </c>
      <c r="AI73" s="143">
        <f t="shared" si="13"/>
        <v>-40</v>
      </c>
      <c r="AJ73" s="143"/>
      <c r="AK73" s="143"/>
      <c r="AL73" s="143">
        <f>IF(Table2[[#This Row],[GameIsOver]]=0,0,IF(Table2[[#This Row],[ActualWinner]]=Table2[[#This Row],[AwayTeam]], 1, 0))</f>
        <v>0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3" s="143" t="str">
        <f>INDEX(Sheet5!$B$2:$AG$33, MATCH(Table2[[#This Row],[AwayTeam]],Sheet5!$A$2:$A$33, 0), MATCH(Table2[[#This Row],[HomeTeam]],Sheet5!$A$2:$A$33, 0))</f>
        <v>0-0-0</v>
      </c>
      <c r="AP73" s="143" t="str">
        <f>INDEX(Sheet5!$B$2:$AG$33, MATCH(Table2[[#This Row],[HomeTeam]],Sheet5!$A$2:$A$33, 0), MATCH(Table2[[#This Row],[AwayTeam]],Sheet5!$A$2:$A$33, 0))</f>
        <v>0-0-0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0-1-0</v>
      </c>
      <c r="AP89" s="2" t="str">
        <f>INDEX(Sheet5!$B$2:$AG$33, MATCH(Table2[[#This Row],[HomeTeam]],Sheet5!$A$2:$A$33, 0), MATCH(Table2[[#This Row],[AwayTeam]],Sheet5!$A$2:$A$33, 0))</f>
        <v>1-0-0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1-0-0</v>
      </c>
      <c r="AP561" s="2" t="str">
        <f>INDEX(Sheet5!$B$2:$AG$33, MATCH(Table2[[#This Row],[HomeTeam]],Sheet5!$A$2:$A$33, 0), MATCH(Table2[[#This Row],[AwayTeam]],Sheet5!$A$2:$A$33, 0))</f>
        <v>0-1-0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0-1-0</v>
      </c>
      <c r="AP1203" s="2" t="str">
        <f>INDEX(Sheet5!$B$2:$AG$33, MATCH(Table2[[#This Row],[HomeTeam]],Sheet5!$A$2:$A$33, 0), MATCH(Table2[[#This Row],[AwayTeam]],Sheet5!$A$2:$A$33, 0))</f>
        <v>1-0-0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4" sqref="A14:XFD14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6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6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5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4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6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6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5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6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6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5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3</v>
      </c>
      <c r="AB16" s="145">
        <f>SUMIFS(Table2[NewPointsAway],Table2[GameDate], "&lt;=" &amp; $A16, Table2[AwayTeam], AB$1)+SUMIFS(Table2[NewPointsHome],Table2[GameDate], "&lt;=" &amp; $A16, Table2[HomeTeam], AB$1)</f>
        <v>4</v>
      </c>
      <c r="AC16" s="145">
        <f>SUMIFS(Table2[NewPointsAway],Table2[GameDate], "&lt;=" &amp; $A16, Table2[AwayTeam], AC$1)+SUMIFS(Table2[NewPointsHome],Table2[GameDate], "&lt;=" &amp; $A16, Table2[HomeTeam], AC$1)</f>
        <v>4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6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6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2</v>
      </c>
      <c r="E17" s="145">
        <f>SUMIFS(Table2[NewPointsAway],Table2[GameDate], "&lt;=" &amp; $A17, Table2[AwayTeam], E$1)+SUMIFS(Table2[NewPointsHome],Table2[GameDate], "&lt;=" &amp; $A17, Table2[HomeTeam], E$1)</f>
        <v>6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5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6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6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5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3</v>
      </c>
      <c r="AB17" s="145">
        <f>SUMIFS(Table2[NewPointsAway],Table2[GameDate], "&lt;=" &amp; $A17, Table2[AwayTeam], AB$1)+SUMIFS(Table2[NewPointsHome],Table2[GameDate], "&lt;=" &amp; $A17, Table2[HomeTeam], AB$1)</f>
        <v>4</v>
      </c>
      <c r="AC17" s="145">
        <f>SUMIFS(Table2[NewPointsAway],Table2[GameDate], "&lt;=" &amp; $A17, Table2[AwayTeam], AC$1)+SUMIFS(Table2[NewPointsHome],Table2[GameDate], "&lt;=" &amp; $A17, Table2[HomeTeam], AC$1)</f>
        <v>4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6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6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4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2</v>
      </c>
      <c r="E18" s="145">
        <f>SUMIFS(Table2[NewPointsAway],Table2[GameDate], "&lt;=" &amp; $A18, Table2[AwayTeam], E$1)+SUMIFS(Table2[NewPointsHome],Table2[GameDate], "&lt;=" &amp; $A18, Table2[HomeTeam], E$1)</f>
        <v>6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5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6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6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5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3</v>
      </c>
      <c r="AB18" s="145">
        <f>SUMIFS(Table2[NewPointsAway],Table2[GameDate], "&lt;=" &amp; $A18, Table2[AwayTeam], AB$1)+SUMIFS(Table2[NewPointsHome],Table2[GameDate], "&lt;=" &amp; $A18, Table2[HomeTeam], AB$1)</f>
        <v>4</v>
      </c>
      <c r="AC18" s="145">
        <f>SUMIFS(Table2[NewPointsAway],Table2[GameDate], "&lt;=" &amp; $A18, Table2[AwayTeam], AC$1)+SUMIFS(Table2[NewPointsHome],Table2[GameDate], "&lt;=" &amp; $A18, Table2[HomeTeam], AC$1)</f>
        <v>4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6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6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4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2</v>
      </c>
      <c r="E19" s="145">
        <f>SUMIFS(Table2[NewPointsAway],Table2[GameDate], "&lt;=" &amp; $A19, Table2[AwayTeam], E$1)+SUMIFS(Table2[NewPointsHome],Table2[GameDate], "&lt;=" &amp; $A19, Table2[HomeTeam], E$1)</f>
        <v>6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5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6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6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5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3</v>
      </c>
      <c r="AB19" s="145">
        <f>SUMIFS(Table2[NewPointsAway],Table2[GameDate], "&lt;=" &amp; $A19, Table2[AwayTeam], AB$1)+SUMIFS(Table2[NewPointsHome],Table2[GameDate], "&lt;=" &amp; $A19, Table2[HomeTeam], AB$1)</f>
        <v>4</v>
      </c>
      <c r="AC19" s="145">
        <f>SUMIFS(Table2[NewPointsAway],Table2[GameDate], "&lt;=" &amp; $A19, Table2[AwayTeam], AC$1)+SUMIFS(Table2[NewPointsHome],Table2[GameDate], "&lt;=" &amp; $A19, Table2[HomeTeam], AC$1)</f>
        <v>4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6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6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4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2</v>
      </c>
      <c r="E20" s="145">
        <f>SUMIFS(Table2[NewPointsAway],Table2[GameDate], "&lt;=" &amp; $A20, Table2[AwayTeam], E$1)+SUMIFS(Table2[NewPointsHome],Table2[GameDate], "&lt;=" &amp; $A20, Table2[HomeTeam], E$1)</f>
        <v>6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5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6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6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5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3</v>
      </c>
      <c r="AB20" s="145">
        <f>SUMIFS(Table2[NewPointsAway],Table2[GameDate], "&lt;=" &amp; $A20, Table2[AwayTeam], AB$1)+SUMIFS(Table2[NewPointsHome],Table2[GameDate], "&lt;=" &amp; $A20, Table2[HomeTeam], AB$1)</f>
        <v>4</v>
      </c>
      <c r="AC20" s="145">
        <f>SUMIFS(Table2[NewPointsAway],Table2[GameDate], "&lt;=" &amp; $A20, Table2[AwayTeam], AC$1)+SUMIFS(Table2[NewPointsHome],Table2[GameDate], "&lt;=" &amp; $A20, Table2[HomeTeam], AC$1)</f>
        <v>4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6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6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4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2</v>
      </c>
      <c r="E21" s="145">
        <f>SUMIFS(Table2[NewPointsAway],Table2[GameDate], "&lt;=" &amp; $A21, Table2[AwayTeam], E$1)+SUMIFS(Table2[NewPointsHome],Table2[GameDate], "&lt;=" &amp; $A21, Table2[HomeTeam], E$1)</f>
        <v>6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5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6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6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5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3</v>
      </c>
      <c r="AB21" s="145">
        <f>SUMIFS(Table2[NewPointsAway],Table2[GameDate], "&lt;=" &amp; $A21, Table2[AwayTeam], AB$1)+SUMIFS(Table2[NewPointsHome],Table2[GameDate], "&lt;=" &amp; $A21, Table2[HomeTeam], AB$1)</f>
        <v>4</v>
      </c>
      <c r="AC21" s="145">
        <f>SUMIFS(Table2[NewPointsAway],Table2[GameDate], "&lt;=" &amp; $A21, Table2[AwayTeam], AC$1)+SUMIFS(Table2[NewPointsHome],Table2[GameDate], "&lt;=" &amp; $A21, Table2[HomeTeam], AC$1)</f>
        <v>4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6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6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4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2</v>
      </c>
      <c r="E22" s="145">
        <f>SUMIFS(Table2[NewPointsAway],Table2[GameDate], "&lt;=" &amp; $A22, Table2[AwayTeam], E$1)+SUMIFS(Table2[NewPointsHome],Table2[GameDate], "&lt;=" &amp; $A22, Table2[HomeTeam], E$1)</f>
        <v>6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5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6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6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5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3</v>
      </c>
      <c r="AB22" s="145">
        <f>SUMIFS(Table2[NewPointsAway],Table2[GameDate], "&lt;=" &amp; $A22, Table2[AwayTeam], AB$1)+SUMIFS(Table2[NewPointsHome],Table2[GameDate], "&lt;=" &amp; $A22, Table2[HomeTeam], AB$1)</f>
        <v>4</v>
      </c>
      <c r="AC22" s="145">
        <f>SUMIFS(Table2[NewPointsAway],Table2[GameDate], "&lt;=" &amp; $A22, Table2[AwayTeam], AC$1)+SUMIFS(Table2[NewPointsHome],Table2[GameDate], "&lt;=" &amp; $A22, Table2[HomeTeam], AC$1)</f>
        <v>4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6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6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4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2</v>
      </c>
      <c r="E23" s="145">
        <f>SUMIFS(Table2[NewPointsAway],Table2[GameDate], "&lt;=" &amp; $A23, Table2[AwayTeam], E$1)+SUMIFS(Table2[NewPointsHome],Table2[GameDate], "&lt;=" &amp; $A23, Table2[HomeTeam], E$1)</f>
        <v>6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5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6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6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5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3</v>
      </c>
      <c r="AB23" s="145">
        <f>SUMIFS(Table2[NewPointsAway],Table2[GameDate], "&lt;=" &amp; $A23, Table2[AwayTeam], AB$1)+SUMIFS(Table2[NewPointsHome],Table2[GameDate], "&lt;=" &amp; $A23, Table2[HomeTeam], AB$1)</f>
        <v>4</v>
      </c>
      <c r="AC23" s="145">
        <f>SUMIFS(Table2[NewPointsAway],Table2[GameDate], "&lt;=" &amp; $A23, Table2[AwayTeam], AC$1)+SUMIFS(Table2[NewPointsHome],Table2[GameDate], "&lt;=" &amp; $A23, Table2[HomeTeam], AC$1)</f>
        <v>4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6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6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4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2</v>
      </c>
      <c r="E24" s="145">
        <f>SUMIFS(Table2[NewPointsAway],Table2[GameDate], "&lt;=" &amp; $A24, Table2[AwayTeam], E$1)+SUMIFS(Table2[NewPointsHome],Table2[GameDate], "&lt;=" &amp; $A24, Table2[HomeTeam], E$1)</f>
        <v>6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5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6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6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5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3</v>
      </c>
      <c r="AB24" s="145">
        <f>SUMIFS(Table2[NewPointsAway],Table2[GameDate], "&lt;=" &amp; $A24, Table2[AwayTeam], AB$1)+SUMIFS(Table2[NewPointsHome],Table2[GameDate], "&lt;=" &amp; $A24, Table2[HomeTeam], AB$1)</f>
        <v>4</v>
      </c>
      <c r="AC24" s="145">
        <f>SUMIFS(Table2[NewPointsAway],Table2[GameDate], "&lt;=" &amp; $A24, Table2[AwayTeam], AC$1)+SUMIFS(Table2[NewPointsHome],Table2[GameDate], "&lt;=" &amp; $A24, Table2[HomeTeam], AC$1)</f>
        <v>4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6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6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4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2</v>
      </c>
      <c r="E25" s="145">
        <f>SUMIFS(Table2[NewPointsAway],Table2[GameDate], "&lt;=" &amp; $A25, Table2[AwayTeam], E$1)+SUMIFS(Table2[NewPointsHome],Table2[GameDate], "&lt;=" &amp; $A25, Table2[HomeTeam], E$1)</f>
        <v>6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5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6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6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5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3</v>
      </c>
      <c r="AB25" s="145">
        <f>SUMIFS(Table2[NewPointsAway],Table2[GameDate], "&lt;=" &amp; $A25, Table2[AwayTeam], AB$1)+SUMIFS(Table2[NewPointsHome],Table2[GameDate], "&lt;=" &amp; $A25, Table2[HomeTeam], AB$1)</f>
        <v>4</v>
      </c>
      <c r="AC25" s="145">
        <f>SUMIFS(Table2[NewPointsAway],Table2[GameDate], "&lt;=" &amp; $A25, Table2[AwayTeam], AC$1)+SUMIFS(Table2[NewPointsHome],Table2[GameDate], "&lt;=" &amp; $A25, Table2[HomeTeam], AC$1)</f>
        <v>4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6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6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4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2</v>
      </c>
      <c r="E26" s="145">
        <f>SUMIFS(Table2[NewPointsAway],Table2[GameDate], "&lt;=" &amp; $A26, Table2[AwayTeam], E$1)+SUMIFS(Table2[NewPointsHome],Table2[GameDate], "&lt;=" &amp; $A26, Table2[HomeTeam], E$1)</f>
        <v>6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5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6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6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5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3</v>
      </c>
      <c r="AB26" s="145">
        <f>SUMIFS(Table2[NewPointsAway],Table2[GameDate], "&lt;=" &amp; $A26, Table2[AwayTeam], AB$1)+SUMIFS(Table2[NewPointsHome],Table2[GameDate], "&lt;=" &amp; $A26, Table2[HomeTeam], AB$1)</f>
        <v>4</v>
      </c>
      <c r="AC26" s="145">
        <f>SUMIFS(Table2[NewPointsAway],Table2[GameDate], "&lt;=" &amp; $A26, Table2[AwayTeam], AC$1)+SUMIFS(Table2[NewPointsHome],Table2[GameDate], "&lt;=" &amp; $A26, Table2[HomeTeam], AC$1)</f>
        <v>4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6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6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4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2</v>
      </c>
      <c r="E27" s="145">
        <f>SUMIFS(Table2[NewPointsAway],Table2[GameDate], "&lt;=" &amp; $A27, Table2[AwayTeam], E$1)+SUMIFS(Table2[NewPointsHome],Table2[GameDate], "&lt;=" &amp; $A27, Table2[HomeTeam], E$1)</f>
        <v>6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5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6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6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5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3</v>
      </c>
      <c r="AB27" s="145">
        <f>SUMIFS(Table2[NewPointsAway],Table2[GameDate], "&lt;=" &amp; $A27, Table2[AwayTeam], AB$1)+SUMIFS(Table2[NewPointsHome],Table2[GameDate], "&lt;=" &amp; $A27, Table2[HomeTeam], AB$1)</f>
        <v>4</v>
      </c>
      <c r="AC27" s="145">
        <f>SUMIFS(Table2[NewPointsAway],Table2[GameDate], "&lt;=" &amp; $A27, Table2[AwayTeam], AC$1)+SUMIFS(Table2[NewPointsHome],Table2[GameDate], "&lt;=" &amp; $A27, Table2[HomeTeam], AC$1)</f>
        <v>4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6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6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4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2</v>
      </c>
      <c r="E28" s="145">
        <f>SUMIFS(Table2[NewPointsAway],Table2[GameDate], "&lt;=" &amp; $A28, Table2[AwayTeam], E$1)+SUMIFS(Table2[NewPointsHome],Table2[GameDate], "&lt;=" &amp; $A28, Table2[HomeTeam], E$1)</f>
        <v>6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5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6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6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5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3</v>
      </c>
      <c r="AB28" s="145">
        <f>SUMIFS(Table2[NewPointsAway],Table2[GameDate], "&lt;=" &amp; $A28, Table2[AwayTeam], AB$1)+SUMIFS(Table2[NewPointsHome],Table2[GameDate], "&lt;=" &amp; $A28, Table2[HomeTeam], AB$1)</f>
        <v>4</v>
      </c>
      <c r="AC28" s="145">
        <f>SUMIFS(Table2[NewPointsAway],Table2[GameDate], "&lt;=" &amp; $A28, Table2[AwayTeam], AC$1)+SUMIFS(Table2[NewPointsHome],Table2[GameDate], "&lt;=" &amp; $A28, Table2[HomeTeam], AC$1)</f>
        <v>4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6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6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4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2</v>
      </c>
      <c r="E29" s="145">
        <f>SUMIFS(Table2[NewPointsAway],Table2[GameDate], "&lt;=" &amp; $A29, Table2[AwayTeam], E$1)+SUMIFS(Table2[NewPointsHome],Table2[GameDate], "&lt;=" &amp; $A29, Table2[HomeTeam], E$1)</f>
        <v>6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5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6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6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5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3</v>
      </c>
      <c r="AB29" s="145">
        <f>SUMIFS(Table2[NewPointsAway],Table2[GameDate], "&lt;=" &amp; $A29, Table2[AwayTeam], AB$1)+SUMIFS(Table2[NewPointsHome],Table2[GameDate], "&lt;=" &amp; $A29, Table2[HomeTeam], AB$1)</f>
        <v>4</v>
      </c>
      <c r="AC29" s="145">
        <f>SUMIFS(Table2[NewPointsAway],Table2[GameDate], "&lt;=" &amp; $A29, Table2[AwayTeam], AC$1)+SUMIFS(Table2[NewPointsHome],Table2[GameDate], "&lt;=" &amp; $A29, Table2[HomeTeam], AC$1)</f>
        <v>4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6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6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4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2</v>
      </c>
      <c r="E30" s="145">
        <f>SUMIFS(Table2[NewPointsAway],Table2[GameDate], "&lt;=" &amp; $A30, Table2[AwayTeam], E$1)+SUMIFS(Table2[NewPointsHome],Table2[GameDate], "&lt;=" &amp; $A30, Table2[HomeTeam], E$1)</f>
        <v>6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5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6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6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5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3</v>
      </c>
      <c r="AB30" s="145">
        <f>SUMIFS(Table2[NewPointsAway],Table2[GameDate], "&lt;=" &amp; $A30, Table2[AwayTeam], AB$1)+SUMIFS(Table2[NewPointsHome],Table2[GameDate], "&lt;=" &amp; $A30, Table2[HomeTeam], AB$1)</f>
        <v>4</v>
      </c>
      <c r="AC30" s="145">
        <f>SUMIFS(Table2[NewPointsAway],Table2[GameDate], "&lt;=" &amp; $A30, Table2[AwayTeam], AC$1)+SUMIFS(Table2[NewPointsHome],Table2[GameDate], "&lt;=" &amp; $A30, Table2[HomeTeam], AC$1)</f>
        <v>4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6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6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4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2</v>
      </c>
      <c r="E31" s="145">
        <f>SUMIFS(Table2[NewPointsAway],Table2[GameDate], "&lt;=" &amp; $A31, Table2[AwayTeam], E$1)+SUMIFS(Table2[NewPointsHome],Table2[GameDate], "&lt;=" &amp; $A31, Table2[HomeTeam], E$1)</f>
        <v>6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5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6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6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5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3</v>
      </c>
      <c r="AB31" s="145">
        <f>SUMIFS(Table2[NewPointsAway],Table2[GameDate], "&lt;=" &amp; $A31, Table2[AwayTeam], AB$1)+SUMIFS(Table2[NewPointsHome],Table2[GameDate], "&lt;=" &amp; $A31, Table2[HomeTeam], AB$1)</f>
        <v>4</v>
      </c>
      <c r="AC31" s="145">
        <f>SUMIFS(Table2[NewPointsAway],Table2[GameDate], "&lt;=" &amp; $A31, Table2[AwayTeam], AC$1)+SUMIFS(Table2[NewPointsHome],Table2[GameDate], "&lt;=" &amp; $A31, Table2[HomeTeam], AC$1)</f>
        <v>4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6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6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4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2</v>
      </c>
      <c r="E32" s="145">
        <f>SUMIFS(Table2[NewPointsAway],Table2[GameDate], "&lt;=" &amp; $A32, Table2[AwayTeam], E$1)+SUMIFS(Table2[NewPointsHome],Table2[GameDate], "&lt;=" &amp; $A32, Table2[HomeTeam], E$1)</f>
        <v>6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5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6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6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5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3</v>
      </c>
      <c r="AB32" s="145">
        <f>SUMIFS(Table2[NewPointsAway],Table2[GameDate], "&lt;=" &amp; $A32, Table2[AwayTeam], AB$1)+SUMIFS(Table2[NewPointsHome],Table2[GameDate], "&lt;=" &amp; $A32, Table2[HomeTeam], AB$1)</f>
        <v>4</v>
      </c>
      <c r="AC32" s="145">
        <f>SUMIFS(Table2[NewPointsAway],Table2[GameDate], "&lt;=" &amp; $A32, Table2[AwayTeam], AC$1)+SUMIFS(Table2[NewPointsHome],Table2[GameDate], "&lt;=" &amp; $A32, Table2[HomeTeam], AC$1)</f>
        <v>4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6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6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4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2</v>
      </c>
      <c r="E33" s="145">
        <f>SUMIFS(Table2[NewPointsAway],Table2[GameDate], "&lt;=" &amp; $A33, Table2[AwayTeam], E$1)+SUMIFS(Table2[NewPointsHome],Table2[GameDate], "&lt;=" &amp; $A33, Table2[HomeTeam], E$1)</f>
        <v>6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5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6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6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5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3</v>
      </c>
      <c r="AB33" s="145">
        <f>SUMIFS(Table2[NewPointsAway],Table2[GameDate], "&lt;=" &amp; $A33, Table2[AwayTeam], AB$1)+SUMIFS(Table2[NewPointsHome],Table2[GameDate], "&lt;=" &amp; $A33, Table2[HomeTeam], AB$1)</f>
        <v>4</v>
      </c>
      <c r="AC33" s="145">
        <f>SUMIFS(Table2[NewPointsAway],Table2[GameDate], "&lt;=" &amp; $A33, Table2[AwayTeam], AC$1)+SUMIFS(Table2[NewPointsHome],Table2[GameDate], "&lt;=" &amp; $A33, Table2[HomeTeam], AC$1)</f>
        <v>4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6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6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4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2</v>
      </c>
      <c r="E34" s="145">
        <f>SUMIFS(Table2[NewPointsAway],Table2[GameDate], "&lt;=" &amp; $A34, Table2[AwayTeam], E$1)+SUMIFS(Table2[NewPointsHome],Table2[GameDate], "&lt;=" &amp; $A34, Table2[HomeTeam], E$1)</f>
        <v>6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5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6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6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5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3</v>
      </c>
      <c r="AB34" s="145">
        <f>SUMIFS(Table2[NewPointsAway],Table2[GameDate], "&lt;=" &amp; $A34, Table2[AwayTeam], AB$1)+SUMIFS(Table2[NewPointsHome],Table2[GameDate], "&lt;=" &amp; $A34, Table2[HomeTeam], AB$1)</f>
        <v>4</v>
      </c>
      <c r="AC34" s="145">
        <f>SUMIFS(Table2[NewPointsAway],Table2[GameDate], "&lt;=" &amp; $A34, Table2[AwayTeam], AC$1)+SUMIFS(Table2[NewPointsHome],Table2[GameDate], "&lt;=" &amp; $A34, Table2[HomeTeam], AC$1)</f>
        <v>4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6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6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4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2</v>
      </c>
      <c r="E35" s="145">
        <f>SUMIFS(Table2[NewPointsAway],Table2[GameDate], "&lt;=" &amp; $A35, Table2[AwayTeam], E$1)+SUMIFS(Table2[NewPointsHome],Table2[GameDate], "&lt;=" &amp; $A35, Table2[HomeTeam], E$1)</f>
        <v>6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5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6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6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5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3</v>
      </c>
      <c r="AB35" s="145">
        <f>SUMIFS(Table2[NewPointsAway],Table2[GameDate], "&lt;=" &amp; $A35, Table2[AwayTeam], AB$1)+SUMIFS(Table2[NewPointsHome],Table2[GameDate], "&lt;=" &amp; $A35, Table2[HomeTeam], AB$1)</f>
        <v>4</v>
      </c>
      <c r="AC35" s="145">
        <f>SUMIFS(Table2[NewPointsAway],Table2[GameDate], "&lt;=" &amp; $A35, Table2[AwayTeam], AC$1)+SUMIFS(Table2[NewPointsHome],Table2[GameDate], "&lt;=" &amp; $A35, Table2[HomeTeam], AC$1)</f>
        <v>4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6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6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4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2</v>
      </c>
      <c r="E36" s="145">
        <f>SUMIFS(Table2[NewPointsAway],Table2[GameDate], "&lt;=" &amp; $A36, Table2[AwayTeam], E$1)+SUMIFS(Table2[NewPointsHome],Table2[GameDate], "&lt;=" &amp; $A36, Table2[HomeTeam], E$1)</f>
        <v>6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5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6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6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5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3</v>
      </c>
      <c r="AB36" s="145">
        <f>SUMIFS(Table2[NewPointsAway],Table2[GameDate], "&lt;=" &amp; $A36, Table2[AwayTeam], AB$1)+SUMIFS(Table2[NewPointsHome],Table2[GameDate], "&lt;=" &amp; $A36, Table2[HomeTeam], AB$1)</f>
        <v>4</v>
      </c>
      <c r="AC36" s="145">
        <f>SUMIFS(Table2[NewPointsAway],Table2[GameDate], "&lt;=" &amp; $A36, Table2[AwayTeam], AC$1)+SUMIFS(Table2[NewPointsHome],Table2[GameDate], "&lt;=" &amp; $A36, Table2[HomeTeam], AC$1)</f>
        <v>4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6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6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4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2</v>
      </c>
      <c r="E37" s="145">
        <f>SUMIFS(Table2[NewPointsAway],Table2[GameDate], "&lt;=" &amp; $A37, Table2[AwayTeam], E$1)+SUMIFS(Table2[NewPointsHome],Table2[GameDate], "&lt;=" &amp; $A37, Table2[HomeTeam], E$1)</f>
        <v>6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5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6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6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5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3</v>
      </c>
      <c r="AB37" s="145">
        <f>SUMIFS(Table2[NewPointsAway],Table2[GameDate], "&lt;=" &amp; $A37, Table2[AwayTeam], AB$1)+SUMIFS(Table2[NewPointsHome],Table2[GameDate], "&lt;=" &amp; $A37, Table2[HomeTeam], AB$1)</f>
        <v>4</v>
      </c>
      <c r="AC37" s="145">
        <f>SUMIFS(Table2[NewPointsAway],Table2[GameDate], "&lt;=" &amp; $A37, Table2[AwayTeam], AC$1)+SUMIFS(Table2[NewPointsHome],Table2[GameDate], "&lt;=" &amp; $A37, Table2[HomeTeam], AC$1)</f>
        <v>4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6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6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4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2</v>
      </c>
      <c r="E38" s="145">
        <f>SUMIFS(Table2[NewPointsAway],Table2[GameDate], "&lt;=" &amp; $A38, Table2[AwayTeam], E$1)+SUMIFS(Table2[NewPointsHome],Table2[GameDate], "&lt;=" &amp; $A38, Table2[HomeTeam], E$1)</f>
        <v>6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5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6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6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5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3</v>
      </c>
      <c r="AB38" s="145">
        <f>SUMIFS(Table2[NewPointsAway],Table2[GameDate], "&lt;=" &amp; $A38, Table2[AwayTeam], AB$1)+SUMIFS(Table2[NewPointsHome],Table2[GameDate], "&lt;=" &amp; $A38, Table2[HomeTeam], AB$1)</f>
        <v>4</v>
      </c>
      <c r="AC38" s="145">
        <f>SUMIFS(Table2[NewPointsAway],Table2[GameDate], "&lt;=" &amp; $A38, Table2[AwayTeam], AC$1)+SUMIFS(Table2[NewPointsHome],Table2[GameDate], "&lt;=" &amp; $A38, Table2[HomeTeam], AC$1)</f>
        <v>4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6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6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4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2</v>
      </c>
      <c r="E39" s="145">
        <f>SUMIFS(Table2[NewPointsAway],Table2[GameDate], "&lt;=" &amp; $A39, Table2[AwayTeam], E$1)+SUMIFS(Table2[NewPointsHome],Table2[GameDate], "&lt;=" &amp; $A39, Table2[HomeTeam], E$1)</f>
        <v>6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5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6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6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5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3</v>
      </c>
      <c r="AB39" s="145">
        <f>SUMIFS(Table2[NewPointsAway],Table2[GameDate], "&lt;=" &amp; $A39, Table2[AwayTeam], AB$1)+SUMIFS(Table2[NewPointsHome],Table2[GameDate], "&lt;=" &amp; $A39, Table2[HomeTeam], AB$1)</f>
        <v>4</v>
      </c>
      <c r="AC39" s="145">
        <f>SUMIFS(Table2[NewPointsAway],Table2[GameDate], "&lt;=" &amp; $A39, Table2[AwayTeam], AC$1)+SUMIFS(Table2[NewPointsHome],Table2[GameDate], "&lt;=" &amp; $A39, Table2[HomeTeam], AC$1)</f>
        <v>4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6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6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4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2</v>
      </c>
      <c r="E40" s="145">
        <f>SUMIFS(Table2[NewPointsAway],Table2[GameDate], "&lt;=" &amp; $A40, Table2[AwayTeam], E$1)+SUMIFS(Table2[NewPointsHome],Table2[GameDate], "&lt;=" &amp; $A40, Table2[HomeTeam], E$1)</f>
        <v>6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5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6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6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5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3</v>
      </c>
      <c r="AB40" s="145">
        <f>SUMIFS(Table2[NewPointsAway],Table2[GameDate], "&lt;=" &amp; $A40, Table2[AwayTeam], AB$1)+SUMIFS(Table2[NewPointsHome],Table2[GameDate], "&lt;=" &amp; $A40, Table2[HomeTeam], AB$1)</f>
        <v>4</v>
      </c>
      <c r="AC40" s="145">
        <f>SUMIFS(Table2[NewPointsAway],Table2[GameDate], "&lt;=" &amp; $A40, Table2[AwayTeam], AC$1)+SUMIFS(Table2[NewPointsHome],Table2[GameDate], "&lt;=" &amp; $A40, Table2[HomeTeam], AC$1)</f>
        <v>4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6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6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4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2</v>
      </c>
      <c r="E41" s="145">
        <f>SUMIFS(Table2[NewPointsAway],Table2[GameDate], "&lt;=" &amp; $A41, Table2[AwayTeam], E$1)+SUMIFS(Table2[NewPointsHome],Table2[GameDate], "&lt;=" &amp; $A41, Table2[HomeTeam], E$1)</f>
        <v>6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5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6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6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5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3</v>
      </c>
      <c r="AB41" s="145">
        <f>SUMIFS(Table2[NewPointsAway],Table2[GameDate], "&lt;=" &amp; $A41, Table2[AwayTeam], AB$1)+SUMIFS(Table2[NewPointsHome],Table2[GameDate], "&lt;=" &amp; $A41, Table2[HomeTeam], AB$1)</f>
        <v>4</v>
      </c>
      <c r="AC41" s="145">
        <f>SUMIFS(Table2[NewPointsAway],Table2[GameDate], "&lt;=" &amp; $A41, Table2[AwayTeam], AC$1)+SUMIFS(Table2[NewPointsHome],Table2[GameDate], "&lt;=" &amp; $A41, Table2[HomeTeam], AC$1)</f>
        <v>4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6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6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4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2</v>
      </c>
      <c r="E42" s="145">
        <f>SUMIFS(Table2[NewPointsAway],Table2[GameDate], "&lt;=" &amp; $A42, Table2[AwayTeam], E$1)+SUMIFS(Table2[NewPointsHome],Table2[GameDate], "&lt;=" &amp; $A42, Table2[HomeTeam], E$1)</f>
        <v>6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5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6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6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5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3</v>
      </c>
      <c r="AB42" s="145">
        <f>SUMIFS(Table2[NewPointsAway],Table2[GameDate], "&lt;=" &amp; $A42, Table2[AwayTeam], AB$1)+SUMIFS(Table2[NewPointsHome],Table2[GameDate], "&lt;=" &amp; $A42, Table2[HomeTeam], AB$1)</f>
        <v>4</v>
      </c>
      <c r="AC42" s="145">
        <f>SUMIFS(Table2[NewPointsAway],Table2[GameDate], "&lt;=" &amp; $A42, Table2[AwayTeam], AC$1)+SUMIFS(Table2[NewPointsHome],Table2[GameDate], "&lt;=" &amp; $A42, Table2[HomeTeam], AC$1)</f>
        <v>4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6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6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4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2</v>
      </c>
      <c r="E43" s="145">
        <f>SUMIFS(Table2[NewPointsAway],Table2[GameDate], "&lt;=" &amp; $A43, Table2[AwayTeam], E$1)+SUMIFS(Table2[NewPointsHome],Table2[GameDate], "&lt;=" &amp; $A43, Table2[HomeTeam], E$1)</f>
        <v>6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5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6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6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5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3</v>
      </c>
      <c r="AB43" s="145">
        <f>SUMIFS(Table2[NewPointsAway],Table2[GameDate], "&lt;=" &amp; $A43, Table2[AwayTeam], AB$1)+SUMIFS(Table2[NewPointsHome],Table2[GameDate], "&lt;=" &amp; $A43, Table2[HomeTeam], AB$1)</f>
        <v>4</v>
      </c>
      <c r="AC43" s="145">
        <f>SUMIFS(Table2[NewPointsAway],Table2[GameDate], "&lt;=" &amp; $A43, Table2[AwayTeam], AC$1)+SUMIFS(Table2[NewPointsHome],Table2[GameDate], "&lt;=" &amp; $A43, Table2[HomeTeam], AC$1)</f>
        <v>4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6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6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4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2</v>
      </c>
      <c r="E44" s="145">
        <f>SUMIFS(Table2[NewPointsAway],Table2[GameDate], "&lt;=" &amp; $A44, Table2[AwayTeam], E$1)+SUMIFS(Table2[NewPointsHome],Table2[GameDate], "&lt;=" &amp; $A44, Table2[HomeTeam], E$1)</f>
        <v>6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5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6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6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5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3</v>
      </c>
      <c r="AB44" s="145">
        <f>SUMIFS(Table2[NewPointsAway],Table2[GameDate], "&lt;=" &amp; $A44, Table2[AwayTeam], AB$1)+SUMIFS(Table2[NewPointsHome],Table2[GameDate], "&lt;=" &amp; $A44, Table2[HomeTeam], AB$1)</f>
        <v>4</v>
      </c>
      <c r="AC44" s="145">
        <f>SUMIFS(Table2[NewPointsAway],Table2[GameDate], "&lt;=" &amp; $A44, Table2[AwayTeam], AC$1)+SUMIFS(Table2[NewPointsHome],Table2[GameDate], "&lt;=" &amp; $A44, Table2[HomeTeam], AC$1)</f>
        <v>4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6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6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4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2</v>
      </c>
      <c r="E45" s="145">
        <f>SUMIFS(Table2[NewPointsAway],Table2[GameDate], "&lt;=" &amp; $A45, Table2[AwayTeam], E$1)+SUMIFS(Table2[NewPointsHome],Table2[GameDate], "&lt;=" &amp; $A45, Table2[HomeTeam], E$1)</f>
        <v>6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5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6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6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5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3</v>
      </c>
      <c r="AB45" s="145">
        <f>SUMIFS(Table2[NewPointsAway],Table2[GameDate], "&lt;=" &amp; $A45, Table2[AwayTeam], AB$1)+SUMIFS(Table2[NewPointsHome],Table2[GameDate], "&lt;=" &amp; $A45, Table2[HomeTeam], AB$1)</f>
        <v>4</v>
      </c>
      <c r="AC45" s="145">
        <f>SUMIFS(Table2[NewPointsAway],Table2[GameDate], "&lt;=" &amp; $A45, Table2[AwayTeam], AC$1)+SUMIFS(Table2[NewPointsHome],Table2[GameDate], "&lt;=" &amp; $A45, Table2[HomeTeam], AC$1)</f>
        <v>4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6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6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4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2</v>
      </c>
      <c r="E46" s="145">
        <f>SUMIFS(Table2[NewPointsAway],Table2[GameDate], "&lt;=" &amp; $A46, Table2[AwayTeam], E$1)+SUMIFS(Table2[NewPointsHome],Table2[GameDate], "&lt;=" &amp; $A46, Table2[HomeTeam], E$1)</f>
        <v>6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5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6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6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5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3</v>
      </c>
      <c r="AB46" s="145">
        <f>SUMIFS(Table2[NewPointsAway],Table2[GameDate], "&lt;=" &amp; $A46, Table2[AwayTeam], AB$1)+SUMIFS(Table2[NewPointsHome],Table2[GameDate], "&lt;=" &amp; $A46, Table2[HomeTeam], AB$1)</f>
        <v>4</v>
      </c>
      <c r="AC46" s="145">
        <f>SUMIFS(Table2[NewPointsAway],Table2[GameDate], "&lt;=" &amp; $A46, Table2[AwayTeam], AC$1)+SUMIFS(Table2[NewPointsHome],Table2[GameDate], "&lt;=" &amp; $A46, Table2[HomeTeam], AC$1)</f>
        <v>4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6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6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4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2</v>
      </c>
      <c r="E47" s="145">
        <f>SUMIFS(Table2[NewPointsAway],Table2[GameDate], "&lt;=" &amp; $A47, Table2[AwayTeam], E$1)+SUMIFS(Table2[NewPointsHome],Table2[GameDate], "&lt;=" &amp; $A47, Table2[HomeTeam], E$1)</f>
        <v>6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5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6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6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5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3</v>
      </c>
      <c r="AB47" s="145">
        <f>SUMIFS(Table2[NewPointsAway],Table2[GameDate], "&lt;=" &amp; $A47, Table2[AwayTeam], AB$1)+SUMIFS(Table2[NewPointsHome],Table2[GameDate], "&lt;=" &amp; $A47, Table2[HomeTeam], AB$1)</f>
        <v>4</v>
      </c>
      <c r="AC47" s="145">
        <f>SUMIFS(Table2[NewPointsAway],Table2[GameDate], "&lt;=" &amp; $A47, Table2[AwayTeam], AC$1)+SUMIFS(Table2[NewPointsHome],Table2[GameDate], "&lt;=" &amp; $A47, Table2[HomeTeam], AC$1)</f>
        <v>4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6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6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4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2</v>
      </c>
      <c r="E48" s="145">
        <f>SUMIFS(Table2[NewPointsAway],Table2[GameDate], "&lt;=" &amp; $A48, Table2[AwayTeam], E$1)+SUMIFS(Table2[NewPointsHome],Table2[GameDate], "&lt;=" &amp; $A48, Table2[HomeTeam], E$1)</f>
        <v>6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5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6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6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5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3</v>
      </c>
      <c r="AB48" s="145">
        <f>SUMIFS(Table2[NewPointsAway],Table2[GameDate], "&lt;=" &amp; $A48, Table2[AwayTeam], AB$1)+SUMIFS(Table2[NewPointsHome],Table2[GameDate], "&lt;=" &amp; $A48, Table2[HomeTeam], AB$1)</f>
        <v>4</v>
      </c>
      <c r="AC48" s="145">
        <f>SUMIFS(Table2[NewPointsAway],Table2[GameDate], "&lt;=" &amp; $A48, Table2[AwayTeam], AC$1)+SUMIFS(Table2[NewPointsHome],Table2[GameDate], "&lt;=" &amp; $A48, Table2[HomeTeam], AC$1)</f>
        <v>4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6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6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4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2</v>
      </c>
      <c r="E49" s="145">
        <f>SUMIFS(Table2[NewPointsAway],Table2[GameDate], "&lt;=" &amp; $A49, Table2[AwayTeam], E$1)+SUMIFS(Table2[NewPointsHome],Table2[GameDate], "&lt;=" &amp; $A49, Table2[HomeTeam], E$1)</f>
        <v>6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5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6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6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5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3</v>
      </c>
      <c r="AB49" s="145">
        <f>SUMIFS(Table2[NewPointsAway],Table2[GameDate], "&lt;=" &amp; $A49, Table2[AwayTeam], AB$1)+SUMIFS(Table2[NewPointsHome],Table2[GameDate], "&lt;=" &amp; $A49, Table2[HomeTeam], AB$1)</f>
        <v>4</v>
      </c>
      <c r="AC49" s="145">
        <f>SUMIFS(Table2[NewPointsAway],Table2[GameDate], "&lt;=" &amp; $A49, Table2[AwayTeam], AC$1)+SUMIFS(Table2[NewPointsHome],Table2[GameDate], "&lt;=" &amp; $A49, Table2[HomeTeam], AC$1)</f>
        <v>4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6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6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4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2</v>
      </c>
      <c r="E50" s="145">
        <f>SUMIFS(Table2[NewPointsAway],Table2[GameDate], "&lt;=" &amp; $A50, Table2[AwayTeam], E$1)+SUMIFS(Table2[NewPointsHome],Table2[GameDate], "&lt;=" &amp; $A50, Table2[HomeTeam], E$1)</f>
        <v>6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5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6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6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5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3</v>
      </c>
      <c r="AB50" s="145">
        <f>SUMIFS(Table2[NewPointsAway],Table2[GameDate], "&lt;=" &amp; $A50, Table2[AwayTeam], AB$1)+SUMIFS(Table2[NewPointsHome],Table2[GameDate], "&lt;=" &amp; $A50, Table2[HomeTeam], AB$1)</f>
        <v>4</v>
      </c>
      <c r="AC50" s="145">
        <f>SUMIFS(Table2[NewPointsAway],Table2[GameDate], "&lt;=" &amp; $A50, Table2[AwayTeam], AC$1)+SUMIFS(Table2[NewPointsHome],Table2[GameDate], "&lt;=" &amp; $A50, Table2[HomeTeam], AC$1)</f>
        <v>4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6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6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4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2</v>
      </c>
      <c r="E51" s="145">
        <f>SUMIFS(Table2[NewPointsAway],Table2[GameDate], "&lt;=" &amp; $A51, Table2[AwayTeam], E$1)+SUMIFS(Table2[NewPointsHome],Table2[GameDate], "&lt;=" &amp; $A51, Table2[HomeTeam], E$1)</f>
        <v>6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5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6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6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5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3</v>
      </c>
      <c r="AB51" s="145">
        <f>SUMIFS(Table2[NewPointsAway],Table2[GameDate], "&lt;=" &amp; $A51, Table2[AwayTeam], AB$1)+SUMIFS(Table2[NewPointsHome],Table2[GameDate], "&lt;=" &amp; $A51, Table2[HomeTeam], AB$1)</f>
        <v>4</v>
      </c>
      <c r="AC51" s="145">
        <f>SUMIFS(Table2[NewPointsAway],Table2[GameDate], "&lt;=" &amp; $A51, Table2[AwayTeam], AC$1)+SUMIFS(Table2[NewPointsHome],Table2[GameDate], "&lt;=" &amp; $A51, Table2[HomeTeam], AC$1)</f>
        <v>4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6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6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4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2</v>
      </c>
      <c r="E52" s="145">
        <f>SUMIFS(Table2[NewPointsAway],Table2[GameDate], "&lt;=" &amp; $A52, Table2[AwayTeam], E$1)+SUMIFS(Table2[NewPointsHome],Table2[GameDate], "&lt;=" &amp; $A52, Table2[HomeTeam], E$1)</f>
        <v>6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5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6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6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5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3</v>
      </c>
      <c r="AB52" s="145">
        <f>SUMIFS(Table2[NewPointsAway],Table2[GameDate], "&lt;=" &amp; $A52, Table2[AwayTeam], AB$1)+SUMIFS(Table2[NewPointsHome],Table2[GameDate], "&lt;=" &amp; $A52, Table2[HomeTeam], AB$1)</f>
        <v>4</v>
      </c>
      <c r="AC52" s="145">
        <f>SUMIFS(Table2[NewPointsAway],Table2[GameDate], "&lt;=" &amp; $A52, Table2[AwayTeam], AC$1)+SUMIFS(Table2[NewPointsHome],Table2[GameDate], "&lt;=" &amp; $A52, Table2[HomeTeam], AC$1)</f>
        <v>4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6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6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4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2</v>
      </c>
      <c r="E53" s="145">
        <f>SUMIFS(Table2[NewPointsAway],Table2[GameDate], "&lt;=" &amp; $A53, Table2[AwayTeam], E$1)+SUMIFS(Table2[NewPointsHome],Table2[GameDate], "&lt;=" &amp; $A53, Table2[HomeTeam], E$1)</f>
        <v>6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5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6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6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5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3</v>
      </c>
      <c r="AB53" s="145">
        <f>SUMIFS(Table2[NewPointsAway],Table2[GameDate], "&lt;=" &amp; $A53, Table2[AwayTeam], AB$1)+SUMIFS(Table2[NewPointsHome],Table2[GameDate], "&lt;=" &amp; $A53, Table2[HomeTeam], AB$1)</f>
        <v>4</v>
      </c>
      <c r="AC53" s="145">
        <f>SUMIFS(Table2[NewPointsAway],Table2[GameDate], "&lt;=" &amp; $A53, Table2[AwayTeam], AC$1)+SUMIFS(Table2[NewPointsHome],Table2[GameDate], "&lt;=" &amp; $A53, Table2[HomeTeam], AC$1)</f>
        <v>4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6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6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4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2</v>
      </c>
      <c r="E54" s="145">
        <f>SUMIFS(Table2[NewPointsAway],Table2[GameDate], "&lt;=" &amp; $A54, Table2[AwayTeam], E$1)+SUMIFS(Table2[NewPointsHome],Table2[GameDate], "&lt;=" &amp; $A54, Table2[HomeTeam], E$1)</f>
        <v>6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5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6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6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5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3</v>
      </c>
      <c r="AB54" s="145">
        <f>SUMIFS(Table2[NewPointsAway],Table2[GameDate], "&lt;=" &amp; $A54, Table2[AwayTeam], AB$1)+SUMIFS(Table2[NewPointsHome],Table2[GameDate], "&lt;=" &amp; $A54, Table2[HomeTeam], AB$1)</f>
        <v>4</v>
      </c>
      <c r="AC54" s="145">
        <f>SUMIFS(Table2[NewPointsAway],Table2[GameDate], "&lt;=" &amp; $A54, Table2[AwayTeam], AC$1)+SUMIFS(Table2[NewPointsHome],Table2[GameDate], "&lt;=" &amp; $A54, Table2[HomeTeam], AC$1)</f>
        <v>4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6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6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4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2</v>
      </c>
      <c r="E55" s="145">
        <f>SUMIFS(Table2[NewPointsAway],Table2[GameDate], "&lt;=" &amp; $A55, Table2[AwayTeam], E$1)+SUMIFS(Table2[NewPointsHome],Table2[GameDate], "&lt;=" &amp; $A55, Table2[HomeTeam], E$1)</f>
        <v>6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5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6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6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5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3</v>
      </c>
      <c r="AB55" s="145">
        <f>SUMIFS(Table2[NewPointsAway],Table2[GameDate], "&lt;=" &amp; $A55, Table2[AwayTeam], AB$1)+SUMIFS(Table2[NewPointsHome],Table2[GameDate], "&lt;=" &amp; $A55, Table2[HomeTeam], AB$1)</f>
        <v>4</v>
      </c>
      <c r="AC55" s="145">
        <f>SUMIFS(Table2[NewPointsAway],Table2[GameDate], "&lt;=" &amp; $A55, Table2[AwayTeam], AC$1)+SUMIFS(Table2[NewPointsHome],Table2[GameDate], "&lt;=" &amp; $A55, Table2[HomeTeam], AC$1)</f>
        <v>4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6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6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4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2</v>
      </c>
      <c r="E56" s="145">
        <f>SUMIFS(Table2[NewPointsAway],Table2[GameDate], "&lt;=" &amp; $A56, Table2[AwayTeam], E$1)+SUMIFS(Table2[NewPointsHome],Table2[GameDate], "&lt;=" &amp; $A56, Table2[HomeTeam], E$1)</f>
        <v>6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5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6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6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5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3</v>
      </c>
      <c r="AB56" s="145">
        <f>SUMIFS(Table2[NewPointsAway],Table2[GameDate], "&lt;=" &amp; $A56, Table2[AwayTeam], AB$1)+SUMIFS(Table2[NewPointsHome],Table2[GameDate], "&lt;=" &amp; $A56, Table2[HomeTeam], AB$1)</f>
        <v>4</v>
      </c>
      <c r="AC56" s="145">
        <f>SUMIFS(Table2[NewPointsAway],Table2[GameDate], "&lt;=" &amp; $A56, Table2[AwayTeam], AC$1)+SUMIFS(Table2[NewPointsHome],Table2[GameDate], "&lt;=" &amp; $A56, Table2[HomeTeam], AC$1)</f>
        <v>4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6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6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4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2</v>
      </c>
      <c r="E57" s="145">
        <f>SUMIFS(Table2[NewPointsAway],Table2[GameDate], "&lt;=" &amp; $A57, Table2[AwayTeam], E$1)+SUMIFS(Table2[NewPointsHome],Table2[GameDate], "&lt;=" &amp; $A57, Table2[HomeTeam], E$1)</f>
        <v>6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5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6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6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5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3</v>
      </c>
      <c r="AB57" s="145">
        <f>SUMIFS(Table2[NewPointsAway],Table2[GameDate], "&lt;=" &amp; $A57, Table2[AwayTeam], AB$1)+SUMIFS(Table2[NewPointsHome],Table2[GameDate], "&lt;=" &amp; $A57, Table2[HomeTeam], AB$1)</f>
        <v>4</v>
      </c>
      <c r="AC57" s="145">
        <f>SUMIFS(Table2[NewPointsAway],Table2[GameDate], "&lt;=" &amp; $A57, Table2[AwayTeam], AC$1)+SUMIFS(Table2[NewPointsHome],Table2[GameDate], "&lt;=" &amp; $A57, Table2[HomeTeam], AC$1)</f>
        <v>4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6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6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4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2</v>
      </c>
      <c r="E58" s="145">
        <f>SUMIFS(Table2[NewPointsAway],Table2[GameDate], "&lt;=" &amp; $A58, Table2[AwayTeam], E$1)+SUMIFS(Table2[NewPointsHome],Table2[GameDate], "&lt;=" &amp; $A58, Table2[HomeTeam], E$1)</f>
        <v>6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5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6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6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5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3</v>
      </c>
      <c r="AB58" s="145">
        <f>SUMIFS(Table2[NewPointsAway],Table2[GameDate], "&lt;=" &amp; $A58, Table2[AwayTeam], AB$1)+SUMIFS(Table2[NewPointsHome],Table2[GameDate], "&lt;=" &amp; $A58, Table2[HomeTeam], AB$1)</f>
        <v>4</v>
      </c>
      <c r="AC58" s="145">
        <f>SUMIFS(Table2[NewPointsAway],Table2[GameDate], "&lt;=" &amp; $A58, Table2[AwayTeam], AC$1)+SUMIFS(Table2[NewPointsHome],Table2[GameDate], "&lt;=" &amp; $A58, Table2[HomeTeam], AC$1)</f>
        <v>4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6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6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4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2</v>
      </c>
      <c r="E59" s="145">
        <f>SUMIFS(Table2[NewPointsAway],Table2[GameDate], "&lt;=" &amp; $A59, Table2[AwayTeam], E$1)+SUMIFS(Table2[NewPointsHome],Table2[GameDate], "&lt;=" &amp; $A59, Table2[HomeTeam], E$1)</f>
        <v>6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5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6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6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5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3</v>
      </c>
      <c r="AB59" s="145">
        <f>SUMIFS(Table2[NewPointsAway],Table2[GameDate], "&lt;=" &amp; $A59, Table2[AwayTeam], AB$1)+SUMIFS(Table2[NewPointsHome],Table2[GameDate], "&lt;=" &amp; $A59, Table2[HomeTeam], AB$1)</f>
        <v>4</v>
      </c>
      <c r="AC59" s="145">
        <f>SUMIFS(Table2[NewPointsAway],Table2[GameDate], "&lt;=" &amp; $A59, Table2[AwayTeam], AC$1)+SUMIFS(Table2[NewPointsHome],Table2[GameDate], "&lt;=" &amp; $A59, Table2[HomeTeam], AC$1)</f>
        <v>4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6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6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4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2</v>
      </c>
      <c r="E60" s="145">
        <f>SUMIFS(Table2[NewPointsAway],Table2[GameDate], "&lt;=" &amp; $A60, Table2[AwayTeam], E$1)+SUMIFS(Table2[NewPointsHome],Table2[GameDate], "&lt;=" &amp; $A60, Table2[HomeTeam], E$1)</f>
        <v>6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5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6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6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5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3</v>
      </c>
      <c r="AB60" s="145">
        <f>SUMIFS(Table2[NewPointsAway],Table2[GameDate], "&lt;=" &amp; $A60, Table2[AwayTeam], AB$1)+SUMIFS(Table2[NewPointsHome],Table2[GameDate], "&lt;=" &amp; $A60, Table2[HomeTeam], AB$1)</f>
        <v>4</v>
      </c>
      <c r="AC60" s="145">
        <f>SUMIFS(Table2[NewPointsAway],Table2[GameDate], "&lt;=" &amp; $A60, Table2[AwayTeam], AC$1)+SUMIFS(Table2[NewPointsHome],Table2[GameDate], "&lt;=" &amp; $A60, Table2[HomeTeam], AC$1)</f>
        <v>4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6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6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4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2</v>
      </c>
      <c r="E61" s="145">
        <f>SUMIFS(Table2[NewPointsAway],Table2[GameDate], "&lt;=" &amp; $A61, Table2[AwayTeam], E$1)+SUMIFS(Table2[NewPointsHome],Table2[GameDate], "&lt;=" &amp; $A61, Table2[HomeTeam], E$1)</f>
        <v>6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5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6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6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5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3</v>
      </c>
      <c r="AB61" s="145">
        <f>SUMIFS(Table2[NewPointsAway],Table2[GameDate], "&lt;=" &amp; $A61, Table2[AwayTeam], AB$1)+SUMIFS(Table2[NewPointsHome],Table2[GameDate], "&lt;=" &amp; $A61, Table2[HomeTeam], AB$1)</f>
        <v>4</v>
      </c>
      <c r="AC61" s="145">
        <f>SUMIFS(Table2[NewPointsAway],Table2[GameDate], "&lt;=" &amp; $A61, Table2[AwayTeam], AC$1)+SUMIFS(Table2[NewPointsHome],Table2[GameDate], "&lt;=" &amp; $A61, Table2[HomeTeam], AC$1)</f>
        <v>4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6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6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4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2</v>
      </c>
      <c r="E62" s="145">
        <f>SUMIFS(Table2[NewPointsAway],Table2[GameDate], "&lt;=" &amp; $A62, Table2[AwayTeam], E$1)+SUMIFS(Table2[NewPointsHome],Table2[GameDate], "&lt;=" &amp; $A62, Table2[HomeTeam], E$1)</f>
        <v>6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5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6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6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5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3</v>
      </c>
      <c r="AB62" s="145">
        <f>SUMIFS(Table2[NewPointsAway],Table2[GameDate], "&lt;=" &amp; $A62, Table2[AwayTeam], AB$1)+SUMIFS(Table2[NewPointsHome],Table2[GameDate], "&lt;=" &amp; $A62, Table2[HomeTeam], AB$1)</f>
        <v>4</v>
      </c>
      <c r="AC62" s="145">
        <f>SUMIFS(Table2[NewPointsAway],Table2[GameDate], "&lt;=" &amp; $A62, Table2[AwayTeam], AC$1)+SUMIFS(Table2[NewPointsHome],Table2[GameDate], "&lt;=" &amp; $A62, Table2[HomeTeam], AC$1)</f>
        <v>4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6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6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4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2</v>
      </c>
      <c r="E63" s="145">
        <f>SUMIFS(Table2[NewPointsAway],Table2[GameDate], "&lt;=" &amp; $A63, Table2[AwayTeam], E$1)+SUMIFS(Table2[NewPointsHome],Table2[GameDate], "&lt;=" &amp; $A63, Table2[HomeTeam], E$1)</f>
        <v>6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5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6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6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5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3</v>
      </c>
      <c r="AB63" s="145">
        <f>SUMIFS(Table2[NewPointsAway],Table2[GameDate], "&lt;=" &amp; $A63, Table2[AwayTeam], AB$1)+SUMIFS(Table2[NewPointsHome],Table2[GameDate], "&lt;=" &amp; $A63, Table2[HomeTeam], AB$1)</f>
        <v>4</v>
      </c>
      <c r="AC63" s="145">
        <f>SUMIFS(Table2[NewPointsAway],Table2[GameDate], "&lt;=" &amp; $A63, Table2[AwayTeam], AC$1)+SUMIFS(Table2[NewPointsHome],Table2[GameDate], "&lt;=" &amp; $A63, Table2[HomeTeam], AC$1)</f>
        <v>4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6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6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4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2</v>
      </c>
      <c r="E64" s="145">
        <f>SUMIFS(Table2[NewPointsAway],Table2[GameDate], "&lt;=" &amp; $A64, Table2[AwayTeam], E$1)+SUMIFS(Table2[NewPointsHome],Table2[GameDate], "&lt;=" &amp; $A64, Table2[HomeTeam], E$1)</f>
        <v>6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5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6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6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5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3</v>
      </c>
      <c r="AB64" s="145">
        <f>SUMIFS(Table2[NewPointsAway],Table2[GameDate], "&lt;=" &amp; $A64, Table2[AwayTeam], AB$1)+SUMIFS(Table2[NewPointsHome],Table2[GameDate], "&lt;=" &amp; $A64, Table2[HomeTeam], AB$1)</f>
        <v>4</v>
      </c>
      <c r="AC64" s="145">
        <f>SUMIFS(Table2[NewPointsAway],Table2[GameDate], "&lt;=" &amp; $A64, Table2[AwayTeam], AC$1)+SUMIFS(Table2[NewPointsHome],Table2[GameDate], "&lt;=" &amp; $A64, Table2[HomeTeam], AC$1)</f>
        <v>4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6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6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4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2</v>
      </c>
      <c r="E65" s="145">
        <f>SUMIFS(Table2[NewPointsAway],Table2[GameDate], "&lt;=" &amp; $A65, Table2[AwayTeam], E$1)+SUMIFS(Table2[NewPointsHome],Table2[GameDate], "&lt;=" &amp; $A65, Table2[HomeTeam], E$1)</f>
        <v>6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5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6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6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5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3</v>
      </c>
      <c r="AB65" s="145">
        <f>SUMIFS(Table2[NewPointsAway],Table2[GameDate], "&lt;=" &amp; $A65, Table2[AwayTeam], AB$1)+SUMIFS(Table2[NewPointsHome],Table2[GameDate], "&lt;=" &amp; $A65, Table2[HomeTeam], AB$1)</f>
        <v>4</v>
      </c>
      <c r="AC65" s="145">
        <f>SUMIFS(Table2[NewPointsAway],Table2[GameDate], "&lt;=" &amp; $A65, Table2[AwayTeam], AC$1)+SUMIFS(Table2[NewPointsHome],Table2[GameDate], "&lt;=" &amp; $A65, Table2[HomeTeam], AC$1)</f>
        <v>4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6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6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4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2</v>
      </c>
      <c r="E66" s="145">
        <f>SUMIFS(Table2[NewPointsAway],Table2[GameDate], "&lt;=" &amp; $A66, Table2[AwayTeam], E$1)+SUMIFS(Table2[NewPointsHome],Table2[GameDate], "&lt;=" &amp; $A66, Table2[HomeTeam], E$1)</f>
        <v>6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5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6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6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5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3</v>
      </c>
      <c r="AB66" s="145">
        <f>SUMIFS(Table2[NewPointsAway],Table2[GameDate], "&lt;=" &amp; $A66, Table2[AwayTeam], AB$1)+SUMIFS(Table2[NewPointsHome],Table2[GameDate], "&lt;=" &amp; $A66, Table2[HomeTeam], AB$1)</f>
        <v>4</v>
      </c>
      <c r="AC66" s="145">
        <f>SUMIFS(Table2[NewPointsAway],Table2[GameDate], "&lt;=" &amp; $A66, Table2[AwayTeam], AC$1)+SUMIFS(Table2[NewPointsHome],Table2[GameDate], "&lt;=" &amp; $A66, Table2[HomeTeam], AC$1)</f>
        <v>4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6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6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4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2</v>
      </c>
      <c r="E67" s="145">
        <f>SUMIFS(Table2[NewPointsAway],Table2[GameDate], "&lt;=" &amp; $A67, Table2[AwayTeam], E$1)+SUMIFS(Table2[NewPointsHome],Table2[GameDate], "&lt;=" &amp; $A67, Table2[HomeTeam], E$1)</f>
        <v>6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5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6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6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5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3</v>
      </c>
      <c r="AB67" s="145">
        <f>SUMIFS(Table2[NewPointsAway],Table2[GameDate], "&lt;=" &amp; $A67, Table2[AwayTeam], AB$1)+SUMIFS(Table2[NewPointsHome],Table2[GameDate], "&lt;=" &amp; $A67, Table2[HomeTeam], AB$1)</f>
        <v>4</v>
      </c>
      <c r="AC67" s="145">
        <f>SUMIFS(Table2[NewPointsAway],Table2[GameDate], "&lt;=" &amp; $A67, Table2[AwayTeam], AC$1)+SUMIFS(Table2[NewPointsHome],Table2[GameDate], "&lt;=" &amp; $A67, Table2[HomeTeam], AC$1)</f>
        <v>4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6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6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4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2</v>
      </c>
      <c r="E68" s="145">
        <f>SUMIFS(Table2[NewPointsAway],Table2[GameDate], "&lt;=" &amp; $A68, Table2[AwayTeam], E$1)+SUMIFS(Table2[NewPointsHome],Table2[GameDate], "&lt;=" &amp; $A68, Table2[HomeTeam], E$1)</f>
        <v>6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5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6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6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5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3</v>
      </c>
      <c r="AB68" s="145">
        <f>SUMIFS(Table2[NewPointsAway],Table2[GameDate], "&lt;=" &amp; $A68, Table2[AwayTeam], AB$1)+SUMIFS(Table2[NewPointsHome],Table2[GameDate], "&lt;=" &amp; $A68, Table2[HomeTeam], AB$1)</f>
        <v>4</v>
      </c>
      <c r="AC68" s="145">
        <f>SUMIFS(Table2[NewPointsAway],Table2[GameDate], "&lt;=" &amp; $A68, Table2[AwayTeam], AC$1)+SUMIFS(Table2[NewPointsHome],Table2[GameDate], "&lt;=" &amp; $A68, Table2[HomeTeam], AC$1)</f>
        <v>4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6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6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4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2</v>
      </c>
      <c r="E69" s="145">
        <f>SUMIFS(Table2[NewPointsAway],Table2[GameDate], "&lt;=" &amp; $A69, Table2[AwayTeam], E$1)+SUMIFS(Table2[NewPointsHome],Table2[GameDate], "&lt;=" &amp; $A69, Table2[HomeTeam], E$1)</f>
        <v>6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5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6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6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5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3</v>
      </c>
      <c r="AB69" s="145">
        <f>SUMIFS(Table2[NewPointsAway],Table2[GameDate], "&lt;=" &amp; $A69, Table2[AwayTeam], AB$1)+SUMIFS(Table2[NewPointsHome],Table2[GameDate], "&lt;=" &amp; $A69, Table2[HomeTeam], AB$1)</f>
        <v>4</v>
      </c>
      <c r="AC69" s="145">
        <f>SUMIFS(Table2[NewPointsAway],Table2[GameDate], "&lt;=" &amp; $A69, Table2[AwayTeam], AC$1)+SUMIFS(Table2[NewPointsHome],Table2[GameDate], "&lt;=" &amp; $A69, Table2[HomeTeam], AC$1)</f>
        <v>4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6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6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4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2</v>
      </c>
      <c r="E70" s="145">
        <f>SUMIFS(Table2[NewPointsAway],Table2[GameDate], "&lt;=" &amp; $A70, Table2[AwayTeam], E$1)+SUMIFS(Table2[NewPointsHome],Table2[GameDate], "&lt;=" &amp; $A70, Table2[HomeTeam], E$1)</f>
        <v>6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5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6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6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5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3</v>
      </c>
      <c r="AB70" s="145">
        <f>SUMIFS(Table2[NewPointsAway],Table2[GameDate], "&lt;=" &amp; $A70, Table2[AwayTeam], AB$1)+SUMIFS(Table2[NewPointsHome],Table2[GameDate], "&lt;=" &amp; $A70, Table2[HomeTeam], AB$1)</f>
        <v>4</v>
      </c>
      <c r="AC70" s="145">
        <f>SUMIFS(Table2[NewPointsAway],Table2[GameDate], "&lt;=" &amp; $A70, Table2[AwayTeam], AC$1)+SUMIFS(Table2[NewPointsHome],Table2[GameDate], "&lt;=" &amp; $A70, Table2[HomeTeam], AC$1)</f>
        <v>4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6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6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4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2</v>
      </c>
      <c r="E71" s="145">
        <f>SUMIFS(Table2[NewPointsAway],Table2[GameDate], "&lt;=" &amp; $A71, Table2[AwayTeam], E$1)+SUMIFS(Table2[NewPointsHome],Table2[GameDate], "&lt;=" &amp; $A71, Table2[HomeTeam], E$1)</f>
        <v>6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5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6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6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5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3</v>
      </c>
      <c r="AB71" s="145">
        <f>SUMIFS(Table2[NewPointsAway],Table2[GameDate], "&lt;=" &amp; $A71, Table2[AwayTeam], AB$1)+SUMIFS(Table2[NewPointsHome],Table2[GameDate], "&lt;=" &amp; $A71, Table2[HomeTeam], AB$1)</f>
        <v>4</v>
      </c>
      <c r="AC71" s="145">
        <f>SUMIFS(Table2[NewPointsAway],Table2[GameDate], "&lt;=" &amp; $A71, Table2[AwayTeam], AC$1)+SUMIFS(Table2[NewPointsHome],Table2[GameDate], "&lt;=" &amp; $A71, Table2[HomeTeam], AC$1)</f>
        <v>4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6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6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4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2</v>
      </c>
      <c r="E72" s="145">
        <f>SUMIFS(Table2[NewPointsAway],Table2[GameDate], "&lt;=" &amp; $A72, Table2[AwayTeam], E$1)+SUMIFS(Table2[NewPointsHome],Table2[GameDate], "&lt;=" &amp; $A72, Table2[HomeTeam], E$1)</f>
        <v>6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5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6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6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5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3</v>
      </c>
      <c r="AB72" s="145">
        <f>SUMIFS(Table2[NewPointsAway],Table2[GameDate], "&lt;=" &amp; $A72, Table2[AwayTeam], AB$1)+SUMIFS(Table2[NewPointsHome],Table2[GameDate], "&lt;=" &amp; $A72, Table2[HomeTeam], AB$1)</f>
        <v>4</v>
      </c>
      <c r="AC72" s="145">
        <f>SUMIFS(Table2[NewPointsAway],Table2[GameDate], "&lt;=" &amp; $A72, Table2[AwayTeam], AC$1)+SUMIFS(Table2[NewPointsHome],Table2[GameDate], "&lt;=" &amp; $A72, Table2[HomeTeam], AC$1)</f>
        <v>4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6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6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4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2</v>
      </c>
      <c r="E73" s="145">
        <f>SUMIFS(Table2[NewPointsAway],Table2[GameDate], "&lt;=" &amp; $A73, Table2[AwayTeam], E$1)+SUMIFS(Table2[NewPointsHome],Table2[GameDate], "&lt;=" &amp; $A73, Table2[HomeTeam], E$1)</f>
        <v>6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5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6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6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5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3</v>
      </c>
      <c r="AB73" s="145">
        <f>SUMIFS(Table2[NewPointsAway],Table2[GameDate], "&lt;=" &amp; $A73, Table2[AwayTeam], AB$1)+SUMIFS(Table2[NewPointsHome],Table2[GameDate], "&lt;=" &amp; $A73, Table2[HomeTeam], AB$1)</f>
        <v>4</v>
      </c>
      <c r="AC73" s="145">
        <f>SUMIFS(Table2[NewPointsAway],Table2[GameDate], "&lt;=" &amp; $A73, Table2[AwayTeam], AC$1)+SUMIFS(Table2[NewPointsHome],Table2[GameDate], "&lt;=" &amp; $A73, Table2[HomeTeam], AC$1)</f>
        <v>4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6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6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4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2</v>
      </c>
      <c r="E74" s="145">
        <f>SUMIFS(Table2[NewPointsAway],Table2[GameDate], "&lt;=" &amp; $A74, Table2[AwayTeam], E$1)+SUMIFS(Table2[NewPointsHome],Table2[GameDate], "&lt;=" &amp; $A74, Table2[HomeTeam], E$1)</f>
        <v>6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5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6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6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5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3</v>
      </c>
      <c r="AB74" s="145">
        <f>SUMIFS(Table2[NewPointsAway],Table2[GameDate], "&lt;=" &amp; $A74, Table2[AwayTeam], AB$1)+SUMIFS(Table2[NewPointsHome],Table2[GameDate], "&lt;=" &amp; $A74, Table2[HomeTeam], AB$1)</f>
        <v>4</v>
      </c>
      <c r="AC74" s="145">
        <f>SUMIFS(Table2[NewPointsAway],Table2[GameDate], "&lt;=" &amp; $A74, Table2[AwayTeam], AC$1)+SUMIFS(Table2[NewPointsHome],Table2[GameDate], "&lt;=" &amp; $A74, Table2[HomeTeam], AC$1)</f>
        <v>4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6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6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4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2</v>
      </c>
      <c r="E75" s="145">
        <f>SUMIFS(Table2[NewPointsAway],Table2[GameDate], "&lt;=" &amp; $A75, Table2[AwayTeam], E$1)+SUMIFS(Table2[NewPointsHome],Table2[GameDate], "&lt;=" &amp; $A75, Table2[HomeTeam], E$1)</f>
        <v>6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5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6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6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5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3</v>
      </c>
      <c r="AB75" s="145">
        <f>SUMIFS(Table2[NewPointsAway],Table2[GameDate], "&lt;=" &amp; $A75, Table2[AwayTeam], AB$1)+SUMIFS(Table2[NewPointsHome],Table2[GameDate], "&lt;=" &amp; $A75, Table2[HomeTeam], AB$1)</f>
        <v>4</v>
      </c>
      <c r="AC75" s="145">
        <f>SUMIFS(Table2[NewPointsAway],Table2[GameDate], "&lt;=" &amp; $A75, Table2[AwayTeam], AC$1)+SUMIFS(Table2[NewPointsHome],Table2[GameDate], "&lt;=" &amp; $A75, Table2[HomeTeam], AC$1)</f>
        <v>4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6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6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4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2</v>
      </c>
      <c r="E76" s="145">
        <f>SUMIFS(Table2[NewPointsAway],Table2[GameDate], "&lt;=" &amp; $A76, Table2[AwayTeam], E$1)+SUMIFS(Table2[NewPointsHome],Table2[GameDate], "&lt;=" &amp; $A76, Table2[HomeTeam], E$1)</f>
        <v>6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5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6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6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5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3</v>
      </c>
      <c r="AB76" s="145">
        <f>SUMIFS(Table2[NewPointsAway],Table2[GameDate], "&lt;=" &amp; $A76, Table2[AwayTeam], AB$1)+SUMIFS(Table2[NewPointsHome],Table2[GameDate], "&lt;=" &amp; $A76, Table2[HomeTeam], AB$1)</f>
        <v>4</v>
      </c>
      <c r="AC76" s="145">
        <f>SUMIFS(Table2[NewPointsAway],Table2[GameDate], "&lt;=" &amp; $A76, Table2[AwayTeam], AC$1)+SUMIFS(Table2[NewPointsHome],Table2[GameDate], "&lt;=" &amp; $A76, Table2[HomeTeam], AC$1)</f>
        <v>4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6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6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4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2</v>
      </c>
      <c r="E77" s="145">
        <f>SUMIFS(Table2[NewPointsAway],Table2[GameDate], "&lt;=" &amp; $A77, Table2[AwayTeam], E$1)+SUMIFS(Table2[NewPointsHome],Table2[GameDate], "&lt;=" &amp; $A77, Table2[HomeTeam], E$1)</f>
        <v>6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5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6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6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5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3</v>
      </c>
      <c r="AB77" s="145">
        <f>SUMIFS(Table2[NewPointsAway],Table2[GameDate], "&lt;=" &amp; $A77, Table2[AwayTeam], AB$1)+SUMIFS(Table2[NewPointsHome],Table2[GameDate], "&lt;=" &amp; $A77, Table2[HomeTeam], AB$1)</f>
        <v>4</v>
      </c>
      <c r="AC77" s="145">
        <f>SUMIFS(Table2[NewPointsAway],Table2[GameDate], "&lt;=" &amp; $A77, Table2[AwayTeam], AC$1)+SUMIFS(Table2[NewPointsHome],Table2[GameDate], "&lt;=" &amp; $A77, Table2[HomeTeam], AC$1)</f>
        <v>4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6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6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4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2</v>
      </c>
      <c r="E78" s="145">
        <f>SUMIFS(Table2[NewPointsAway],Table2[GameDate], "&lt;=" &amp; $A78, Table2[AwayTeam], E$1)+SUMIFS(Table2[NewPointsHome],Table2[GameDate], "&lt;=" &amp; $A78, Table2[HomeTeam], E$1)</f>
        <v>6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5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6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6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5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3</v>
      </c>
      <c r="AB78" s="145">
        <f>SUMIFS(Table2[NewPointsAway],Table2[GameDate], "&lt;=" &amp; $A78, Table2[AwayTeam], AB$1)+SUMIFS(Table2[NewPointsHome],Table2[GameDate], "&lt;=" &amp; $A78, Table2[HomeTeam], AB$1)</f>
        <v>4</v>
      </c>
      <c r="AC78" s="145">
        <f>SUMIFS(Table2[NewPointsAway],Table2[GameDate], "&lt;=" &amp; $A78, Table2[AwayTeam], AC$1)+SUMIFS(Table2[NewPointsHome],Table2[GameDate], "&lt;=" &amp; $A78, Table2[HomeTeam], AC$1)</f>
        <v>4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6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6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4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2</v>
      </c>
      <c r="E79" s="145">
        <f>SUMIFS(Table2[NewPointsAway],Table2[GameDate], "&lt;=" &amp; $A79, Table2[AwayTeam], E$1)+SUMIFS(Table2[NewPointsHome],Table2[GameDate], "&lt;=" &amp; $A79, Table2[HomeTeam], E$1)</f>
        <v>6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5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6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6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5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3</v>
      </c>
      <c r="AB79" s="145">
        <f>SUMIFS(Table2[NewPointsAway],Table2[GameDate], "&lt;=" &amp; $A79, Table2[AwayTeam], AB$1)+SUMIFS(Table2[NewPointsHome],Table2[GameDate], "&lt;=" &amp; $A79, Table2[HomeTeam], AB$1)</f>
        <v>4</v>
      </c>
      <c r="AC79" s="145">
        <f>SUMIFS(Table2[NewPointsAway],Table2[GameDate], "&lt;=" &amp; $A79, Table2[AwayTeam], AC$1)+SUMIFS(Table2[NewPointsHome],Table2[GameDate], "&lt;=" &amp; $A79, Table2[HomeTeam], AC$1)</f>
        <v>4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6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6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4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2</v>
      </c>
      <c r="E80" s="145">
        <f>SUMIFS(Table2[NewPointsAway],Table2[GameDate], "&lt;=" &amp; $A80, Table2[AwayTeam], E$1)+SUMIFS(Table2[NewPointsHome],Table2[GameDate], "&lt;=" &amp; $A80, Table2[HomeTeam], E$1)</f>
        <v>6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5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6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6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5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3</v>
      </c>
      <c r="AB80" s="145">
        <f>SUMIFS(Table2[NewPointsAway],Table2[GameDate], "&lt;=" &amp; $A80, Table2[AwayTeam], AB$1)+SUMIFS(Table2[NewPointsHome],Table2[GameDate], "&lt;=" &amp; $A80, Table2[HomeTeam], AB$1)</f>
        <v>4</v>
      </c>
      <c r="AC80" s="145">
        <f>SUMIFS(Table2[NewPointsAway],Table2[GameDate], "&lt;=" &amp; $A80, Table2[AwayTeam], AC$1)+SUMIFS(Table2[NewPointsHome],Table2[GameDate], "&lt;=" &amp; $A80, Table2[HomeTeam], AC$1)</f>
        <v>4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6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6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4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2</v>
      </c>
      <c r="E81" s="145">
        <f>SUMIFS(Table2[NewPointsAway],Table2[GameDate], "&lt;=" &amp; $A81, Table2[AwayTeam], E$1)+SUMIFS(Table2[NewPointsHome],Table2[GameDate], "&lt;=" &amp; $A81, Table2[HomeTeam], E$1)</f>
        <v>6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5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6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6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5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3</v>
      </c>
      <c r="AB81" s="145">
        <f>SUMIFS(Table2[NewPointsAway],Table2[GameDate], "&lt;=" &amp; $A81, Table2[AwayTeam], AB$1)+SUMIFS(Table2[NewPointsHome],Table2[GameDate], "&lt;=" &amp; $A81, Table2[HomeTeam], AB$1)</f>
        <v>4</v>
      </c>
      <c r="AC81" s="145">
        <f>SUMIFS(Table2[NewPointsAway],Table2[GameDate], "&lt;=" &amp; $A81, Table2[AwayTeam], AC$1)+SUMIFS(Table2[NewPointsHome],Table2[GameDate], "&lt;=" &amp; $A81, Table2[HomeTeam], AC$1)</f>
        <v>4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6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6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4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2</v>
      </c>
      <c r="E82" s="145">
        <f>SUMIFS(Table2[NewPointsAway],Table2[GameDate], "&lt;=" &amp; $A82, Table2[AwayTeam], E$1)+SUMIFS(Table2[NewPointsHome],Table2[GameDate], "&lt;=" &amp; $A82, Table2[HomeTeam], E$1)</f>
        <v>6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5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6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6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5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3</v>
      </c>
      <c r="AB82" s="145">
        <f>SUMIFS(Table2[NewPointsAway],Table2[GameDate], "&lt;=" &amp; $A82, Table2[AwayTeam], AB$1)+SUMIFS(Table2[NewPointsHome],Table2[GameDate], "&lt;=" &amp; $A82, Table2[HomeTeam], AB$1)</f>
        <v>4</v>
      </c>
      <c r="AC82" s="145">
        <f>SUMIFS(Table2[NewPointsAway],Table2[GameDate], "&lt;=" &amp; $A82, Table2[AwayTeam], AC$1)+SUMIFS(Table2[NewPointsHome],Table2[GameDate], "&lt;=" &amp; $A82, Table2[HomeTeam], AC$1)</f>
        <v>4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6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6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4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2</v>
      </c>
      <c r="E83" s="145">
        <f>SUMIFS(Table2[NewPointsAway],Table2[GameDate], "&lt;=" &amp; $A83, Table2[AwayTeam], E$1)+SUMIFS(Table2[NewPointsHome],Table2[GameDate], "&lt;=" &amp; $A83, Table2[HomeTeam], E$1)</f>
        <v>6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5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6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6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5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3</v>
      </c>
      <c r="AB83" s="145">
        <f>SUMIFS(Table2[NewPointsAway],Table2[GameDate], "&lt;=" &amp; $A83, Table2[AwayTeam], AB$1)+SUMIFS(Table2[NewPointsHome],Table2[GameDate], "&lt;=" &amp; $A83, Table2[HomeTeam], AB$1)</f>
        <v>4</v>
      </c>
      <c r="AC83" s="145">
        <f>SUMIFS(Table2[NewPointsAway],Table2[GameDate], "&lt;=" &amp; $A83, Table2[AwayTeam], AC$1)+SUMIFS(Table2[NewPointsHome],Table2[GameDate], "&lt;=" &amp; $A83, Table2[HomeTeam], AC$1)</f>
        <v>4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6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6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4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2</v>
      </c>
      <c r="E84" s="145">
        <f>SUMIFS(Table2[NewPointsAway],Table2[GameDate], "&lt;=" &amp; $A84, Table2[AwayTeam], E$1)+SUMIFS(Table2[NewPointsHome],Table2[GameDate], "&lt;=" &amp; $A84, Table2[HomeTeam], E$1)</f>
        <v>6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5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6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6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5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3</v>
      </c>
      <c r="AB84" s="145">
        <f>SUMIFS(Table2[NewPointsAway],Table2[GameDate], "&lt;=" &amp; $A84, Table2[AwayTeam], AB$1)+SUMIFS(Table2[NewPointsHome],Table2[GameDate], "&lt;=" &amp; $A84, Table2[HomeTeam], AB$1)</f>
        <v>4</v>
      </c>
      <c r="AC84" s="145">
        <f>SUMIFS(Table2[NewPointsAway],Table2[GameDate], "&lt;=" &amp; $A84, Table2[AwayTeam], AC$1)+SUMIFS(Table2[NewPointsHome],Table2[GameDate], "&lt;=" &amp; $A84, Table2[HomeTeam], AC$1)</f>
        <v>4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6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6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4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2</v>
      </c>
      <c r="E85" s="145">
        <f>SUMIFS(Table2[NewPointsAway],Table2[GameDate], "&lt;=" &amp; $A85, Table2[AwayTeam], E$1)+SUMIFS(Table2[NewPointsHome],Table2[GameDate], "&lt;=" &amp; $A85, Table2[HomeTeam], E$1)</f>
        <v>6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5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6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6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5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3</v>
      </c>
      <c r="AB85" s="145">
        <f>SUMIFS(Table2[NewPointsAway],Table2[GameDate], "&lt;=" &amp; $A85, Table2[AwayTeam], AB$1)+SUMIFS(Table2[NewPointsHome],Table2[GameDate], "&lt;=" &amp; $A85, Table2[HomeTeam], AB$1)</f>
        <v>4</v>
      </c>
      <c r="AC85" s="145">
        <f>SUMIFS(Table2[NewPointsAway],Table2[GameDate], "&lt;=" &amp; $A85, Table2[AwayTeam], AC$1)+SUMIFS(Table2[NewPointsHome],Table2[GameDate], "&lt;=" &amp; $A85, Table2[HomeTeam], AC$1)</f>
        <v>4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6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6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4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2</v>
      </c>
      <c r="E86" s="145">
        <f>SUMIFS(Table2[NewPointsAway],Table2[GameDate], "&lt;=" &amp; $A86, Table2[AwayTeam], E$1)+SUMIFS(Table2[NewPointsHome],Table2[GameDate], "&lt;=" &amp; $A86, Table2[HomeTeam], E$1)</f>
        <v>6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5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6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6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5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3</v>
      </c>
      <c r="AB86" s="145">
        <f>SUMIFS(Table2[NewPointsAway],Table2[GameDate], "&lt;=" &amp; $A86, Table2[AwayTeam], AB$1)+SUMIFS(Table2[NewPointsHome],Table2[GameDate], "&lt;=" &amp; $A86, Table2[HomeTeam], AB$1)</f>
        <v>4</v>
      </c>
      <c r="AC86" s="145">
        <f>SUMIFS(Table2[NewPointsAway],Table2[GameDate], "&lt;=" &amp; $A86, Table2[AwayTeam], AC$1)+SUMIFS(Table2[NewPointsHome],Table2[GameDate], "&lt;=" &amp; $A86, Table2[HomeTeam], AC$1)</f>
        <v>4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6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6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4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2</v>
      </c>
      <c r="E87" s="145">
        <f>SUMIFS(Table2[NewPointsAway],Table2[GameDate], "&lt;=" &amp; $A87, Table2[AwayTeam], E$1)+SUMIFS(Table2[NewPointsHome],Table2[GameDate], "&lt;=" &amp; $A87, Table2[HomeTeam], E$1)</f>
        <v>6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5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6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6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5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3</v>
      </c>
      <c r="AB87" s="145">
        <f>SUMIFS(Table2[NewPointsAway],Table2[GameDate], "&lt;=" &amp; $A87, Table2[AwayTeam], AB$1)+SUMIFS(Table2[NewPointsHome],Table2[GameDate], "&lt;=" &amp; $A87, Table2[HomeTeam], AB$1)</f>
        <v>4</v>
      </c>
      <c r="AC87" s="145">
        <f>SUMIFS(Table2[NewPointsAway],Table2[GameDate], "&lt;=" &amp; $A87, Table2[AwayTeam], AC$1)+SUMIFS(Table2[NewPointsHome],Table2[GameDate], "&lt;=" &amp; $A87, Table2[HomeTeam], AC$1)</f>
        <v>4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6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6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4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2</v>
      </c>
      <c r="E88" s="145">
        <f>SUMIFS(Table2[NewPointsAway],Table2[GameDate], "&lt;=" &amp; $A88, Table2[AwayTeam], E$1)+SUMIFS(Table2[NewPointsHome],Table2[GameDate], "&lt;=" &amp; $A88, Table2[HomeTeam], E$1)</f>
        <v>6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5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6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6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5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3</v>
      </c>
      <c r="AB88" s="145">
        <f>SUMIFS(Table2[NewPointsAway],Table2[GameDate], "&lt;=" &amp; $A88, Table2[AwayTeam], AB$1)+SUMIFS(Table2[NewPointsHome],Table2[GameDate], "&lt;=" &amp; $A88, Table2[HomeTeam], AB$1)</f>
        <v>4</v>
      </c>
      <c r="AC88" s="145">
        <f>SUMIFS(Table2[NewPointsAway],Table2[GameDate], "&lt;=" &amp; $A88, Table2[AwayTeam], AC$1)+SUMIFS(Table2[NewPointsHome],Table2[GameDate], "&lt;=" &amp; $A88, Table2[HomeTeam], AC$1)</f>
        <v>4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6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6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4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2</v>
      </c>
      <c r="E89" s="145">
        <f>SUMIFS(Table2[NewPointsAway],Table2[GameDate], "&lt;=" &amp; $A89, Table2[AwayTeam], E$1)+SUMIFS(Table2[NewPointsHome],Table2[GameDate], "&lt;=" &amp; $A89, Table2[HomeTeam], E$1)</f>
        <v>6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5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6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6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5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3</v>
      </c>
      <c r="AB89" s="145">
        <f>SUMIFS(Table2[NewPointsAway],Table2[GameDate], "&lt;=" &amp; $A89, Table2[AwayTeam], AB$1)+SUMIFS(Table2[NewPointsHome],Table2[GameDate], "&lt;=" &amp; $A89, Table2[HomeTeam], AB$1)</f>
        <v>4</v>
      </c>
      <c r="AC89" s="145">
        <f>SUMIFS(Table2[NewPointsAway],Table2[GameDate], "&lt;=" &amp; $A89, Table2[AwayTeam], AC$1)+SUMIFS(Table2[NewPointsHome],Table2[GameDate], "&lt;=" &amp; $A89, Table2[HomeTeam], AC$1)</f>
        <v>4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6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6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4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2</v>
      </c>
      <c r="E90" s="145">
        <f>SUMIFS(Table2[NewPointsAway],Table2[GameDate], "&lt;=" &amp; $A90, Table2[AwayTeam], E$1)+SUMIFS(Table2[NewPointsHome],Table2[GameDate], "&lt;=" &amp; $A90, Table2[HomeTeam], E$1)</f>
        <v>6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5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6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6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5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3</v>
      </c>
      <c r="AB90" s="145">
        <f>SUMIFS(Table2[NewPointsAway],Table2[GameDate], "&lt;=" &amp; $A90, Table2[AwayTeam], AB$1)+SUMIFS(Table2[NewPointsHome],Table2[GameDate], "&lt;=" &amp; $A90, Table2[HomeTeam], AB$1)</f>
        <v>4</v>
      </c>
      <c r="AC90" s="145">
        <f>SUMIFS(Table2[NewPointsAway],Table2[GameDate], "&lt;=" &amp; $A90, Table2[AwayTeam], AC$1)+SUMIFS(Table2[NewPointsHome],Table2[GameDate], "&lt;=" &amp; $A90, Table2[HomeTeam], AC$1)</f>
        <v>4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6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6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4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2</v>
      </c>
      <c r="E91" s="145">
        <f>SUMIFS(Table2[NewPointsAway],Table2[GameDate], "&lt;=" &amp; $A91, Table2[AwayTeam], E$1)+SUMIFS(Table2[NewPointsHome],Table2[GameDate], "&lt;=" &amp; $A91, Table2[HomeTeam], E$1)</f>
        <v>6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5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6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6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5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3</v>
      </c>
      <c r="AB91" s="145">
        <f>SUMIFS(Table2[NewPointsAway],Table2[GameDate], "&lt;=" &amp; $A91, Table2[AwayTeam], AB$1)+SUMIFS(Table2[NewPointsHome],Table2[GameDate], "&lt;=" &amp; $A91, Table2[HomeTeam], AB$1)</f>
        <v>4</v>
      </c>
      <c r="AC91" s="145">
        <f>SUMIFS(Table2[NewPointsAway],Table2[GameDate], "&lt;=" &amp; $A91, Table2[AwayTeam], AC$1)+SUMIFS(Table2[NewPointsHome],Table2[GameDate], "&lt;=" &amp; $A91, Table2[HomeTeam], AC$1)</f>
        <v>4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6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6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4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2</v>
      </c>
      <c r="E92" s="145">
        <f>SUMIFS(Table2[NewPointsAway],Table2[GameDate], "&lt;=" &amp; $A92, Table2[AwayTeam], E$1)+SUMIFS(Table2[NewPointsHome],Table2[GameDate], "&lt;=" &amp; $A92, Table2[HomeTeam], E$1)</f>
        <v>6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5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6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6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5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3</v>
      </c>
      <c r="AB92" s="145">
        <f>SUMIFS(Table2[NewPointsAway],Table2[GameDate], "&lt;=" &amp; $A92, Table2[AwayTeam], AB$1)+SUMIFS(Table2[NewPointsHome],Table2[GameDate], "&lt;=" &amp; $A92, Table2[HomeTeam], AB$1)</f>
        <v>4</v>
      </c>
      <c r="AC92" s="145">
        <f>SUMIFS(Table2[NewPointsAway],Table2[GameDate], "&lt;=" &amp; $A92, Table2[AwayTeam], AC$1)+SUMIFS(Table2[NewPointsHome],Table2[GameDate], "&lt;=" &amp; $A92, Table2[HomeTeam], AC$1)</f>
        <v>4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6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6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4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2</v>
      </c>
      <c r="E93" s="145">
        <f>SUMIFS(Table2[NewPointsAway],Table2[GameDate], "&lt;=" &amp; $A93, Table2[AwayTeam], E$1)+SUMIFS(Table2[NewPointsHome],Table2[GameDate], "&lt;=" &amp; $A93, Table2[HomeTeam], E$1)</f>
        <v>6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5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6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6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5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3</v>
      </c>
      <c r="AB93" s="145">
        <f>SUMIFS(Table2[NewPointsAway],Table2[GameDate], "&lt;=" &amp; $A93, Table2[AwayTeam], AB$1)+SUMIFS(Table2[NewPointsHome],Table2[GameDate], "&lt;=" &amp; $A93, Table2[HomeTeam], AB$1)</f>
        <v>4</v>
      </c>
      <c r="AC93" s="145">
        <f>SUMIFS(Table2[NewPointsAway],Table2[GameDate], "&lt;=" &amp; $A93, Table2[AwayTeam], AC$1)+SUMIFS(Table2[NewPointsHome],Table2[GameDate], "&lt;=" &amp; $A93, Table2[HomeTeam], AC$1)</f>
        <v>4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6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6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4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2</v>
      </c>
      <c r="E94" s="145">
        <f>SUMIFS(Table2[NewPointsAway],Table2[GameDate], "&lt;=" &amp; $A94, Table2[AwayTeam], E$1)+SUMIFS(Table2[NewPointsHome],Table2[GameDate], "&lt;=" &amp; $A94, Table2[HomeTeam], E$1)</f>
        <v>6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5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6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6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5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3</v>
      </c>
      <c r="AB94" s="145">
        <f>SUMIFS(Table2[NewPointsAway],Table2[GameDate], "&lt;=" &amp; $A94, Table2[AwayTeam], AB$1)+SUMIFS(Table2[NewPointsHome],Table2[GameDate], "&lt;=" &amp; $A94, Table2[HomeTeam], AB$1)</f>
        <v>4</v>
      </c>
      <c r="AC94" s="145">
        <f>SUMIFS(Table2[NewPointsAway],Table2[GameDate], "&lt;=" &amp; $A94, Table2[AwayTeam], AC$1)+SUMIFS(Table2[NewPointsHome],Table2[GameDate], "&lt;=" &amp; $A94, Table2[HomeTeam], AC$1)</f>
        <v>4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6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6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4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2</v>
      </c>
      <c r="E95" s="145">
        <f>SUMIFS(Table2[NewPointsAway],Table2[GameDate], "&lt;=" &amp; $A95, Table2[AwayTeam], E$1)+SUMIFS(Table2[NewPointsHome],Table2[GameDate], "&lt;=" &amp; $A95, Table2[HomeTeam], E$1)</f>
        <v>6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5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6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6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5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3</v>
      </c>
      <c r="AB95" s="145">
        <f>SUMIFS(Table2[NewPointsAway],Table2[GameDate], "&lt;=" &amp; $A95, Table2[AwayTeam], AB$1)+SUMIFS(Table2[NewPointsHome],Table2[GameDate], "&lt;=" &amp; $A95, Table2[HomeTeam], AB$1)</f>
        <v>4</v>
      </c>
      <c r="AC95" s="145">
        <f>SUMIFS(Table2[NewPointsAway],Table2[GameDate], "&lt;=" &amp; $A95, Table2[AwayTeam], AC$1)+SUMIFS(Table2[NewPointsHome],Table2[GameDate], "&lt;=" &amp; $A95, Table2[HomeTeam], AC$1)</f>
        <v>4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6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6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4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2</v>
      </c>
      <c r="E96" s="145">
        <f>SUMIFS(Table2[NewPointsAway],Table2[GameDate], "&lt;=" &amp; $A96, Table2[AwayTeam], E$1)+SUMIFS(Table2[NewPointsHome],Table2[GameDate], "&lt;=" &amp; $A96, Table2[HomeTeam], E$1)</f>
        <v>6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5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6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6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5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3</v>
      </c>
      <c r="AB96" s="145">
        <f>SUMIFS(Table2[NewPointsAway],Table2[GameDate], "&lt;=" &amp; $A96, Table2[AwayTeam], AB$1)+SUMIFS(Table2[NewPointsHome],Table2[GameDate], "&lt;=" &amp; $A96, Table2[HomeTeam], AB$1)</f>
        <v>4</v>
      </c>
      <c r="AC96" s="145">
        <f>SUMIFS(Table2[NewPointsAway],Table2[GameDate], "&lt;=" &amp; $A96, Table2[AwayTeam], AC$1)+SUMIFS(Table2[NewPointsHome],Table2[GameDate], "&lt;=" &amp; $A96, Table2[HomeTeam], AC$1)</f>
        <v>4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6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6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4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2</v>
      </c>
      <c r="E97" s="145">
        <f>SUMIFS(Table2[NewPointsAway],Table2[GameDate], "&lt;=" &amp; $A97, Table2[AwayTeam], E$1)+SUMIFS(Table2[NewPointsHome],Table2[GameDate], "&lt;=" &amp; $A97, Table2[HomeTeam], E$1)</f>
        <v>6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5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6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6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5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3</v>
      </c>
      <c r="AB97" s="145">
        <f>SUMIFS(Table2[NewPointsAway],Table2[GameDate], "&lt;=" &amp; $A97, Table2[AwayTeam], AB$1)+SUMIFS(Table2[NewPointsHome],Table2[GameDate], "&lt;=" &amp; $A97, Table2[HomeTeam], AB$1)</f>
        <v>4</v>
      </c>
      <c r="AC97" s="145">
        <f>SUMIFS(Table2[NewPointsAway],Table2[GameDate], "&lt;=" &amp; $A97, Table2[AwayTeam], AC$1)+SUMIFS(Table2[NewPointsHome],Table2[GameDate], "&lt;=" &amp; $A97, Table2[HomeTeam], AC$1)</f>
        <v>4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6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6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4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2</v>
      </c>
      <c r="E98" s="145">
        <f>SUMIFS(Table2[NewPointsAway],Table2[GameDate], "&lt;=" &amp; $A98, Table2[AwayTeam], E$1)+SUMIFS(Table2[NewPointsHome],Table2[GameDate], "&lt;=" &amp; $A98, Table2[HomeTeam], E$1)</f>
        <v>6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5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6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6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5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3</v>
      </c>
      <c r="AB98" s="145">
        <f>SUMIFS(Table2[NewPointsAway],Table2[GameDate], "&lt;=" &amp; $A98, Table2[AwayTeam], AB$1)+SUMIFS(Table2[NewPointsHome],Table2[GameDate], "&lt;=" &amp; $A98, Table2[HomeTeam], AB$1)</f>
        <v>4</v>
      </c>
      <c r="AC98" s="145">
        <f>SUMIFS(Table2[NewPointsAway],Table2[GameDate], "&lt;=" &amp; $A98, Table2[AwayTeam], AC$1)+SUMIFS(Table2[NewPointsHome],Table2[GameDate], "&lt;=" &amp; $A98, Table2[HomeTeam], AC$1)</f>
        <v>4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6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6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4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2</v>
      </c>
      <c r="E99" s="145">
        <f>SUMIFS(Table2[NewPointsAway],Table2[GameDate], "&lt;=" &amp; $A99, Table2[AwayTeam], E$1)+SUMIFS(Table2[NewPointsHome],Table2[GameDate], "&lt;=" &amp; $A99, Table2[HomeTeam], E$1)</f>
        <v>6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5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6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6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5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3</v>
      </c>
      <c r="AB99" s="145">
        <f>SUMIFS(Table2[NewPointsAway],Table2[GameDate], "&lt;=" &amp; $A99, Table2[AwayTeam], AB$1)+SUMIFS(Table2[NewPointsHome],Table2[GameDate], "&lt;=" &amp; $A99, Table2[HomeTeam], AB$1)</f>
        <v>4</v>
      </c>
      <c r="AC99" s="145">
        <f>SUMIFS(Table2[NewPointsAway],Table2[GameDate], "&lt;=" &amp; $A99, Table2[AwayTeam], AC$1)+SUMIFS(Table2[NewPointsHome],Table2[GameDate], "&lt;=" &amp; $A99, Table2[HomeTeam], AC$1)</f>
        <v>4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6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6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4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2</v>
      </c>
      <c r="E100" s="145">
        <f>SUMIFS(Table2[NewPointsAway],Table2[GameDate], "&lt;=" &amp; $A100, Table2[AwayTeam], E$1)+SUMIFS(Table2[NewPointsHome],Table2[GameDate], "&lt;=" &amp; $A100, Table2[HomeTeam], E$1)</f>
        <v>6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5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6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6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5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3</v>
      </c>
      <c r="AB100" s="145">
        <f>SUMIFS(Table2[NewPointsAway],Table2[GameDate], "&lt;=" &amp; $A100, Table2[AwayTeam], AB$1)+SUMIFS(Table2[NewPointsHome],Table2[GameDate], "&lt;=" &amp; $A100, Table2[HomeTeam], AB$1)</f>
        <v>4</v>
      </c>
      <c r="AC100" s="145">
        <f>SUMIFS(Table2[NewPointsAway],Table2[GameDate], "&lt;=" &amp; $A100, Table2[AwayTeam], AC$1)+SUMIFS(Table2[NewPointsHome],Table2[GameDate], "&lt;=" &amp; $A100, Table2[HomeTeam], AC$1)</f>
        <v>4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6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6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4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2</v>
      </c>
      <c r="E101" s="145">
        <f>SUMIFS(Table2[NewPointsAway],Table2[GameDate], "&lt;=" &amp; $A101, Table2[AwayTeam], E$1)+SUMIFS(Table2[NewPointsHome],Table2[GameDate], "&lt;=" &amp; $A101, Table2[HomeTeam], E$1)</f>
        <v>6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5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6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6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5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3</v>
      </c>
      <c r="AB101" s="145">
        <f>SUMIFS(Table2[NewPointsAway],Table2[GameDate], "&lt;=" &amp; $A101, Table2[AwayTeam], AB$1)+SUMIFS(Table2[NewPointsHome],Table2[GameDate], "&lt;=" &amp; $A101, Table2[HomeTeam], AB$1)</f>
        <v>4</v>
      </c>
      <c r="AC101" s="145">
        <f>SUMIFS(Table2[NewPointsAway],Table2[GameDate], "&lt;=" &amp; $A101, Table2[AwayTeam], AC$1)+SUMIFS(Table2[NewPointsHome],Table2[GameDate], "&lt;=" &amp; $A101, Table2[HomeTeam], AC$1)</f>
        <v>4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6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6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4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2</v>
      </c>
      <c r="E102" s="145">
        <f>SUMIFS(Table2[NewPointsAway],Table2[GameDate], "&lt;=" &amp; $A102, Table2[AwayTeam], E$1)+SUMIFS(Table2[NewPointsHome],Table2[GameDate], "&lt;=" &amp; $A102, Table2[HomeTeam], E$1)</f>
        <v>6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5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6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6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5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3</v>
      </c>
      <c r="AB102" s="145">
        <f>SUMIFS(Table2[NewPointsAway],Table2[GameDate], "&lt;=" &amp; $A102, Table2[AwayTeam], AB$1)+SUMIFS(Table2[NewPointsHome],Table2[GameDate], "&lt;=" &amp; $A102, Table2[HomeTeam], AB$1)</f>
        <v>4</v>
      </c>
      <c r="AC102" s="145">
        <f>SUMIFS(Table2[NewPointsAway],Table2[GameDate], "&lt;=" &amp; $A102, Table2[AwayTeam], AC$1)+SUMIFS(Table2[NewPointsHome],Table2[GameDate], "&lt;=" &amp; $A102, Table2[HomeTeam], AC$1)</f>
        <v>4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6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6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4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2</v>
      </c>
      <c r="E103" s="145">
        <f>SUMIFS(Table2[NewPointsAway],Table2[GameDate], "&lt;=" &amp; $A103, Table2[AwayTeam], E$1)+SUMIFS(Table2[NewPointsHome],Table2[GameDate], "&lt;=" &amp; $A103, Table2[HomeTeam], E$1)</f>
        <v>6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5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6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6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5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3</v>
      </c>
      <c r="AB103" s="145">
        <f>SUMIFS(Table2[NewPointsAway],Table2[GameDate], "&lt;=" &amp; $A103, Table2[AwayTeam], AB$1)+SUMIFS(Table2[NewPointsHome],Table2[GameDate], "&lt;=" &amp; $A103, Table2[HomeTeam], AB$1)</f>
        <v>4</v>
      </c>
      <c r="AC103" s="145">
        <f>SUMIFS(Table2[NewPointsAway],Table2[GameDate], "&lt;=" &amp; $A103, Table2[AwayTeam], AC$1)+SUMIFS(Table2[NewPointsHome],Table2[GameDate], "&lt;=" &amp; $A103, Table2[HomeTeam], AC$1)</f>
        <v>4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6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6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4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2</v>
      </c>
      <c r="E104" s="145">
        <f>SUMIFS(Table2[NewPointsAway],Table2[GameDate], "&lt;=" &amp; $A104, Table2[AwayTeam], E$1)+SUMIFS(Table2[NewPointsHome],Table2[GameDate], "&lt;=" &amp; $A104, Table2[HomeTeam], E$1)</f>
        <v>6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5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6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6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5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3</v>
      </c>
      <c r="AB104" s="145">
        <f>SUMIFS(Table2[NewPointsAway],Table2[GameDate], "&lt;=" &amp; $A104, Table2[AwayTeam], AB$1)+SUMIFS(Table2[NewPointsHome],Table2[GameDate], "&lt;=" &amp; $A104, Table2[HomeTeam], AB$1)</f>
        <v>4</v>
      </c>
      <c r="AC104" s="145">
        <f>SUMIFS(Table2[NewPointsAway],Table2[GameDate], "&lt;=" &amp; $A104, Table2[AwayTeam], AC$1)+SUMIFS(Table2[NewPointsHome],Table2[GameDate], "&lt;=" &amp; $A104, Table2[HomeTeam], AC$1)</f>
        <v>4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6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6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4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2</v>
      </c>
      <c r="E105" s="145">
        <f>SUMIFS(Table2[NewPointsAway],Table2[GameDate], "&lt;=" &amp; $A105, Table2[AwayTeam], E$1)+SUMIFS(Table2[NewPointsHome],Table2[GameDate], "&lt;=" &amp; $A105, Table2[HomeTeam], E$1)</f>
        <v>6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5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6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6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5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3</v>
      </c>
      <c r="AB105" s="145">
        <f>SUMIFS(Table2[NewPointsAway],Table2[GameDate], "&lt;=" &amp; $A105, Table2[AwayTeam], AB$1)+SUMIFS(Table2[NewPointsHome],Table2[GameDate], "&lt;=" &amp; $A105, Table2[HomeTeam], AB$1)</f>
        <v>4</v>
      </c>
      <c r="AC105" s="145">
        <f>SUMIFS(Table2[NewPointsAway],Table2[GameDate], "&lt;=" &amp; $A105, Table2[AwayTeam], AC$1)+SUMIFS(Table2[NewPointsHome],Table2[GameDate], "&lt;=" &amp; $A105, Table2[HomeTeam], AC$1)</f>
        <v>4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6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6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4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2</v>
      </c>
      <c r="E106" s="145">
        <f>SUMIFS(Table2[NewPointsAway],Table2[GameDate], "&lt;=" &amp; $A106, Table2[AwayTeam], E$1)+SUMIFS(Table2[NewPointsHome],Table2[GameDate], "&lt;=" &amp; $A106, Table2[HomeTeam], E$1)</f>
        <v>6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5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6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6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5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3</v>
      </c>
      <c r="AB106" s="145">
        <f>SUMIFS(Table2[NewPointsAway],Table2[GameDate], "&lt;=" &amp; $A106, Table2[AwayTeam], AB$1)+SUMIFS(Table2[NewPointsHome],Table2[GameDate], "&lt;=" &amp; $A106, Table2[HomeTeam], AB$1)</f>
        <v>4</v>
      </c>
      <c r="AC106" s="145">
        <f>SUMIFS(Table2[NewPointsAway],Table2[GameDate], "&lt;=" &amp; $A106, Table2[AwayTeam], AC$1)+SUMIFS(Table2[NewPointsHome],Table2[GameDate], "&lt;=" &amp; $A106, Table2[HomeTeam], AC$1)</f>
        <v>4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6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6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4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2</v>
      </c>
      <c r="E107" s="145">
        <f>SUMIFS(Table2[NewPointsAway],Table2[GameDate], "&lt;=" &amp; $A107, Table2[AwayTeam], E$1)+SUMIFS(Table2[NewPointsHome],Table2[GameDate], "&lt;=" &amp; $A107, Table2[HomeTeam], E$1)</f>
        <v>6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5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6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6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5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3</v>
      </c>
      <c r="AB107" s="145">
        <f>SUMIFS(Table2[NewPointsAway],Table2[GameDate], "&lt;=" &amp; $A107, Table2[AwayTeam], AB$1)+SUMIFS(Table2[NewPointsHome],Table2[GameDate], "&lt;=" &amp; $A107, Table2[HomeTeam], AB$1)</f>
        <v>4</v>
      </c>
      <c r="AC107" s="145">
        <f>SUMIFS(Table2[NewPointsAway],Table2[GameDate], "&lt;=" &amp; $A107, Table2[AwayTeam], AC$1)+SUMIFS(Table2[NewPointsHome],Table2[GameDate], "&lt;=" &amp; $A107, Table2[HomeTeam], AC$1)</f>
        <v>4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6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6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4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2</v>
      </c>
      <c r="E108" s="145">
        <f>SUMIFS(Table2[NewPointsAway],Table2[GameDate], "&lt;=" &amp; $A108, Table2[AwayTeam], E$1)+SUMIFS(Table2[NewPointsHome],Table2[GameDate], "&lt;=" &amp; $A108, Table2[HomeTeam], E$1)</f>
        <v>6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5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6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6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5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3</v>
      </c>
      <c r="AB108" s="145">
        <f>SUMIFS(Table2[NewPointsAway],Table2[GameDate], "&lt;=" &amp; $A108, Table2[AwayTeam], AB$1)+SUMIFS(Table2[NewPointsHome],Table2[GameDate], "&lt;=" &amp; $A108, Table2[HomeTeam], AB$1)</f>
        <v>4</v>
      </c>
      <c r="AC108" s="145">
        <f>SUMIFS(Table2[NewPointsAway],Table2[GameDate], "&lt;=" &amp; $A108, Table2[AwayTeam], AC$1)+SUMIFS(Table2[NewPointsHome],Table2[GameDate], "&lt;=" &amp; $A108, Table2[HomeTeam], AC$1)</f>
        <v>4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6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6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4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2</v>
      </c>
      <c r="E109" s="145">
        <f>SUMIFS(Table2[NewPointsAway],Table2[GameDate], "&lt;=" &amp; $A109, Table2[AwayTeam], E$1)+SUMIFS(Table2[NewPointsHome],Table2[GameDate], "&lt;=" &amp; $A109, Table2[HomeTeam], E$1)</f>
        <v>6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5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6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6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5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3</v>
      </c>
      <c r="AB109" s="145">
        <f>SUMIFS(Table2[NewPointsAway],Table2[GameDate], "&lt;=" &amp; $A109, Table2[AwayTeam], AB$1)+SUMIFS(Table2[NewPointsHome],Table2[GameDate], "&lt;=" &amp; $A109, Table2[HomeTeam], AB$1)</f>
        <v>4</v>
      </c>
      <c r="AC109" s="145">
        <f>SUMIFS(Table2[NewPointsAway],Table2[GameDate], "&lt;=" &amp; $A109, Table2[AwayTeam], AC$1)+SUMIFS(Table2[NewPointsHome],Table2[GameDate], "&lt;=" &amp; $A109, Table2[HomeTeam], AC$1)</f>
        <v>4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6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6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4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2</v>
      </c>
      <c r="E110" s="145">
        <f>SUMIFS(Table2[NewPointsAway],Table2[GameDate], "&lt;=" &amp; $A110, Table2[AwayTeam], E$1)+SUMIFS(Table2[NewPointsHome],Table2[GameDate], "&lt;=" &amp; $A110, Table2[HomeTeam], E$1)</f>
        <v>6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5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6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6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5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3</v>
      </c>
      <c r="AB110" s="145">
        <f>SUMIFS(Table2[NewPointsAway],Table2[GameDate], "&lt;=" &amp; $A110, Table2[AwayTeam], AB$1)+SUMIFS(Table2[NewPointsHome],Table2[GameDate], "&lt;=" &amp; $A110, Table2[HomeTeam], AB$1)</f>
        <v>4</v>
      </c>
      <c r="AC110" s="145">
        <f>SUMIFS(Table2[NewPointsAway],Table2[GameDate], "&lt;=" &amp; $A110, Table2[AwayTeam], AC$1)+SUMIFS(Table2[NewPointsHome],Table2[GameDate], "&lt;=" &amp; $A110, Table2[HomeTeam], AC$1)</f>
        <v>4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6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6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4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2</v>
      </c>
      <c r="E111" s="145">
        <f>SUMIFS(Table2[NewPointsAway],Table2[GameDate], "&lt;=" &amp; $A111, Table2[AwayTeam], E$1)+SUMIFS(Table2[NewPointsHome],Table2[GameDate], "&lt;=" &amp; $A111, Table2[HomeTeam], E$1)</f>
        <v>6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5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6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6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5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3</v>
      </c>
      <c r="AB111" s="145">
        <f>SUMIFS(Table2[NewPointsAway],Table2[GameDate], "&lt;=" &amp; $A111, Table2[AwayTeam], AB$1)+SUMIFS(Table2[NewPointsHome],Table2[GameDate], "&lt;=" &amp; $A111, Table2[HomeTeam], AB$1)</f>
        <v>4</v>
      </c>
      <c r="AC111" s="145">
        <f>SUMIFS(Table2[NewPointsAway],Table2[GameDate], "&lt;=" &amp; $A111, Table2[AwayTeam], AC$1)+SUMIFS(Table2[NewPointsHome],Table2[GameDate], "&lt;=" &amp; $A111, Table2[HomeTeam], AC$1)</f>
        <v>4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6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6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4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2</v>
      </c>
      <c r="E112" s="145">
        <f>SUMIFS(Table2[NewPointsAway],Table2[GameDate], "&lt;=" &amp; $A112, Table2[AwayTeam], E$1)+SUMIFS(Table2[NewPointsHome],Table2[GameDate], "&lt;=" &amp; $A112, Table2[HomeTeam], E$1)</f>
        <v>6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5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6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6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5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3</v>
      </c>
      <c r="AB112" s="145">
        <f>SUMIFS(Table2[NewPointsAway],Table2[GameDate], "&lt;=" &amp; $A112, Table2[AwayTeam], AB$1)+SUMIFS(Table2[NewPointsHome],Table2[GameDate], "&lt;=" &amp; $A112, Table2[HomeTeam], AB$1)</f>
        <v>4</v>
      </c>
      <c r="AC112" s="145">
        <f>SUMIFS(Table2[NewPointsAway],Table2[GameDate], "&lt;=" &amp; $A112, Table2[AwayTeam], AC$1)+SUMIFS(Table2[NewPointsHome],Table2[GameDate], "&lt;=" &amp; $A112, Table2[HomeTeam], AC$1)</f>
        <v>4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6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6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4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2</v>
      </c>
      <c r="E113" s="145">
        <f>SUMIFS(Table2[NewPointsAway],Table2[GameDate], "&lt;=" &amp; $A113, Table2[AwayTeam], E$1)+SUMIFS(Table2[NewPointsHome],Table2[GameDate], "&lt;=" &amp; $A113, Table2[HomeTeam], E$1)</f>
        <v>6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5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6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6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5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3</v>
      </c>
      <c r="AB113" s="145">
        <f>SUMIFS(Table2[NewPointsAway],Table2[GameDate], "&lt;=" &amp; $A113, Table2[AwayTeam], AB$1)+SUMIFS(Table2[NewPointsHome],Table2[GameDate], "&lt;=" &amp; $A113, Table2[HomeTeam], AB$1)</f>
        <v>4</v>
      </c>
      <c r="AC113" s="145">
        <f>SUMIFS(Table2[NewPointsAway],Table2[GameDate], "&lt;=" &amp; $A113, Table2[AwayTeam], AC$1)+SUMIFS(Table2[NewPointsHome],Table2[GameDate], "&lt;=" &amp; $A113, Table2[HomeTeam], AC$1)</f>
        <v>4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6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6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4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2</v>
      </c>
      <c r="E114" s="145">
        <f>SUMIFS(Table2[NewPointsAway],Table2[GameDate], "&lt;=" &amp; $A114, Table2[AwayTeam], E$1)+SUMIFS(Table2[NewPointsHome],Table2[GameDate], "&lt;=" &amp; $A114, Table2[HomeTeam], E$1)</f>
        <v>6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5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6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6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5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3</v>
      </c>
      <c r="AB114" s="145">
        <f>SUMIFS(Table2[NewPointsAway],Table2[GameDate], "&lt;=" &amp; $A114, Table2[AwayTeam], AB$1)+SUMIFS(Table2[NewPointsHome],Table2[GameDate], "&lt;=" &amp; $A114, Table2[HomeTeam], AB$1)</f>
        <v>4</v>
      </c>
      <c r="AC114" s="145">
        <f>SUMIFS(Table2[NewPointsAway],Table2[GameDate], "&lt;=" &amp; $A114, Table2[AwayTeam], AC$1)+SUMIFS(Table2[NewPointsHome],Table2[GameDate], "&lt;=" &amp; $A114, Table2[HomeTeam], AC$1)</f>
        <v>4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6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6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4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2</v>
      </c>
      <c r="E115" s="145">
        <f>SUMIFS(Table2[NewPointsAway],Table2[GameDate], "&lt;=" &amp; $A115, Table2[AwayTeam], E$1)+SUMIFS(Table2[NewPointsHome],Table2[GameDate], "&lt;=" &amp; $A115, Table2[HomeTeam], E$1)</f>
        <v>6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5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6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6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5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3</v>
      </c>
      <c r="AB115" s="145">
        <f>SUMIFS(Table2[NewPointsAway],Table2[GameDate], "&lt;=" &amp; $A115, Table2[AwayTeam], AB$1)+SUMIFS(Table2[NewPointsHome],Table2[GameDate], "&lt;=" &amp; $A115, Table2[HomeTeam], AB$1)</f>
        <v>4</v>
      </c>
      <c r="AC115" s="145">
        <f>SUMIFS(Table2[NewPointsAway],Table2[GameDate], "&lt;=" &amp; $A115, Table2[AwayTeam], AC$1)+SUMIFS(Table2[NewPointsHome],Table2[GameDate], "&lt;=" &amp; $A115, Table2[HomeTeam], AC$1)</f>
        <v>4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6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6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4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2</v>
      </c>
      <c r="E116" s="145">
        <f>SUMIFS(Table2[NewPointsAway],Table2[GameDate], "&lt;=" &amp; $A116, Table2[AwayTeam], E$1)+SUMIFS(Table2[NewPointsHome],Table2[GameDate], "&lt;=" &amp; $A116, Table2[HomeTeam], E$1)</f>
        <v>6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5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6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6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5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3</v>
      </c>
      <c r="AB116" s="145">
        <f>SUMIFS(Table2[NewPointsAway],Table2[GameDate], "&lt;=" &amp; $A116, Table2[AwayTeam], AB$1)+SUMIFS(Table2[NewPointsHome],Table2[GameDate], "&lt;=" &amp; $A116, Table2[HomeTeam], AB$1)</f>
        <v>4</v>
      </c>
      <c r="AC116" s="145">
        <f>SUMIFS(Table2[NewPointsAway],Table2[GameDate], "&lt;=" &amp; $A116, Table2[AwayTeam], AC$1)+SUMIFS(Table2[NewPointsHome],Table2[GameDate], "&lt;=" &amp; $A116, Table2[HomeTeam], AC$1)</f>
        <v>4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6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6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4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2</v>
      </c>
      <c r="E117" s="145">
        <f>SUMIFS(Table2[NewPointsAway],Table2[GameDate], "&lt;=" &amp; $A117, Table2[AwayTeam], E$1)+SUMIFS(Table2[NewPointsHome],Table2[GameDate], "&lt;=" &amp; $A117, Table2[HomeTeam], E$1)</f>
        <v>6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5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6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6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5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3</v>
      </c>
      <c r="AB117" s="145">
        <f>SUMIFS(Table2[NewPointsAway],Table2[GameDate], "&lt;=" &amp; $A117, Table2[AwayTeam], AB$1)+SUMIFS(Table2[NewPointsHome],Table2[GameDate], "&lt;=" &amp; $A117, Table2[HomeTeam], AB$1)</f>
        <v>4</v>
      </c>
      <c r="AC117" s="145">
        <f>SUMIFS(Table2[NewPointsAway],Table2[GameDate], "&lt;=" &amp; $A117, Table2[AwayTeam], AC$1)+SUMIFS(Table2[NewPointsHome],Table2[GameDate], "&lt;=" &amp; $A117, Table2[HomeTeam], AC$1)</f>
        <v>4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6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6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4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2</v>
      </c>
      <c r="E118" s="145">
        <f>SUMIFS(Table2[NewPointsAway],Table2[GameDate], "&lt;=" &amp; $A118, Table2[AwayTeam], E$1)+SUMIFS(Table2[NewPointsHome],Table2[GameDate], "&lt;=" &amp; $A118, Table2[HomeTeam], E$1)</f>
        <v>6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5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6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6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5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3</v>
      </c>
      <c r="AB118" s="145">
        <f>SUMIFS(Table2[NewPointsAway],Table2[GameDate], "&lt;=" &amp; $A118, Table2[AwayTeam], AB$1)+SUMIFS(Table2[NewPointsHome],Table2[GameDate], "&lt;=" &amp; $A118, Table2[HomeTeam], AB$1)</f>
        <v>4</v>
      </c>
      <c r="AC118" s="145">
        <f>SUMIFS(Table2[NewPointsAway],Table2[GameDate], "&lt;=" &amp; $A118, Table2[AwayTeam], AC$1)+SUMIFS(Table2[NewPointsHome],Table2[GameDate], "&lt;=" &amp; $A118, Table2[HomeTeam], AC$1)</f>
        <v>4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6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6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4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2</v>
      </c>
      <c r="E119" s="145">
        <f>SUMIFS(Table2[NewPointsAway],Table2[GameDate], "&lt;=" &amp; $A119, Table2[AwayTeam], E$1)+SUMIFS(Table2[NewPointsHome],Table2[GameDate], "&lt;=" &amp; $A119, Table2[HomeTeam], E$1)</f>
        <v>6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5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6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6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5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3</v>
      </c>
      <c r="AB119" s="145">
        <f>SUMIFS(Table2[NewPointsAway],Table2[GameDate], "&lt;=" &amp; $A119, Table2[AwayTeam], AB$1)+SUMIFS(Table2[NewPointsHome],Table2[GameDate], "&lt;=" &amp; $A119, Table2[HomeTeam], AB$1)</f>
        <v>4</v>
      </c>
      <c r="AC119" s="145">
        <f>SUMIFS(Table2[NewPointsAway],Table2[GameDate], "&lt;=" &amp; $A119, Table2[AwayTeam], AC$1)+SUMIFS(Table2[NewPointsHome],Table2[GameDate], "&lt;=" &amp; $A119, Table2[HomeTeam], AC$1)</f>
        <v>4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6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6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4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2</v>
      </c>
      <c r="E120" s="145">
        <f>SUMIFS(Table2[NewPointsAway],Table2[GameDate], "&lt;=" &amp; $A120, Table2[AwayTeam], E$1)+SUMIFS(Table2[NewPointsHome],Table2[GameDate], "&lt;=" &amp; $A120, Table2[HomeTeam], E$1)</f>
        <v>6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5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6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6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5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3</v>
      </c>
      <c r="AB120" s="145">
        <f>SUMIFS(Table2[NewPointsAway],Table2[GameDate], "&lt;=" &amp; $A120, Table2[AwayTeam], AB$1)+SUMIFS(Table2[NewPointsHome],Table2[GameDate], "&lt;=" &amp; $A120, Table2[HomeTeam], AB$1)</f>
        <v>4</v>
      </c>
      <c r="AC120" s="145">
        <f>SUMIFS(Table2[NewPointsAway],Table2[GameDate], "&lt;=" &amp; $A120, Table2[AwayTeam], AC$1)+SUMIFS(Table2[NewPointsHome],Table2[GameDate], "&lt;=" &amp; $A120, Table2[HomeTeam], AC$1)</f>
        <v>4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6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6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4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2</v>
      </c>
      <c r="E121" s="145">
        <f>SUMIFS(Table2[NewPointsAway],Table2[GameDate], "&lt;=" &amp; $A121, Table2[AwayTeam], E$1)+SUMIFS(Table2[NewPointsHome],Table2[GameDate], "&lt;=" &amp; $A121, Table2[HomeTeam], E$1)</f>
        <v>6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5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6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6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5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3</v>
      </c>
      <c r="AB121" s="145">
        <f>SUMIFS(Table2[NewPointsAway],Table2[GameDate], "&lt;=" &amp; $A121, Table2[AwayTeam], AB$1)+SUMIFS(Table2[NewPointsHome],Table2[GameDate], "&lt;=" &amp; $A121, Table2[HomeTeam], AB$1)</f>
        <v>4</v>
      </c>
      <c r="AC121" s="145">
        <f>SUMIFS(Table2[NewPointsAway],Table2[GameDate], "&lt;=" &amp; $A121, Table2[AwayTeam], AC$1)+SUMIFS(Table2[NewPointsHome],Table2[GameDate], "&lt;=" &amp; $A121, Table2[HomeTeam], AC$1)</f>
        <v>4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6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6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4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2</v>
      </c>
      <c r="E122" s="145">
        <f>SUMIFS(Table2[NewPointsAway],Table2[GameDate], "&lt;=" &amp; $A122, Table2[AwayTeam], E$1)+SUMIFS(Table2[NewPointsHome],Table2[GameDate], "&lt;=" &amp; $A122, Table2[HomeTeam], E$1)</f>
        <v>6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5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6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6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5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3</v>
      </c>
      <c r="AB122" s="145">
        <f>SUMIFS(Table2[NewPointsAway],Table2[GameDate], "&lt;=" &amp; $A122, Table2[AwayTeam], AB$1)+SUMIFS(Table2[NewPointsHome],Table2[GameDate], "&lt;=" &amp; $A122, Table2[HomeTeam], AB$1)</f>
        <v>4</v>
      </c>
      <c r="AC122" s="145">
        <f>SUMIFS(Table2[NewPointsAway],Table2[GameDate], "&lt;=" &amp; $A122, Table2[AwayTeam], AC$1)+SUMIFS(Table2[NewPointsHome],Table2[GameDate], "&lt;=" &amp; $A122, Table2[HomeTeam], AC$1)</f>
        <v>4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6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6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4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2</v>
      </c>
      <c r="E123" s="145">
        <f>SUMIFS(Table2[NewPointsAway],Table2[GameDate], "&lt;=" &amp; $A123, Table2[AwayTeam], E$1)+SUMIFS(Table2[NewPointsHome],Table2[GameDate], "&lt;=" &amp; $A123, Table2[HomeTeam], E$1)</f>
        <v>6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5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6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6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5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3</v>
      </c>
      <c r="AB123" s="145">
        <f>SUMIFS(Table2[NewPointsAway],Table2[GameDate], "&lt;=" &amp; $A123, Table2[AwayTeam], AB$1)+SUMIFS(Table2[NewPointsHome],Table2[GameDate], "&lt;=" &amp; $A123, Table2[HomeTeam], AB$1)</f>
        <v>4</v>
      </c>
      <c r="AC123" s="145">
        <f>SUMIFS(Table2[NewPointsAway],Table2[GameDate], "&lt;=" &amp; $A123, Table2[AwayTeam], AC$1)+SUMIFS(Table2[NewPointsHome],Table2[GameDate], "&lt;=" &amp; $A123, Table2[HomeTeam], AC$1)</f>
        <v>4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6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6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4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2</v>
      </c>
      <c r="E124" s="145">
        <f>SUMIFS(Table2[NewPointsAway],Table2[GameDate], "&lt;=" &amp; $A124, Table2[AwayTeam], E$1)+SUMIFS(Table2[NewPointsHome],Table2[GameDate], "&lt;=" &amp; $A124, Table2[HomeTeam], E$1)</f>
        <v>6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5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6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6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5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3</v>
      </c>
      <c r="AB124" s="145">
        <f>SUMIFS(Table2[NewPointsAway],Table2[GameDate], "&lt;=" &amp; $A124, Table2[AwayTeam], AB$1)+SUMIFS(Table2[NewPointsHome],Table2[GameDate], "&lt;=" &amp; $A124, Table2[HomeTeam], AB$1)</f>
        <v>4</v>
      </c>
      <c r="AC124" s="145">
        <f>SUMIFS(Table2[NewPointsAway],Table2[GameDate], "&lt;=" &amp; $A124, Table2[AwayTeam], AC$1)+SUMIFS(Table2[NewPointsHome],Table2[GameDate], "&lt;=" &amp; $A124, Table2[HomeTeam], AC$1)</f>
        <v>4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6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6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4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2</v>
      </c>
      <c r="E125" s="145">
        <f>SUMIFS(Table2[NewPointsAway],Table2[GameDate], "&lt;=" &amp; $A125, Table2[AwayTeam], E$1)+SUMIFS(Table2[NewPointsHome],Table2[GameDate], "&lt;=" &amp; $A125, Table2[HomeTeam], E$1)</f>
        <v>6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5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6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6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5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3</v>
      </c>
      <c r="AB125" s="145">
        <f>SUMIFS(Table2[NewPointsAway],Table2[GameDate], "&lt;=" &amp; $A125, Table2[AwayTeam], AB$1)+SUMIFS(Table2[NewPointsHome],Table2[GameDate], "&lt;=" &amp; $A125, Table2[HomeTeam], AB$1)</f>
        <v>4</v>
      </c>
      <c r="AC125" s="145">
        <f>SUMIFS(Table2[NewPointsAway],Table2[GameDate], "&lt;=" &amp; $A125, Table2[AwayTeam], AC$1)+SUMIFS(Table2[NewPointsHome],Table2[GameDate], "&lt;=" &amp; $A125, Table2[HomeTeam], AC$1)</f>
        <v>4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6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6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4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2</v>
      </c>
      <c r="E126" s="145">
        <f>SUMIFS(Table2[NewPointsAway],Table2[GameDate], "&lt;=" &amp; $A126, Table2[AwayTeam], E$1)+SUMIFS(Table2[NewPointsHome],Table2[GameDate], "&lt;=" &amp; $A126, Table2[HomeTeam], E$1)</f>
        <v>6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5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6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6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5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3</v>
      </c>
      <c r="AB126" s="145">
        <f>SUMIFS(Table2[NewPointsAway],Table2[GameDate], "&lt;=" &amp; $A126, Table2[AwayTeam], AB$1)+SUMIFS(Table2[NewPointsHome],Table2[GameDate], "&lt;=" &amp; $A126, Table2[HomeTeam], AB$1)</f>
        <v>4</v>
      </c>
      <c r="AC126" s="145">
        <f>SUMIFS(Table2[NewPointsAway],Table2[GameDate], "&lt;=" &amp; $A126, Table2[AwayTeam], AC$1)+SUMIFS(Table2[NewPointsHome],Table2[GameDate], "&lt;=" &amp; $A126, Table2[HomeTeam], AC$1)</f>
        <v>4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6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6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4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2</v>
      </c>
      <c r="E127" s="145">
        <f>SUMIFS(Table2[NewPointsAway],Table2[GameDate], "&lt;=" &amp; $A127, Table2[AwayTeam], E$1)+SUMIFS(Table2[NewPointsHome],Table2[GameDate], "&lt;=" &amp; $A127, Table2[HomeTeam], E$1)</f>
        <v>6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5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6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6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5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3</v>
      </c>
      <c r="AB127" s="145">
        <f>SUMIFS(Table2[NewPointsAway],Table2[GameDate], "&lt;=" &amp; $A127, Table2[AwayTeam], AB$1)+SUMIFS(Table2[NewPointsHome],Table2[GameDate], "&lt;=" &amp; $A127, Table2[HomeTeam], AB$1)</f>
        <v>4</v>
      </c>
      <c r="AC127" s="145">
        <f>SUMIFS(Table2[NewPointsAway],Table2[GameDate], "&lt;=" &amp; $A127, Table2[AwayTeam], AC$1)+SUMIFS(Table2[NewPointsHome],Table2[GameDate], "&lt;=" &amp; $A127, Table2[HomeTeam], AC$1)</f>
        <v>4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6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6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4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2</v>
      </c>
      <c r="E128" s="145">
        <f>SUMIFS(Table2[NewPointsAway],Table2[GameDate], "&lt;=" &amp; $A128, Table2[AwayTeam], E$1)+SUMIFS(Table2[NewPointsHome],Table2[GameDate], "&lt;=" &amp; $A128, Table2[HomeTeam], E$1)</f>
        <v>6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5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6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6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5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3</v>
      </c>
      <c r="AB128" s="145">
        <f>SUMIFS(Table2[NewPointsAway],Table2[GameDate], "&lt;=" &amp; $A128, Table2[AwayTeam], AB$1)+SUMIFS(Table2[NewPointsHome],Table2[GameDate], "&lt;=" &amp; $A128, Table2[HomeTeam], AB$1)</f>
        <v>4</v>
      </c>
      <c r="AC128" s="145">
        <f>SUMIFS(Table2[NewPointsAway],Table2[GameDate], "&lt;=" &amp; $A128, Table2[AwayTeam], AC$1)+SUMIFS(Table2[NewPointsHome],Table2[GameDate], "&lt;=" &amp; $A128, Table2[HomeTeam], AC$1)</f>
        <v>4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6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6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4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2</v>
      </c>
      <c r="E129" s="145">
        <f>SUMIFS(Table2[NewPointsAway],Table2[GameDate], "&lt;=" &amp; $A129, Table2[AwayTeam], E$1)+SUMIFS(Table2[NewPointsHome],Table2[GameDate], "&lt;=" &amp; $A129, Table2[HomeTeam], E$1)</f>
        <v>6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5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6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6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5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3</v>
      </c>
      <c r="AB129" s="145">
        <f>SUMIFS(Table2[NewPointsAway],Table2[GameDate], "&lt;=" &amp; $A129, Table2[AwayTeam], AB$1)+SUMIFS(Table2[NewPointsHome],Table2[GameDate], "&lt;=" &amp; $A129, Table2[HomeTeam], AB$1)</f>
        <v>4</v>
      </c>
      <c r="AC129" s="145">
        <f>SUMIFS(Table2[NewPointsAway],Table2[GameDate], "&lt;=" &amp; $A129, Table2[AwayTeam], AC$1)+SUMIFS(Table2[NewPointsHome],Table2[GameDate], "&lt;=" &amp; $A129, Table2[HomeTeam], AC$1)</f>
        <v>4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6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6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4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2</v>
      </c>
      <c r="E130" s="145">
        <f>SUMIFS(Table2[NewPointsAway],Table2[GameDate], "&lt;=" &amp; $A130, Table2[AwayTeam], E$1)+SUMIFS(Table2[NewPointsHome],Table2[GameDate], "&lt;=" &amp; $A130, Table2[HomeTeam], E$1)</f>
        <v>6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5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6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6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5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3</v>
      </c>
      <c r="AB130" s="145">
        <f>SUMIFS(Table2[NewPointsAway],Table2[GameDate], "&lt;=" &amp; $A130, Table2[AwayTeam], AB$1)+SUMIFS(Table2[NewPointsHome],Table2[GameDate], "&lt;=" &amp; $A130, Table2[HomeTeam], AB$1)</f>
        <v>4</v>
      </c>
      <c r="AC130" s="145">
        <f>SUMIFS(Table2[NewPointsAway],Table2[GameDate], "&lt;=" &amp; $A130, Table2[AwayTeam], AC$1)+SUMIFS(Table2[NewPointsHome],Table2[GameDate], "&lt;=" &amp; $A130, Table2[HomeTeam], AC$1)</f>
        <v>4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6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6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4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2</v>
      </c>
      <c r="E131" s="145">
        <f>SUMIFS(Table2[NewPointsAway],Table2[GameDate], "&lt;=" &amp; $A131, Table2[AwayTeam], E$1)+SUMIFS(Table2[NewPointsHome],Table2[GameDate], "&lt;=" &amp; $A131, Table2[HomeTeam], E$1)</f>
        <v>6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5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6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6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5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3</v>
      </c>
      <c r="AB131" s="145">
        <f>SUMIFS(Table2[NewPointsAway],Table2[GameDate], "&lt;=" &amp; $A131, Table2[AwayTeam], AB$1)+SUMIFS(Table2[NewPointsHome],Table2[GameDate], "&lt;=" &amp; $A131, Table2[HomeTeam], AB$1)</f>
        <v>4</v>
      </c>
      <c r="AC131" s="145">
        <f>SUMIFS(Table2[NewPointsAway],Table2[GameDate], "&lt;=" &amp; $A131, Table2[AwayTeam], AC$1)+SUMIFS(Table2[NewPointsHome],Table2[GameDate], "&lt;=" &amp; $A131, Table2[HomeTeam], AC$1)</f>
        <v>4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6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6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4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2</v>
      </c>
      <c r="E132" s="145">
        <f>SUMIFS(Table2[NewPointsAway],Table2[GameDate], "&lt;=" &amp; $A132, Table2[AwayTeam], E$1)+SUMIFS(Table2[NewPointsHome],Table2[GameDate], "&lt;=" &amp; $A132, Table2[HomeTeam], E$1)</f>
        <v>6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5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6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6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5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3</v>
      </c>
      <c r="AB132" s="145">
        <f>SUMIFS(Table2[NewPointsAway],Table2[GameDate], "&lt;=" &amp; $A132, Table2[AwayTeam], AB$1)+SUMIFS(Table2[NewPointsHome],Table2[GameDate], "&lt;=" &amp; $A132, Table2[HomeTeam], AB$1)</f>
        <v>4</v>
      </c>
      <c r="AC132" s="145">
        <f>SUMIFS(Table2[NewPointsAway],Table2[GameDate], "&lt;=" &amp; $A132, Table2[AwayTeam], AC$1)+SUMIFS(Table2[NewPointsHome],Table2[GameDate], "&lt;=" &amp; $A132, Table2[HomeTeam], AC$1)</f>
        <v>4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6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6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4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2</v>
      </c>
      <c r="E133" s="145">
        <f>SUMIFS(Table2[NewPointsAway],Table2[GameDate], "&lt;=" &amp; $A133, Table2[AwayTeam], E$1)+SUMIFS(Table2[NewPointsHome],Table2[GameDate], "&lt;=" &amp; $A133, Table2[HomeTeam], E$1)</f>
        <v>6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5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6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6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5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3</v>
      </c>
      <c r="AB133" s="145">
        <f>SUMIFS(Table2[NewPointsAway],Table2[GameDate], "&lt;=" &amp; $A133, Table2[AwayTeam], AB$1)+SUMIFS(Table2[NewPointsHome],Table2[GameDate], "&lt;=" &amp; $A133, Table2[HomeTeam], AB$1)</f>
        <v>4</v>
      </c>
      <c r="AC133" s="145">
        <f>SUMIFS(Table2[NewPointsAway],Table2[GameDate], "&lt;=" &amp; $A133, Table2[AwayTeam], AC$1)+SUMIFS(Table2[NewPointsHome],Table2[GameDate], "&lt;=" &amp; $A133, Table2[HomeTeam], AC$1)</f>
        <v>4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6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6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4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2</v>
      </c>
      <c r="E134" s="145">
        <f>SUMIFS(Table2[NewPointsAway],Table2[GameDate], "&lt;=" &amp; $A134, Table2[AwayTeam], E$1)+SUMIFS(Table2[NewPointsHome],Table2[GameDate], "&lt;=" &amp; $A134, Table2[HomeTeam], E$1)</f>
        <v>6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5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6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6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5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3</v>
      </c>
      <c r="AB134" s="145">
        <f>SUMIFS(Table2[NewPointsAway],Table2[GameDate], "&lt;=" &amp; $A134, Table2[AwayTeam], AB$1)+SUMIFS(Table2[NewPointsHome],Table2[GameDate], "&lt;=" &amp; $A134, Table2[HomeTeam], AB$1)</f>
        <v>4</v>
      </c>
      <c r="AC134" s="145">
        <f>SUMIFS(Table2[NewPointsAway],Table2[GameDate], "&lt;=" &amp; $A134, Table2[AwayTeam], AC$1)+SUMIFS(Table2[NewPointsHome],Table2[GameDate], "&lt;=" &amp; $A134, Table2[HomeTeam], AC$1)</f>
        <v>4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6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6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4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2</v>
      </c>
      <c r="E135" s="145">
        <f>SUMIFS(Table2[NewPointsAway],Table2[GameDate], "&lt;=" &amp; $A135, Table2[AwayTeam], E$1)+SUMIFS(Table2[NewPointsHome],Table2[GameDate], "&lt;=" &amp; $A135, Table2[HomeTeam], E$1)</f>
        <v>6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5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6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6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5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3</v>
      </c>
      <c r="AB135" s="145">
        <f>SUMIFS(Table2[NewPointsAway],Table2[GameDate], "&lt;=" &amp; $A135, Table2[AwayTeam], AB$1)+SUMIFS(Table2[NewPointsHome],Table2[GameDate], "&lt;=" &amp; $A135, Table2[HomeTeam], AB$1)</f>
        <v>4</v>
      </c>
      <c r="AC135" s="145">
        <f>SUMIFS(Table2[NewPointsAway],Table2[GameDate], "&lt;=" &amp; $A135, Table2[AwayTeam], AC$1)+SUMIFS(Table2[NewPointsHome],Table2[GameDate], "&lt;=" &amp; $A135, Table2[HomeTeam], AC$1)</f>
        <v>4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6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6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4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2</v>
      </c>
      <c r="E136" s="145">
        <f>SUMIFS(Table2[NewPointsAway],Table2[GameDate], "&lt;=" &amp; $A136, Table2[AwayTeam], E$1)+SUMIFS(Table2[NewPointsHome],Table2[GameDate], "&lt;=" &amp; $A136, Table2[HomeTeam], E$1)</f>
        <v>6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5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6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6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5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3</v>
      </c>
      <c r="AB136" s="145">
        <f>SUMIFS(Table2[NewPointsAway],Table2[GameDate], "&lt;=" &amp; $A136, Table2[AwayTeam], AB$1)+SUMIFS(Table2[NewPointsHome],Table2[GameDate], "&lt;=" &amp; $A136, Table2[HomeTeam], AB$1)</f>
        <v>4</v>
      </c>
      <c r="AC136" s="145">
        <f>SUMIFS(Table2[NewPointsAway],Table2[GameDate], "&lt;=" &amp; $A136, Table2[AwayTeam], AC$1)+SUMIFS(Table2[NewPointsHome],Table2[GameDate], "&lt;=" &amp; $A136, Table2[HomeTeam], AC$1)</f>
        <v>4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6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6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4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2</v>
      </c>
      <c r="E137" s="145">
        <f>SUMIFS(Table2[NewPointsAway],Table2[GameDate], "&lt;=" &amp; $A137, Table2[AwayTeam], E$1)+SUMIFS(Table2[NewPointsHome],Table2[GameDate], "&lt;=" &amp; $A137, Table2[HomeTeam], E$1)</f>
        <v>6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5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6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6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5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3</v>
      </c>
      <c r="AB137" s="145">
        <f>SUMIFS(Table2[NewPointsAway],Table2[GameDate], "&lt;=" &amp; $A137, Table2[AwayTeam], AB$1)+SUMIFS(Table2[NewPointsHome],Table2[GameDate], "&lt;=" &amp; $A137, Table2[HomeTeam], AB$1)</f>
        <v>4</v>
      </c>
      <c r="AC137" s="145">
        <f>SUMIFS(Table2[NewPointsAway],Table2[GameDate], "&lt;=" &amp; $A137, Table2[AwayTeam], AC$1)+SUMIFS(Table2[NewPointsHome],Table2[GameDate], "&lt;=" &amp; $A137, Table2[HomeTeam], AC$1)</f>
        <v>4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6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6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4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2</v>
      </c>
      <c r="E138" s="145">
        <f>SUMIFS(Table2[NewPointsAway],Table2[GameDate], "&lt;=" &amp; $A138, Table2[AwayTeam], E$1)+SUMIFS(Table2[NewPointsHome],Table2[GameDate], "&lt;=" &amp; $A138, Table2[HomeTeam], E$1)</f>
        <v>6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5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6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6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5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3</v>
      </c>
      <c r="AB138" s="145">
        <f>SUMIFS(Table2[NewPointsAway],Table2[GameDate], "&lt;=" &amp; $A138, Table2[AwayTeam], AB$1)+SUMIFS(Table2[NewPointsHome],Table2[GameDate], "&lt;=" &amp; $A138, Table2[HomeTeam], AB$1)</f>
        <v>4</v>
      </c>
      <c r="AC138" s="145">
        <f>SUMIFS(Table2[NewPointsAway],Table2[GameDate], "&lt;=" &amp; $A138, Table2[AwayTeam], AC$1)+SUMIFS(Table2[NewPointsHome],Table2[GameDate], "&lt;=" &amp; $A138, Table2[HomeTeam], AC$1)</f>
        <v>4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6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6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4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2</v>
      </c>
      <c r="E139" s="145">
        <f>SUMIFS(Table2[NewPointsAway],Table2[GameDate], "&lt;=" &amp; $A139, Table2[AwayTeam], E$1)+SUMIFS(Table2[NewPointsHome],Table2[GameDate], "&lt;=" &amp; $A139, Table2[HomeTeam], E$1)</f>
        <v>6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5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6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6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5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3</v>
      </c>
      <c r="AB139" s="145">
        <f>SUMIFS(Table2[NewPointsAway],Table2[GameDate], "&lt;=" &amp; $A139, Table2[AwayTeam], AB$1)+SUMIFS(Table2[NewPointsHome],Table2[GameDate], "&lt;=" &amp; $A139, Table2[HomeTeam], AB$1)</f>
        <v>4</v>
      </c>
      <c r="AC139" s="145">
        <f>SUMIFS(Table2[NewPointsAway],Table2[GameDate], "&lt;=" &amp; $A139, Table2[AwayTeam], AC$1)+SUMIFS(Table2[NewPointsHome],Table2[GameDate], "&lt;=" &amp; $A139, Table2[HomeTeam], AC$1)</f>
        <v>4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6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6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4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2</v>
      </c>
      <c r="E140" s="145">
        <f>SUMIFS(Table2[NewPointsAway],Table2[GameDate], "&lt;=" &amp; $A140, Table2[AwayTeam], E$1)+SUMIFS(Table2[NewPointsHome],Table2[GameDate], "&lt;=" &amp; $A140, Table2[HomeTeam], E$1)</f>
        <v>6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5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6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6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5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3</v>
      </c>
      <c r="AB140" s="145">
        <f>SUMIFS(Table2[NewPointsAway],Table2[GameDate], "&lt;=" &amp; $A140, Table2[AwayTeam], AB$1)+SUMIFS(Table2[NewPointsHome],Table2[GameDate], "&lt;=" &amp; $A140, Table2[HomeTeam], AB$1)</f>
        <v>4</v>
      </c>
      <c r="AC140" s="145">
        <f>SUMIFS(Table2[NewPointsAway],Table2[GameDate], "&lt;=" &amp; $A140, Table2[AwayTeam], AC$1)+SUMIFS(Table2[NewPointsHome],Table2[GameDate], "&lt;=" &amp; $A140, Table2[HomeTeam], AC$1)</f>
        <v>4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6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6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4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2</v>
      </c>
      <c r="E141" s="145">
        <f>SUMIFS(Table2[NewPointsAway],Table2[GameDate], "&lt;=" &amp; $A141, Table2[AwayTeam], E$1)+SUMIFS(Table2[NewPointsHome],Table2[GameDate], "&lt;=" &amp; $A141, Table2[HomeTeam], E$1)</f>
        <v>6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5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6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6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5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3</v>
      </c>
      <c r="AB141" s="145">
        <f>SUMIFS(Table2[NewPointsAway],Table2[GameDate], "&lt;=" &amp; $A141, Table2[AwayTeam], AB$1)+SUMIFS(Table2[NewPointsHome],Table2[GameDate], "&lt;=" &amp; $A141, Table2[HomeTeam], AB$1)</f>
        <v>4</v>
      </c>
      <c r="AC141" s="145">
        <f>SUMIFS(Table2[NewPointsAway],Table2[GameDate], "&lt;=" &amp; $A141, Table2[AwayTeam], AC$1)+SUMIFS(Table2[NewPointsHome],Table2[GameDate], "&lt;=" &amp; $A141, Table2[HomeTeam], AC$1)</f>
        <v>4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6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6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4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2</v>
      </c>
      <c r="E142" s="145">
        <f>SUMIFS(Table2[NewPointsAway],Table2[GameDate], "&lt;=" &amp; $A142, Table2[AwayTeam], E$1)+SUMIFS(Table2[NewPointsHome],Table2[GameDate], "&lt;=" &amp; $A142, Table2[HomeTeam], E$1)</f>
        <v>6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5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6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6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5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3</v>
      </c>
      <c r="AB142" s="145">
        <f>SUMIFS(Table2[NewPointsAway],Table2[GameDate], "&lt;=" &amp; $A142, Table2[AwayTeam], AB$1)+SUMIFS(Table2[NewPointsHome],Table2[GameDate], "&lt;=" &amp; $A142, Table2[HomeTeam], AB$1)</f>
        <v>4</v>
      </c>
      <c r="AC142" s="145">
        <f>SUMIFS(Table2[NewPointsAway],Table2[GameDate], "&lt;=" &amp; $A142, Table2[AwayTeam], AC$1)+SUMIFS(Table2[NewPointsHome],Table2[GameDate], "&lt;=" &amp; $A142, Table2[HomeTeam], AC$1)</f>
        <v>4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6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6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4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2</v>
      </c>
      <c r="E143" s="145">
        <f>SUMIFS(Table2[NewPointsAway],Table2[GameDate], "&lt;=" &amp; $A143, Table2[AwayTeam], E$1)+SUMIFS(Table2[NewPointsHome],Table2[GameDate], "&lt;=" &amp; $A143, Table2[HomeTeam], E$1)</f>
        <v>6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5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6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6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5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3</v>
      </c>
      <c r="AB143" s="145">
        <f>SUMIFS(Table2[NewPointsAway],Table2[GameDate], "&lt;=" &amp; $A143, Table2[AwayTeam], AB$1)+SUMIFS(Table2[NewPointsHome],Table2[GameDate], "&lt;=" &amp; $A143, Table2[HomeTeam], AB$1)</f>
        <v>4</v>
      </c>
      <c r="AC143" s="145">
        <f>SUMIFS(Table2[NewPointsAway],Table2[GameDate], "&lt;=" &amp; $A143, Table2[AwayTeam], AC$1)+SUMIFS(Table2[NewPointsHome],Table2[GameDate], "&lt;=" &amp; $A143, Table2[HomeTeam], AC$1)</f>
        <v>4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6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6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4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2</v>
      </c>
      <c r="E144" s="145">
        <f>SUMIFS(Table2[NewPointsAway],Table2[GameDate], "&lt;=" &amp; $A144, Table2[AwayTeam], E$1)+SUMIFS(Table2[NewPointsHome],Table2[GameDate], "&lt;=" &amp; $A144, Table2[HomeTeam], E$1)</f>
        <v>6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5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6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6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5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3</v>
      </c>
      <c r="AB144" s="145">
        <f>SUMIFS(Table2[NewPointsAway],Table2[GameDate], "&lt;=" &amp; $A144, Table2[AwayTeam], AB$1)+SUMIFS(Table2[NewPointsHome],Table2[GameDate], "&lt;=" &amp; $A144, Table2[HomeTeam], AB$1)</f>
        <v>4</v>
      </c>
      <c r="AC144" s="145">
        <f>SUMIFS(Table2[NewPointsAway],Table2[GameDate], "&lt;=" &amp; $A144, Table2[AwayTeam], AC$1)+SUMIFS(Table2[NewPointsHome],Table2[GameDate], "&lt;=" &amp; $A144, Table2[HomeTeam], AC$1)</f>
        <v>4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6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6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4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2</v>
      </c>
      <c r="E145" s="145">
        <f>SUMIFS(Table2[NewPointsAway],Table2[GameDate], "&lt;=" &amp; $A145, Table2[AwayTeam], E$1)+SUMIFS(Table2[NewPointsHome],Table2[GameDate], "&lt;=" &amp; $A145, Table2[HomeTeam], E$1)</f>
        <v>6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5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6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6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5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3</v>
      </c>
      <c r="AB145" s="145">
        <f>SUMIFS(Table2[NewPointsAway],Table2[GameDate], "&lt;=" &amp; $A145, Table2[AwayTeam], AB$1)+SUMIFS(Table2[NewPointsHome],Table2[GameDate], "&lt;=" &amp; $A145, Table2[HomeTeam], AB$1)</f>
        <v>4</v>
      </c>
      <c r="AC145" s="145">
        <f>SUMIFS(Table2[NewPointsAway],Table2[GameDate], "&lt;=" &amp; $A145, Table2[AwayTeam], AC$1)+SUMIFS(Table2[NewPointsHome],Table2[GameDate], "&lt;=" &amp; $A145, Table2[HomeTeam], AC$1)</f>
        <v>4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6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6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4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2</v>
      </c>
      <c r="E146" s="145">
        <f>SUMIFS(Table2[NewPointsAway],Table2[GameDate], "&lt;=" &amp; $A146, Table2[AwayTeam], E$1)+SUMIFS(Table2[NewPointsHome],Table2[GameDate], "&lt;=" &amp; $A146, Table2[HomeTeam], E$1)</f>
        <v>6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5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6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6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5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3</v>
      </c>
      <c r="AB146" s="145">
        <f>SUMIFS(Table2[NewPointsAway],Table2[GameDate], "&lt;=" &amp; $A146, Table2[AwayTeam], AB$1)+SUMIFS(Table2[NewPointsHome],Table2[GameDate], "&lt;=" &amp; $A146, Table2[HomeTeam], AB$1)</f>
        <v>4</v>
      </c>
      <c r="AC146" s="145">
        <f>SUMIFS(Table2[NewPointsAway],Table2[GameDate], "&lt;=" &amp; $A146, Table2[AwayTeam], AC$1)+SUMIFS(Table2[NewPointsHome],Table2[GameDate], "&lt;=" &amp; $A146, Table2[HomeTeam], AC$1)</f>
        <v>4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6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6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4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2</v>
      </c>
      <c r="E147" s="145">
        <f>SUMIFS(Table2[NewPointsAway],Table2[GameDate], "&lt;=" &amp; $A147, Table2[AwayTeam], E$1)+SUMIFS(Table2[NewPointsHome],Table2[GameDate], "&lt;=" &amp; $A147, Table2[HomeTeam], E$1)</f>
        <v>6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5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6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6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5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3</v>
      </c>
      <c r="AB147" s="145">
        <f>SUMIFS(Table2[NewPointsAway],Table2[GameDate], "&lt;=" &amp; $A147, Table2[AwayTeam], AB$1)+SUMIFS(Table2[NewPointsHome],Table2[GameDate], "&lt;=" &amp; $A147, Table2[HomeTeam], AB$1)</f>
        <v>4</v>
      </c>
      <c r="AC147" s="145">
        <f>SUMIFS(Table2[NewPointsAway],Table2[GameDate], "&lt;=" &amp; $A147, Table2[AwayTeam], AC$1)+SUMIFS(Table2[NewPointsHome],Table2[GameDate], "&lt;=" &amp; $A147, Table2[HomeTeam], AC$1)</f>
        <v>4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6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6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4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2</v>
      </c>
      <c r="E148" s="145">
        <f>SUMIFS(Table2[NewPointsAway],Table2[GameDate], "&lt;=" &amp; $A148, Table2[AwayTeam], E$1)+SUMIFS(Table2[NewPointsHome],Table2[GameDate], "&lt;=" &amp; $A148, Table2[HomeTeam], E$1)</f>
        <v>6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5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6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6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5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3</v>
      </c>
      <c r="AB148" s="145">
        <f>SUMIFS(Table2[NewPointsAway],Table2[GameDate], "&lt;=" &amp; $A148, Table2[AwayTeam], AB$1)+SUMIFS(Table2[NewPointsHome],Table2[GameDate], "&lt;=" &amp; $A148, Table2[HomeTeam], AB$1)</f>
        <v>4</v>
      </c>
      <c r="AC148" s="145">
        <f>SUMIFS(Table2[NewPointsAway],Table2[GameDate], "&lt;=" &amp; $A148, Table2[AwayTeam], AC$1)+SUMIFS(Table2[NewPointsHome],Table2[GameDate], "&lt;=" &amp; $A148, Table2[HomeTeam], AC$1)</f>
        <v>4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6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6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4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2</v>
      </c>
      <c r="E149" s="145">
        <f>SUMIFS(Table2[NewPointsAway],Table2[GameDate], "&lt;=" &amp; $A149, Table2[AwayTeam], E$1)+SUMIFS(Table2[NewPointsHome],Table2[GameDate], "&lt;=" &amp; $A149, Table2[HomeTeam], E$1)</f>
        <v>6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5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6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6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5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3</v>
      </c>
      <c r="AB149" s="145">
        <f>SUMIFS(Table2[NewPointsAway],Table2[GameDate], "&lt;=" &amp; $A149, Table2[AwayTeam], AB$1)+SUMIFS(Table2[NewPointsHome],Table2[GameDate], "&lt;=" &amp; $A149, Table2[HomeTeam], AB$1)</f>
        <v>4</v>
      </c>
      <c r="AC149" s="145">
        <f>SUMIFS(Table2[NewPointsAway],Table2[GameDate], "&lt;=" &amp; $A149, Table2[AwayTeam], AC$1)+SUMIFS(Table2[NewPointsHome],Table2[GameDate], "&lt;=" &amp; $A149, Table2[HomeTeam], AC$1)</f>
        <v>4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6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6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4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2</v>
      </c>
      <c r="E150" s="145">
        <f>SUMIFS(Table2[NewPointsAway],Table2[GameDate], "&lt;=" &amp; $A150, Table2[AwayTeam], E$1)+SUMIFS(Table2[NewPointsHome],Table2[GameDate], "&lt;=" &amp; $A150, Table2[HomeTeam], E$1)</f>
        <v>6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5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6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6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5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3</v>
      </c>
      <c r="AB150" s="145">
        <f>SUMIFS(Table2[NewPointsAway],Table2[GameDate], "&lt;=" &amp; $A150, Table2[AwayTeam], AB$1)+SUMIFS(Table2[NewPointsHome],Table2[GameDate], "&lt;=" &amp; $A150, Table2[HomeTeam], AB$1)</f>
        <v>4</v>
      </c>
      <c r="AC150" s="145">
        <f>SUMIFS(Table2[NewPointsAway],Table2[GameDate], "&lt;=" &amp; $A150, Table2[AwayTeam], AC$1)+SUMIFS(Table2[NewPointsHome],Table2[GameDate], "&lt;=" &amp; $A150, Table2[HomeTeam], AC$1)</f>
        <v>4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6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6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4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2</v>
      </c>
      <c r="E151" s="145">
        <f>SUMIFS(Table2[NewPointsAway],Table2[GameDate], "&lt;=" &amp; $A151, Table2[AwayTeam], E$1)+SUMIFS(Table2[NewPointsHome],Table2[GameDate], "&lt;=" &amp; $A151, Table2[HomeTeam], E$1)</f>
        <v>6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5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6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6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5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3</v>
      </c>
      <c r="AB151" s="145">
        <f>SUMIFS(Table2[NewPointsAway],Table2[GameDate], "&lt;=" &amp; $A151, Table2[AwayTeam], AB$1)+SUMIFS(Table2[NewPointsHome],Table2[GameDate], "&lt;=" &amp; $A151, Table2[HomeTeam], AB$1)</f>
        <v>4</v>
      </c>
      <c r="AC151" s="145">
        <f>SUMIFS(Table2[NewPointsAway],Table2[GameDate], "&lt;=" &amp; $A151, Table2[AwayTeam], AC$1)+SUMIFS(Table2[NewPointsHome],Table2[GameDate], "&lt;=" &amp; $A151, Table2[HomeTeam], AC$1)</f>
        <v>4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6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6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4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2</v>
      </c>
      <c r="E152" s="145">
        <f>SUMIFS(Table2[NewPointsAway],Table2[GameDate], "&lt;=" &amp; $A152, Table2[AwayTeam], E$1)+SUMIFS(Table2[NewPointsHome],Table2[GameDate], "&lt;=" &amp; $A152, Table2[HomeTeam], E$1)</f>
        <v>6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5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6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6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5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3</v>
      </c>
      <c r="AB152" s="145">
        <f>SUMIFS(Table2[NewPointsAway],Table2[GameDate], "&lt;=" &amp; $A152, Table2[AwayTeam], AB$1)+SUMIFS(Table2[NewPointsHome],Table2[GameDate], "&lt;=" &amp; $A152, Table2[HomeTeam], AB$1)</f>
        <v>4</v>
      </c>
      <c r="AC152" s="145">
        <f>SUMIFS(Table2[NewPointsAway],Table2[GameDate], "&lt;=" &amp; $A152, Table2[AwayTeam], AC$1)+SUMIFS(Table2[NewPointsHome],Table2[GameDate], "&lt;=" &amp; $A152, Table2[HomeTeam], AC$1)</f>
        <v>4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6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6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4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2</v>
      </c>
      <c r="E153" s="145">
        <f>SUMIFS(Table2[NewPointsAway],Table2[GameDate], "&lt;=" &amp; $A153, Table2[AwayTeam], E$1)+SUMIFS(Table2[NewPointsHome],Table2[GameDate], "&lt;=" &amp; $A153, Table2[HomeTeam], E$1)</f>
        <v>6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5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6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6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5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3</v>
      </c>
      <c r="AB153" s="145">
        <f>SUMIFS(Table2[NewPointsAway],Table2[GameDate], "&lt;=" &amp; $A153, Table2[AwayTeam], AB$1)+SUMIFS(Table2[NewPointsHome],Table2[GameDate], "&lt;=" &amp; $A153, Table2[HomeTeam], AB$1)</f>
        <v>4</v>
      </c>
      <c r="AC153" s="145">
        <f>SUMIFS(Table2[NewPointsAway],Table2[GameDate], "&lt;=" &amp; $A153, Table2[AwayTeam], AC$1)+SUMIFS(Table2[NewPointsHome],Table2[GameDate], "&lt;=" &amp; $A153, Table2[HomeTeam], AC$1)</f>
        <v>4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6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6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4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2</v>
      </c>
      <c r="E154" s="145">
        <f>SUMIFS(Table2[NewPointsAway],Table2[GameDate], "&lt;=" &amp; $A154, Table2[AwayTeam], E$1)+SUMIFS(Table2[NewPointsHome],Table2[GameDate], "&lt;=" &amp; $A154, Table2[HomeTeam], E$1)</f>
        <v>6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5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6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6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5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3</v>
      </c>
      <c r="AB154" s="145">
        <f>SUMIFS(Table2[NewPointsAway],Table2[GameDate], "&lt;=" &amp; $A154, Table2[AwayTeam], AB$1)+SUMIFS(Table2[NewPointsHome],Table2[GameDate], "&lt;=" &amp; $A154, Table2[HomeTeam], AB$1)</f>
        <v>4</v>
      </c>
      <c r="AC154" s="145">
        <f>SUMIFS(Table2[NewPointsAway],Table2[GameDate], "&lt;=" &amp; $A154, Table2[AwayTeam], AC$1)+SUMIFS(Table2[NewPointsHome],Table2[GameDate], "&lt;=" &amp; $A154, Table2[HomeTeam], AC$1)</f>
        <v>4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6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6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4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2</v>
      </c>
      <c r="E155" s="145">
        <f>SUMIFS(Table2[NewPointsAway],Table2[GameDate], "&lt;=" &amp; $A155, Table2[AwayTeam], E$1)+SUMIFS(Table2[NewPointsHome],Table2[GameDate], "&lt;=" &amp; $A155, Table2[HomeTeam], E$1)</f>
        <v>6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5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6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6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5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3</v>
      </c>
      <c r="AB155" s="145">
        <f>SUMIFS(Table2[NewPointsAway],Table2[GameDate], "&lt;=" &amp; $A155, Table2[AwayTeam], AB$1)+SUMIFS(Table2[NewPointsHome],Table2[GameDate], "&lt;=" &amp; $A155, Table2[HomeTeam], AB$1)</f>
        <v>4</v>
      </c>
      <c r="AC155" s="145">
        <f>SUMIFS(Table2[NewPointsAway],Table2[GameDate], "&lt;=" &amp; $A155, Table2[AwayTeam], AC$1)+SUMIFS(Table2[NewPointsHome],Table2[GameDate], "&lt;=" &amp; $A155, Table2[HomeTeam], AC$1)</f>
        <v>4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6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6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4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2</v>
      </c>
      <c r="E156" s="145">
        <f>SUMIFS(Table2[NewPointsAway],Table2[GameDate], "&lt;=" &amp; $A156, Table2[AwayTeam], E$1)+SUMIFS(Table2[NewPointsHome],Table2[GameDate], "&lt;=" &amp; $A156, Table2[HomeTeam], E$1)</f>
        <v>6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5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6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6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5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3</v>
      </c>
      <c r="AB156" s="145">
        <f>SUMIFS(Table2[NewPointsAway],Table2[GameDate], "&lt;=" &amp; $A156, Table2[AwayTeam], AB$1)+SUMIFS(Table2[NewPointsHome],Table2[GameDate], "&lt;=" &amp; $A156, Table2[HomeTeam], AB$1)</f>
        <v>4</v>
      </c>
      <c r="AC156" s="145">
        <f>SUMIFS(Table2[NewPointsAway],Table2[GameDate], "&lt;=" &amp; $A156, Table2[AwayTeam], AC$1)+SUMIFS(Table2[NewPointsHome],Table2[GameDate], "&lt;=" &amp; $A156, Table2[HomeTeam], AC$1)</f>
        <v>4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6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6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4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2</v>
      </c>
      <c r="E157" s="145">
        <f>SUMIFS(Table2[NewPointsAway],Table2[GameDate], "&lt;=" &amp; $A157, Table2[AwayTeam], E$1)+SUMIFS(Table2[NewPointsHome],Table2[GameDate], "&lt;=" &amp; $A157, Table2[HomeTeam], E$1)</f>
        <v>6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5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6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6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5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3</v>
      </c>
      <c r="AB157" s="145">
        <f>SUMIFS(Table2[NewPointsAway],Table2[GameDate], "&lt;=" &amp; $A157, Table2[AwayTeam], AB$1)+SUMIFS(Table2[NewPointsHome],Table2[GameDate], "&lt;=" &amp; $A157, Table2[HomeTeam], AB$1)</f>
        <v>4</v>
      </c>
      <c r="AC157" s="145">
        <f>SUMIFS(Table2[NewPointsAway],Table2[GameDate], "&lt;=" &amp; $A157, Table2[AwayTeam], AC$1)+SUMIFS(Table2[NewPointsHome],Table2[GameDate], "&lt;=" &amp; $A157, Table2[HomeTeam], AC$1)</f>
        <v>4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6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6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4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2</v>
      </c>
      <c r="E158" s="145">
        <f>SUMIFS(Table2[NewPointsAway],Table2[GameDate], "&lt;=" &amp; $A158, Table2[AwayTeam], E$1)+SUMIFS(Table2[NewPointsHome],Table2[GameDate], "&lt;=" &amp; $A158, Table2[HomeTeam], E$1)</f>
        <v>6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5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6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6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5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3</v>
      </c>
      <c r="AB158" s="145">
        <f>SUMIFS(Table2[NewPointsAway],Table2[GameDate], "&lt;=" &amp; $A158, Table2[AwayTeam], AB$1)+SUMIFS(Table2[NewPointsHome],Table2[GameDate], "&lt;=" &amp; $A158, Table2[HomeTeam], AB$1)</f>
        <v>4</v>
      </c>
      <c r="AC158" s="145">
        <f>SUMIFS(Table2[NewPointsAway],Table2[GameDate], "&lt;=" &amp; $A158, Table2[AwayTeam], AC$1)+SUMIFS(Table2[NewPointsHome],Table2[GameDate], "&lt;=" &amp; $A158, Table2[HomeTeam], AC$1)</f>
        <v>4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6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6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4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2</v>
      </c>
      <c r="E159" s="145">
        <f>SUMIFS(Table2[NewPointsAway],Table2[GameDate], "&lt;=" &amp; $A159, Table2[AwayTeam], E$1)+SUMIFS(Table2[NewPointsHome],Table2[GameDate], "&lt;=" &amp; $A159, Table2[HomeTeam], E$1)</f>
        <v>6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5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6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6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5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3</v>
      </c>
      <c r="AB159" s="145">
        <f>SUMIFS(Table2[NewPointsAway],Table2[GameDate], "&lt;=" &amp; $A159, Table2[AwayTeam], AB$1)+SUMIFS(Table2[NewPointsHome],Table2[GameDate], "&lt;=" &amp; $A159, Table2[HomeTeam], AB$1)</f>
        <v>4</v>
      </c>
      <c r="AC159" s="145">
        <f>SUMIFS(Table2[NewPointsAway],Table2[GameDate], "&lt;=" &amp; $A159, Table2[AwayTeam], AC$1)+SUMIFS(Table2[NewPointsHome],Table2[GameDate], "&lt;=" &amp; $A159, Table2[HomeTeam], AC$1)</f>
        <v>4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6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6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4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2</v>
      </c>
      <c r="E160" s="145">
        <f>SUMIFS(Table2[NewPointsAway],Table2[GameDate], "&lt;=" &amp; $A160, Table2[AwayTeam], E$1)+SUMIFS(Table2[NewPointsHome],Table2[GameDate], "&lt;=" &amp; $A160, Table2[HomeTeam], E$1)</f>
        <v>6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5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6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6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5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3</v>
      </c>
      <c r="AB160" s="145">
        <f>SUMIFS(Table2[NewPointsAway],Table2[GameDate], "&lt;=" &amp; $A160, Table2[AwayTeam], AB$1)+SUMIFS(Table2[NewPointsHome],Table2[GameDate], "&lt;=" &amp; $A160, Table2[HomeTeam], AB$1)</f>
        <v>4</v>
      </c>
      <c r="AC160" s="145">
        <f>SUMIFS(Table2[NewPointsAway],Table2[GameDate], "&lt;=" &amp; $A160, Table2[AwayTeam], AC$1)+SUMIFS(Table2[NewPointsHome],Table2[GameDate], "&lt;=" &amp; $A160, Table2[HomeTeam], AC$1)</f>
        <v>4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6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6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4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2</v>
      </c>
      <c r="E161" s="145">
        <f>SUMIFS(Table2[NewPointsAway],Table2[GameDate], "&lt;=" &amp; $A161, Table2[AwayTeam], E$1)+SUMIFS(Table2[NewPointsHome],Table2[GameDate], "&lt;=" &amp; $A161, Table2[HomeTeam], E$1)</f>
        <v>6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5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6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6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5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3</v>
      </c>
      <c r="AB161" s="145">
        <f>SUMIFS(Table2[NewPointsAway],Table2[GameDate], "&lt;=" &amp; $A161, Table2[AwayTeam], AB$1)+SUMIFS(Table2[NewPointsHome],Table2[GameDate], "&lt;=" &amp; $A161, Table2[HomeTeam], AB$1)</f>
        <v>4</v>
      </c>
      <c r="AC161" s="145">
        <f>SUMIFS(Table2[NewPointsAway],Table2[GameDate], "&lt;=" &amp; $A161, Table2[AwayTeam], AC$1)+SUMIFS(Table2[NewPointsHome],Table2[GameDate], "&lt;=" &amp; $A161, Table2[HomeTeam], AC$1)</f>
        <v>4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6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6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4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2</v>
      </c>
      <c r="E162" s="145">
        <f>SUMIFS(Table2[NewPointsAway],Table2[GameDate], "&lt;=" &amp; $A162, Table2[AwayTeam], E$1)+SUMIFS(Table2[NewPointsHome],Table2[GameDate], "&lt;=" &amp; $A162, Table2[HomeTeam], E$1)</f>
        <v>6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5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6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6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5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3</v>
      </c>
      <c r="AB162" s="145">
        <f>SUMIFS(Table2[NewPointsAway],Table2[GameDate], "&lt;=" &amp; $A162, Table2[AwayTeam], AB$1)+SUMIFS(Table2[NewPointsHome],Table2[GameDate], "&lt;=" &amp; $A162, Table2[HomeTeam], AB$1)</f>
        <v>4</v>
      </c>
      <c r="AC162" s="145">
        <f>SUMIFS(Table2[NewPointsAway],Table2[GameDate], "&lt;=" &amp; $A162, Table2[AwayTeam], AC$1)+SUMIFS(Table2[NewPointsHome],Table2[GameDate], "&lt;=" &amp; $A162, Table2[HomeTeam], AC$1)</f>
        <v>4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6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6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4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2</v>
      </c>
      <c r="E163" s="145">
        <f>SUMIFS(Table2[NewPointsAway],Table2[GameDate], "&lt;=" &amp; $A163, Table2[AwayTeam], E$1)+SUMIFS(Table2[NewPointsHome],Table2[GameDate], "&lt;=" &amp; $A163, Table2[HomeTeam], E$1)</f>
        <v>6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5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6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6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5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3</v>
      </c>
      <c r="AB163" s="145">
        <f>SUMIFS(Table2[NewPointsAway],Table2[GameDate], "&lt;=" &amp; $A163, Table2[AwayTeam], AB$1)+SUMIFS(Table2[NewPointsHome],Table2[GameDate], "&lt;=" &amp; $A163, Table2[HomeTeam], AB$1)</f>
        <v>4</v>
      </c>
      <c r="AC163" s="145">
        <f>SUMIFS(Table2[NewPointsAway],Table2[GameDate], "&lt;=" &amp; $A163, Table2[AwayTeam], AC$1)+SUMIFS(Table2[NewPointsHome],Table2[GameDate], "&lt;=" &amp; $A163, Table2[HomeTeam], AC$1)</f>
        <v>4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6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6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4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2</v>
      </c>
      <c r="E164" s="145">
        <f>SUMIFS(Table2[NewPointsAway],Table2[GameDate], "&lt;=" &amp; $A164, Table2[AwayTeam], E$1)+SUMIFS(Table2[NewPointsHome],Table2[GameDate], "&lt;=" &amp; $A164, Table2[HomeTeam], E$1)</f>
        <v>6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5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6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6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5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3</v>
      </c>
      <c r="AB164" s="145">
        <f>SUMIFS(Table2[NewPointsAway],Table2[GameDate], "&lt;=" &amp; $A164, Table2[AwayTeam], AB$1)+SUMIFS(Table2[NewPointsHome],Table2[GameDate], "&lt;=" &amp; $A164, Table2[HomeTeam], AB$1)</f>
        <v>4</v>
      </c>
      <c r="AC164" s="145">
        <f>SUMIFS(Table2[NewPointsAway],Table2[GameDate], "&lt;=" &amp; $A164, Table2[AwayTeam], AC$1)+SUMIFS(Table2[NewPointsHome],Table2[GameDate], "&lt;=" &amp; $A164, Table2[HomeTeam], AC$1)</f>
        <v>4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6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6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4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2</v>
      </c>
      <c r="E165" s="145">
        <f>SUMIFS(Table2[NewPointsAway],Table2[GameDate], "&lt;=" &amp; $A165, Table2[AwayTeam], E$1)+SUMIFS(Table2[NewPointsHome],Table2[GameDate], "&lt;=" &amp; $A165, Table2[HomeTeam], E$1)</f>
        <v>6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5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6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6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5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3</v>
      </c>
      <c r="AB165" s="145">
        <f>SUMIFS(Table2[NewPointsAway],Table2[GameDate], "&lt;=" &amp; $A165, Table2[AwayTeam], AB$1)+SUMIFS(Table2[NewPointsHome],Table2[GameDate], "&lt;=" &amp; $A165, Table2[HomeTeam], AB$1)</f>
        <v>4</v>
      </c>
      <c r="AC165" s="145">
        <f>SUMIFS(Table2[NewPointsAway],Table2[GameDate], "&lt;=" &amp; $A165, Table2[AwayTeam], AC$1)+SUMIFS(Table2[NewPointsHome],Table2[GameDate], "&lt;=" &amp; $A165, Table2[HomeTeam], AC$1)</f>
        <v>4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6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6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4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2</v>
      </c>
      <c r="E166" s="145">
        <f>SUMIFS(Table2[NewPointsAway],Table2[GameDate], "&lt;=" &amp; $A166, Table2[AwayTeam], E$1)+SUMIFS(Table2[NewPointsHome],Table2[GameDate], "&lt;=" &amp; $A166, Table2[HomeTeam], E$1)</f>
        <v>6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5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6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6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5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3</v>
      </c>
      <c r="AB166" s="145">
        <f>SUMIFS(Table2[NewPointsAway],Table2[GameDate], "&lt;=" &amp; $A166, Table2[AwayTeam], AB$1)+SUMIFS(Table2[NewPointsHome],Table2[GameDate], "&lt;=" &amp; $A166, Table2[HomeTeam], AB$1)</f>
        <v>4</v>
      </c>
      <c r="AC166" s="145">
        <f>SUMIFS(Table2[NewPointsAway],Table2[GameDate], "&lt;=" &amp; $A166, Table2[AwayTeam], AC$1)+SUMIFS(Table2[NewPointsHome],Table2[GameDate], "&lt;=" &amp; $A166, Table2[HomeTeam], AC$1)</f>
        <v>4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6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6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4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2</v>
      </c>
      <c r="E167" s="145">
        <f>SUMIFS(Table2[NewPointsAway],Table2[GameDate], "&lt;=" &amp; $A167, Table2[AwayTeam], E$1)+SUMIFS(Table2[NewPointsHome],Table2[GameDate], "&lt;=" &amp; $A167, Table2[HomeTeam], E$1)</f>
        <v>6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5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6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6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5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3</v>
      </c>
      <c r="AB167" s="145">
        <f>SUMIFS(Table2[NewPointsAway],Table2[GameDate], "&lt;=" &amp; $A167, Table2[AwayTeam], AB$1)+SUMIFS(Table2[NewPointsHome],Table2[GameDate], "&lt;=" &amp; $A167, Table2[HomeTeam], AB$1)</f>
        <v>4</v>
      </c>
      <c r="AC167" s="145">
        <f>SUMIFS(Table2[NewPointsAway],Table2[GameDate], "&lt;=" &amp; $A167, Table2[AwayTeam], AC$1)+SUMIFS(Table2[NewPointsHome],Table2[GameDate], "&lt;=" &amp; $A167, Table2[HomeTeam], AC$1)</f>
        <v>4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6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6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4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2</v>
      </c>
      <c r="E168" s="145">
        <f>SUMIFS(Table2[NewPointsAway],Table2[GameDate], "&lt;=" &amp; $A168, Table2[AwayTeam], E$1)+SUMIFS(Table2[NewPointsHome],Table2[GameDate], "&lt;=" &amp; $A168, Table2[HomeTeam], E$1)</f>
        <v>6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5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6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6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5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3</v>
      </c>
      <c r="AB168" s="145">
        <f>SUMIFS(Table2[NewPointsAway],Table2[GameDate], "&lt;=" &amp; $A168, Table2[AwayTeam], AB$1)+SUMIFS(Table2[NewPointsHome],Table2[GameDate], "&lt;=" &amp; $A168, Table2[HomeTeam], AB$1)</f>
        <v>4</v>
      </c>
      <c r="AC168" s="145">
        <f>SUMIFS(Table2[NewPointsAway],Table2[GameDate], "&lt;=" &amp; $A168, Table2[AwayTeam], AC$1)+SUMIFS(Table2[NewPointsHome],Table2[GameDate], "&lt;=" &amp; $A168, Table2[HomeTeam], AC$1)</f>
        <v>4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6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6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4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2</v>
      </c>
      <c r="E169" s="145">
        <f>SUMIFS(Table2[NewPointsAway],Table2[GameDate], "&lt;=" &amp; $A169, Table2[AwayTeam], E$1)+SUMIFS(Table2[NewPointsHome],Table2[GameDate], "&lt;=" &amp; $A169, Table2[HomeTeam], E$1)</f>
        <v>6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5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6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6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5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3</v>
      </c>
      <c r="AB169" s="145">
        <f>SUMIFS(Table2[NewPointsAway],Table2[GameDate], "&lt;=" &amp; $A169, Table2[AwayTeam], AB$1)+SUMIFS(Table2[NewPointsHome],Table2[GameDate], "&lt;=" &amp; $A169, Table2[HomeTeam], AB$1)</f>
        <v>4</v>
      </c>
      <c r="AC169" s="145">
        <f>SUMIFS(Table2[NewPointsAway],Table2[GameDate], "&lt;=" &amp; $A169, Table2[AwayTeam], AC$1)+SUMIFS(Table2[NewPointsHome],Table2[GameDate], "&lt;=" &amp; $A169, Table2[HomeTeam], AC$1)</f>
        <v>4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6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6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4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2</v>
      </c>
      <c r="E170" s="145">
        <f>SUMIFS(Table2[NewPointsAway],Table2[GameDate], "&lt;=" &amp; $A170, Table2[AwayTeam], E$1)+SUMIFS(Table2[NewPointsHome],Table2[GameDate], "&lt;=" &amp; $A170, Table2[HomeTeam], E$1)</f>
        <v>6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5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6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6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5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3</v>
      </c>
      <c r="AB170" s="145">
        <f>SUMIFS(Table2[NewPointsAway],Table2[GameDate], "&lt;=" &amp; $A170, Table2[AwayTeam], AB$1)+SUMIFS(Table2[NewPointsHome],Table2[GameDate], "&lt;=" &amp; $A170, Table2[HomeTeam], AB$1)</f>
        <v>4</v>
      </c>
      <c r="AC170" s="145">
        <f>SUMIFS(Table2[NewPointsAway],Table2[GameDate], "&lt;=" &amp; $A170, Table2[AwayTeam], AC$1)+SUMIFS(Table2[NewPointsHome],Table2[GameDate], "&lt;=" &amp; $A170, Table2[HomeTeam], AC$1)</f>
        <v>4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6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6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4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2</v>
      </c>
      <c r="E171" s="145">
        <f>SUMIFS(Table2[NewPointsAway],Table2[GameDate], "&lt;=" &amp; $A171, Table2[AwayTeam], E$1)+SUMIFS(Table2[NewPointsHome],Table2[GameDate], "&lt;=" &amp; $A171, Table2[HomeTeam], E$1)</f>
        <v>6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5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6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6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5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3</v>
      </c>
      <c r="AB171" s="145">
        <f>SUMIFS(Table2[NewPointsAway],Table2[GameDate], "&lt;=" &amp; $A171, Table2[AwayTeam], AB$1)+SUMIFS(Table2[NewPointsHome],Table2[GameDate], "&lt;=" &amp; $A171, Table2[HomeTeam], AB$1)</f>
        <v>4</v>
      </c>
      <c r="AC171" s="145">
        <f>SUMIFS(Table2[NewPointsAway],Table2[GameDate], "&lt;=" &amp; $A171, Table2[AwayTeam], AC$1)+SUMIFS(Table2[NewPointsHome],Table2[GameDate], "&lt;=" &amp; $A171, Table2[HomeTeam], AC$1)</f>
        <v>4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6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6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4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2</v>
      </c>
      <c r="E172" s="145">
        <f>SUMIFS(Table2[NewPointsAway],Table2[GameDate], "&lt;=" &amp; $A172, Table2[AwayTeam], E$1)+SUMIFS(Table2[NewPointsHome],Table2[GameDate], "&lt;=" &amp; $A172, Table2[HomeTeam], E$1)</f>
        <v>6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5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6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6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5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3</v>
      </c>
      <c r="AB172" s="145">
        <f>SUMIFS(Table2[NewPointsAway],Table2[GameDate], "&lt;=" &amp; $A172, Table2[AwayTeam], AB$1)+SUMIFS(Table2[NewPointsHome],Table2[GameDate], "&lt;=" &amp; $A172, Table2[HomeTeam], AB$1)</f>
        <v>4</v>
      </c>
      <c r="AC172" s="145">
        <f>SUMIFS(Table2[NewPointsAway],Table2[GameDate], "&lt;=" &amp; $A172, Table2[AwayTeam], AC$1)+SUMIFS(Table2[NewPointsHome],Table2[GameDate], "&lt;=" &amp; $A172, Table2[HomeTeam], AC$1)</f>
        <v>4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6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6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4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2</v>
      </c>
      <c r="E173" s="145">
        <f>SUMIFS(Table2[NewPointsAway],Table2[GameDate], "&lt;=" &amp; $A173, Table2[AwayTeam], E$1)+SUMIFS(Table2[NewPointsHome],Table2[GameDate], "&lt;=" &amp; $A173, Table2[HomeTeam], E$1)</f>
        <v>6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5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6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6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5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3</v>
      </c>
      <c r="AB173" s="145">
        <f>SUMIFS(Table2[NewPointsAway],Table2[GameDate], "&lt;=" &amp; $A173, Table2[AwayTeam], AB$1)+SUMIFS(Table2[NewPointsHome],Table2[GameDate], "&lt;=" &amp; $A173, Table2[HomeTeam], AB$1)</f>
        <v>4</v>
      </c>
      <c r="AC173" s="145">
        <f>SUMIFS(Table2[NewPointsAway],Table2[GameDate], "&lt;=" &amp; $A173, Table2[AwayTeam], AC$1)+SUMIFS(Table2[NewPointsHome],Table2[GameDate], "&lt;=" &amp; $A173, Table2[HomeTeam], AC$1)</f>
        <v>4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6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6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4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2</v>
      </c>
      <c r="E174" s="145">
        <f>SUMIFS(Table2[NewPointsAway],Table2[GameDate], "&lt;=" &amp; $A174, Table2[AwayTeam], E$1)+SUMIFS(Table2[NewPointsHome],Table2[GameDate], "&lt;=" &amp; $A174, Table2[HomeTeam], E$1)</f>
        <v>6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5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6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6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5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3</v>
      </c>
      <c r="AB174" s="145">
        <f>SUMIFS(Table2[NewPointsAway],Table2[GameDate], "&lt;=" &amp; $A174, Table2[AwayTeam], AB$1)+SUMIFS(Table2[NewPointsHome],Table2[GameDate], "&lt;=" &amp; $A174, Table2[HomeTeam], AB$1)</f>
        <v>4</v>
      </c>
      <c r="AC174" s="145">
        <f>SUMIFS(Table2[NewPointsAway],Table2[GameDate], "&lt;=" &amp; $A174, Table2[AwayTeam], AC$1)+SUMIFS(Table2[NewPointsHome],Table2[GameDate], "&lt;=" &amp; $A174, Table2[HomeTeam], AC$1)</f>
        <v>4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6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6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4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2</v>
      </c>
      <c r="E175" s="145">
        <f>SUMIFS(Table2[NewPointsAway],Table2[GameDate], "&lt;=" &amp; $A175, Table2[AwayTeam], E$1)+SUMIFS(Table2[NewPointsHome],Table2[GameDate], "&lt;=" &amp; $A175, Table2[HomeTeam], E$1)</f>
        <v>6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5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6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6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5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3</v>
      </c>
      <c r="AB175" s="145">
        <f>SUMIFS(Table2[NewPointsAway],Table2[GameDate], "&lt;=" &amp; $A175, Table2[AwayTeam], AB$1)+SUMIFS(Table2[NewPointsHome],Table2[GameDate], "&lt;=" &amp; $A175, Table2[HomeTeam], AB$1)</f>
        <v>4</v>
      </c>
      <c r="AC175" s="145">
        <f>SUMIFS(Table2[NewPointsAway],Table2[GameDate], "&lt;=" &amp; $A175, Table2[AwayTeam], AC$1)+SUMIFS(Table2[NewPointsHome],Table2[GameDate], "&lt;=" &amp; $A175, Table2[HomeTeam], AC$1)</f>
        <v>4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6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6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4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2</v>
      </c>
      <c r="E176" s="145">
        <f>SUMIFS(Table2[NewPointsAway],Table2[GameDate], "&lt;=" &amp; $A176, Table2[AwayTeam], E$1)+SUMIFS(Table2[NewPointsHome],Table2[GameDate], "&lt;=" &amp; $A176, Table2[HomeTeam], E$1)</f>
        <v>6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5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6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6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5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3</v>
      </c>
      <c r="AB176" s="145">
        <f>SUMIFS(Table2[NewPointsAway],Table2[GameDate], "&lt;=" &amp; $A176, Table2[AwayTeam], AB$1)+SUMIFS(Table2[NewPointsHome],Table2[GameDate], "&lt;=" &amp; $A176, Table2[HomeTeam], AB$1)</f>
        <v>4</v>
      </c>
      <c r="AC176" s="145">
        <f>SUMIFS(Table2[NewPointsAway],Table2[GameDate], "&lt;=" &amp; $A176, Table2[AwayTeam], AC$1)+SUMIFS(Table2[NewPointsHome],Table2[GameDate], "&lt;=" &amp; $A176, Table2[HomeTeam], AC$1)</f>
        <v>4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6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6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4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2</v>
      </c>
      <c r="E177" s="145">
        <f>SUMIFS(Table2[NewPointsAway],Table2[GameDate], "&lt;=" &amp; $A177, Table2[AwayTeam], E$1)+SUMIFS(Table2[NewPointsHome],Table2[GameDate], "&lt;=" &amp; $A177, Table2[HomeTeam], E$1)</f>
        <v>6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5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6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6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5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3</v>
      </c>
      <c r="AB177" s="145">
        <f>SUMIFS(Table2[NewPointsAway],Table2[GameDate], "&lt;=" &amp; $A177, Table2[AwayTeam], AB$1)+SUMIFS(Table2[NewPointsHome],Table2[GameDate], "&lt;=" &amp; $A177, Table2[HomeTeam], AB$1)</f>
        <v>4</v>
      </c>
      <c r="AC177" s="145">
        <f>SUMIFS(Table2[NewPointsAway],Table2[GameDate], "&lt;=" &amp; $A177, Table2[AwayTeam], AC$1)+SUMIFS(Table2[NewPointsHome],Table2[GameDate], "&lt;=" &amp; $A177, Table2[HomeTeam], AC$1)</f>
        <v>4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6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6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4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2</v>
      </c>
      <c r="E178" s="145">
        <f>SUMIFS(Table2[NewPointsAway],Table2[GameDate], "&lt;=" &amp; $A178, Table2[AwayTeam], E$1)+SUMIFS(Table2[NewPointsHome],Table2[GameDate], "&lt;=" &amp; $A178, Table2[HomeTeam], E$1)</f>
        <v>6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5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6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6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5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3</v>
      </c>
      <c r="AB178" s="145">
        <f>SUMIFS(Table2[NewPointsAway],Table2[GameDate], "&lt;=" &amp; $A178, Table2[AwayTeam], AB$1)+SUMIFS(Table2[NewPointsHome],Table2[GameDate], "&lt;=" &amp; $A178, Table2[HomeTeam], AB$1)</f>
        <v>4</v>
      </c>
      <c r="AC178" s="145">
        <f>SUMIFS(Table2[NewPointsAway],Table2[GameDate], "&lt;=" &amp; $A178, Table2[AwayTeam], AC$1)+SUMIFS(Table2[NewPointsHome],Table2[GameDate], "&lt;=" &amp; $A178, Table2[HomeTeam], AC$1)</f>
        <v>4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6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6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4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2</v>
      </c>
      <c r="E179" s="145">
        <f>SUMIFS(Table2[NewPointsAway],Table2[GameDate], "&lt;=" &amp; $A179, Table2[AwayTeam], E$1)+SUMIFS(Table2[NewPointsHome],Table2[GameDate], "&lt;=" &amp; $A179, Table2[HomeTeam], E$1)</f>
        <v>6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5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6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6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5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3</v>
      </c>
      <c r="AB179" s="145">
        <f>SUMIFS(Table2[NewPointsAway],Table2[GameDate], "&lt;=" &amp; $A179, Table2[AwayTeam], AB$1)+SUMIFS(Table2[NewPointsHome],Table2[GameDate], "&lt;=" &amp; $A179, Table2[HomeTeam], AB$1)</f>
        <v>4</v>
      </c>
      <c r="AC179" s="145">
        <f>SUMIFS(Table2[NewPointsAway],Table2[GameDate], "&lt;=" &amp; $A179, Table2[AwayTeam], AC$1)+SUMIFS(Table2[NewPointsHome],Table2[GameDate], "&lt;=" &amp; $A179, Table2[HomeTeam], AC$1)</f>
        <v>4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6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6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4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2</v>
      </c>
      <c r="E180" s="145">
        <f>SUMIFS(Table2[NewPointsAway],Table2[GameDate], "&lt;=" &amp; $A180, Table2[AwayTeam], E$1)+SUMIFS(Table2[NewPointsHome],Table2[GameDate], "&lt;=" &amp; $A180, Table2[HomeTeam], E$1)</f>
        <v>6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5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6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6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5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3</v>
      </c>
      <c r="AB180" s="145">
        <f>SUMIFS(Table2[NewPointsAway],Table2[GameDate], "&lt;=" &amp; $A180, Table2[AwayTeam], AB$1)+SUMIFS(Table2[NewPointsHome],Table2[GameDate], "&lt;=" &amp; $A180, Table2[HomeTeam], AB$1)</f>
        <v>4</v>
      </c>
      <c r="AC180" s="145">
        <f>SUMIFS(Table2[NewPointsAway],Table2[GameDate], "&lt;=" &amp; $A180, Table2[AwayTeam], AC$1)+SUMIFS(Table2[NewPointsHome],Table2[GameDate], "&lt;=" &amp; $A180, Table2[HomeTeam], AC$1)</f>
        <v>4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6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6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4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2</v>
      </c>
      <c r="E181" s="145">
        <f>SUMIFS(Table2[NewPointsAway],Table2[GameDate], "&lt;=" &amp; $A181, Table2[AwayTeam], E$1)+SUMIFS(Table2[NewPointsHome],Table2[GameDate], "&lt;=" &amp; $A181, Table2[HomeTeam], E$1)</f>
        <v>6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5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6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6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5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3</v>
      </c>
      <c r="AB181" s="145">
        <f>SUMIFS(Table2[NewPointsAway],Table2[GameDate], "&lt;=" &amp; $A181, Table2[AwayTeam], AB$1)+SUMIFS(Table2[NewPointsHome],Table2[GameDate], "&lt;=" &amp; $A181, Table2[HomeTeam], AB$1)</f>
        <v>4</v>
      </c>
      <c r="AC181" s="145">
        <f>SUMIFS(Table2[NewPointsAway],Table2[GameDate], "&lt;=" &amp; $A181, Table2[AwayTeam], AC$1)+SUMIFS(Table2[NewPointsHome],Table2[GameDate], "&lt;=" &amp; $A181, Table2[HomeTeam], AC$1)</f>
        <v>4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6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6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4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2</v>
      </c>
      <c r="E182" s="145">
        <f>SUMIFS(Table2[NewPointsAway],Table2[GameDate], "&lt;=" &amp; $A182, Table2[AwayTeam], E$1)+SUMIFS(Table2[NewPointsHome],Table2[GameDate], "&lt;=" &amp; $A182, Table2[HomeTeam], E$1)</f>
        <v>6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5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6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6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5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3</v>
      </c>
      <c r="AB182" s="145">
        <f>SUMIFS(Table2[NewPointsAway],Table2[GameDate], "&lt;=" &amp; $A182, Table2[AwayTeam], AB$1)+SUMIFS(Table2[NewPointsHome],Table2[GameDate], "&lt;=" &amp; $A182, Table2[HomeTeam], AB$1)</f>
        <v>4</v>
      </c>
      <c r="AC182" s="145">
        <f>SUMIFS(Table2[NewPointsAway],Table2[GameDate], "&lt;=" &amp; $A182, Table2[AwayTeam], AC$1)+SUMIFS(Table2[NewPointsHome],Table2[GameDate], "&lt;=" &amp; $A182, Table2[HomeTeam], AC$1)</f>
        <v>4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6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6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4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2</v>
      </c>
      <c r="E183" s="145">
        <f>SUMIFS(Table2[NewPointsAway],Table2[GameDate], "&lt;=" &amp; $A183, Table2[AwayTeam], E$1)+SUMIFS(Table2[NewPointsHome],Table2[GameDate], "&lt;=" &amp; $A183, Table2[HomeTeam], E$1)</f>
        <v>6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5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6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6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5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3</v>
      </c>
      <c r="AB183" s="145">
        <f>SUMIFS(Table2[NewPointsAway],Table2[GameDate], "&lt;=" &amp; $A183, Table2[AwayTeam], AB$1)+SUMIFS(Table2[NewPointsHome],Table2[GameDate], "&lt;=" &amp; $A183, Table2[HomeTeam], AB$1)</f>
        <v>4</v>
      </c>
      <c r="AC183" s="145">
        <f>SUMIFS(Table2[NewPointsAway],Table2[GameDate], "&lt;=" &amp; $A183, Table2[AwayTeam], AC$1)+SUMIFS(Table2[NewPointsHome],Table2[GameDate], "&lt;=" &amp; $A183, Table2[HomeTeam], AC$1)</f>
        <v>4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6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6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4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2</v>
      </c>
      <c r="E184" s="145">
        <f>SUMIFS(Table2[NewPointsAway],Table2[GameDate], "&lt;=" &amp; $A184, Table2[AwayTeam], E$1)+SUMIFS(Table2[NewPointsHome],Table2[GameDate], "&lt;=" &amp; $A184, Table2[HomeTeam], E$1)</f>
        <v>6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5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6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6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5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3</v>
      </c>
      <c r="AB184" s="145">
        <f>SUMIFS(Table2[NewPointsAway],Table2[GameDate], "&lt;=" &amp; $A184, Table2[AwayTeam], AB$1)+SUMIFS(Table2[NewPointsHome],Table2[GameDate], "&lt;=" &amp; $A184, Table2[HomeTeam], AB$1)</f>
        <v>4</v>
      </c>
      <c r="AC184" s="145">
        <f>SUMIFS(Table2[NewPointsAway],Table2[GameDate], "&lt;=" &amp; $A184, Table2[AwayTeam], AC$1)+SUMIFS(Table2[NewPointsHome],Table2[GameDate], "&lt;=" &amp; $A184, Table2[HomeTeam], AC$1)</f>
        <v>4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6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6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4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2</v>
      </c>
      <c r="E185" s="145">
        <f>SUMIFS(Table2[NewPointsAway],Table2[GameDate], "&lt;=" &amp; $A185, Table2[AwayTeam], E$1)+SUMIFS(Table2[NewPointsHome],Table2[GameDate], "&lt;=" &amp; $A185, Table2[HomeTeam], E$1)</f>
        <v>6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5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6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6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5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3</v>
      </c>
      <c r="AB185" s="145">
        <f>SUMIFS(Table2[NewPointsAway],Table2[GameDate], "&lt;=" &amp; $A185, Table2[AwayTeam], AB$1)+SUMIFS(Table2[NewPointsHome],Table2[GameDate], "&lt;=" &amp; $A185, Table2[HomeTeam], AB$1)</f>
        <v>4</v>
      </c>
      <c r="AC185" s="145">
        <f>SUMIFS(Table2[NewPointsAway],Table2[GameDate], "&lt;=" &amp; $A185, Table2[AwayTeam], AC$1)+SUMIFS(Table2[NewPointsHome],Table2[GameDate], "&lt;=" &amp; $A185, Table2[HomeTeam], AC$1)</f>
        <v>4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6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6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4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2</v>
      </c>
      <c r="E186" s="145">
        <f>SUMIFS(Table2[NewPointsAway],Table2[GameDate], "&lt;=" &amp; $A186, Table2[AwayTeam], E$1)+SUMIFS(Table2[NewPointsHome],Table2[GameDate], "&lt;=" &amp; $A186, Table2[HomeTeam], E$1)</f>
        <v>6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5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6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6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5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3</v>
      </c>
      <c r="AB186" s="145">
        <f>SUMIFS(Table2[NewPointsAway],Table2[GameDate], "&lt;=" &amp; $A186, Table2[AwayTeam], AB$1)+SUMIFS(Table2[NewPointsHome],Table2[GameDate], "&lt;=" &amp; $A186, Table2[HomeTeam], AB$1)</f>
        <v>4</v>
      </c>
      <c r="AC186" s="145">
        <f>SUMIFS(Table2[NewPointsAway],Table2[GameDate], "&lt;=" &amp; $A186, Table2[AwayTeam], AC$1)+SUMIFS(Table2[NewPointsHome],Table2[GameDate], "&lt;=" &amp; $A186, Table2[HomeTeam], AC$1)</f>
        <v>4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6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6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4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2</v>
      </c>
      <c r="E187" s="145">
        <f>SUMIFS(Table2[NewPointsAway],Table2[GameDate], "&lt;=" &amp; $A187, Table2[AwayTeam], E$1)+SUMIFS(Table2[NewPointsHome],Table2[GameDate], "&lt;=" &amp; $A187, Table2[HomeTeam], E$1)</f>
        <v>6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5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6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6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5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3</v>
      </c>
      <c r="AB187" s="145">
        <f>SUMIFS(Table2[NewPointsAway],Table2[GameDate], "&lt;=" &amp; $A187, Table2[AwayTeam], AB$1)+SUMIFS(Table2[NewPointsHome],Table2[GameDate], "&lt;=" &amp; $A187, Table2[HomeTeam], AB$1)</f>
        <v>4</v>
      </c>
      <c r="AC187" s="145">
        <f>SUMIFS(Table2[NewPointsAway],Table2[GameDate], "&lt;=" &amp; $A187, Table2[AwayTeam], AC$1)+SUMIFS(Table2[NewPointsHome],Table2[GameDate], "&lt;=" &amp; $A187, Table2[HomeTeam], AC$1)</f>
        <v>4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6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6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4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2</v>
      </c>
      <c r="E188" s="145">
        <f>SUMIFS(Table2[NewPointsAway],Table2[GameDate], "&lt;=" &amp; $A188, Table2[AwayTeam], E$1)+SUMIFS(Table2[NewPointsHome],Table2[GameDate], "&lt;=" &amp; $A188, Table2[HomeTeam], E$1)</f>
        <v>6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5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6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6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5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3</v>
      </c>
      <c r="AB188" s="145">
        <f>SUMIFS(Table2[NewPointsAway],Table2[GameDate], "&lt;=" &amp; $A188, Table2[AwayTeam], AB$1)+SUMIFS(Table2[NewPointsHome],Table2[GameDate], "&lt;=" &amp; $A188, Table2[HomeTeam], AB$1)</f>
        <v>4</v>
      </c>
      <c r="AC188" s="145">
        <f>SUMIFS(Table2[NewPointsAway],Table2[GameDate], "&lt;=" &amp; $A188, Table2[AwayTeam], AC$1)+SUMIFS(Table2[NewPointsHome],Table2[GameDate], "&lt;=" &amp; $A188, Table2[HomeTeam], AC$1)</f>
        <v>4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6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6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4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2</v>
      </c>
      <c r="E189" s="145">
        <f>SUMIFS(Table2[NewPointsAway],Table2[GameDate], "&lt;=" &amp; $A189, Table2[AwayTeam], E$1)+SUMIFS(Table2[NewPointsHome],Table2[GameDate], "&lt;=" &amp; $A189, Table2[HomeTeam], E$1)</f>
        <v>6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5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6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6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5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3</v>
      </c>
      <c r="AB189" s="145">
        <f>SUMIFS(Table2[NewPointsAway],Table2[GameDate], "&lt;=" &amp; $A189, Table2[AwayTeam], AB$1)+SUMIFS(Table2[NewPointsHome],Table2[GameDate], "&lt;=" &amp; $A189, Table2[HomeTeam], AB$1)</f>
        <v>4</v>
      </c>
      <c r="AC189" s="145">
        <f>SUMIFS(Table2[NewPointsAway],Table2[GameDate], "&lt;=" &amp; $A189, Table2[AwayTeam], AC$1)+SUMIFS(Table2[NewPointsHome],Table2[GameDate], "&lt;=" &amp; $A189, Table2[HomeTeam], AC$1)</f>
        <v>4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6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6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4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2</v>
      </c>
      <c r="E190" s="145">
        <f>SUMIFS(Table2[NewPointsAway],Table2[GameDate], "&lt;=" &amp; $A190, Table2[AwayTeam], E$1)+SUMIFS(Table2[NewPointsHome],Table2[GameDate], "&lt;=" &amp; $A190, Table2[HomeTeam], E$1)</f>
        <v>6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5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6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6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5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3</v>
      </c>
      <c r="AB190" s="145">
        <f>SUMIFS(Table2[NewPointsAway],Table2[GameDate], "&lt;=" &amp; $A190, Table2[AwayTeam], AB$1)+SUMIFS(Table2[NewPointsHome],Table2[GameDate], "&lt;=" &amp; $A190, Table2[HomeTeam], AB$1)</f>
        <v>4</v>
      </c>
      <c r="AC190" s="145">
        <f>SUMIFS(Table2[NewPointsAway],Table2[GameDate], "&lt;=" &amp; $A190, Table2[AwayTeam], AC$1)+SUMIFS(Table2[NewPointsHome],Table2[GameDate], "&lt;=" &amp; $A190, Table2[HomeTeam], AC$1)</f>
        <v>4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6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6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4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2</v>
      </c>
      <c r="E191" s="145">
        <f>SUMIFS(Table2[NewPointsAway],Table2[GameDate], "&lt;=" &amp; $A191, Table2[AwayTeam], E$1)+SUMIFS(Table2[NewPointsHome],Table2[GameDate], "&lt;=" &amp; $A191, Table2[HomeTeam], E$1)</f>
        <v>6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5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6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6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5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3</v>
      </c>
      <c r="AB191" s="145">
        <f>SUMIFS(Table2[NewPointsAway],Table2[GameDate], "&lt;=" &amp; $A191, Table2[AwayTeam], AB$1)+SUMIFS(Table2[NewPointsHome],Table2[GameDate], "&lt;=" &amp; $A191, Table2[HomeTeam], AB$1)</f>
        <v>4</v>
      </c>
      <c r="AC191" s="145">
        <f>SUMIFS(Table2[NewPointsAway],Table2[GameDate], "&lt;=" &amp; $A191, Table2[AwayTeam], AC$1)+SUMIFS(Table2[NewPointsHome],Table2[GameDate], "&lt;=" &amp; $A191, Table2[HomeTeam], AC$1)</f>
        <v>4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6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6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4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2</v>
      </c>
      <c r="E192" s="145">
        <f>SUMIFS(Table2[NewPointsAway],Table2[GameDate], "&lt;=" &amp; $A192, Table2[AwayTeam], E$1)+SUMIFS(Table2[NewPointsHome],Table2[GameDate], "&lt;=" &amp; $A192, Table2[HomeTeam], E$1)</f>
        <v>6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5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6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6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5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3</v>
      </c>
      <c r="AB192" s="145">
        <f>SUMIFS(Table2[NewPointsAway],Table2[GameDate], "&lt;=" &amp; $A192, Table2[AwayTeam], AB$1)+SUMIFS(Table2[NewPointsHome],Table2[GameDate], "&lt;=" &amp; $A192, Table2[HomeTeam], AB$1)</f>
        <v>4</v>
      </c>
      <c r="AC192" s="145">
        <f>SUMIFS(Table2[NewPointsAway],Table2[GameDate], "&lt;=" &amp; $A192, Table2[AwayTeam], AC$1)+SUMIFS(Table2[NewPointsHome],Table2[GameDate], "&lt;=" &amp; $A192, Table2[HomeTeam], AC$1)</f>
        <v>4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6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6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4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2</v>
      </c>
      <c r="E193" s="145">
        <f>SUMIFS(Table2[NewPointsAway],Table2[GameDate], "&lt;=" &amp; $A193, Table2[AwayTeam], E$1)+SUMIFS(Table2[NewPointsHome],Table2[GameDate], "&lt;=" &amp; $A193, Table2[HomeTeam], E$1)</f>
        <v>6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5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6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6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5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3</v>
      </c>
      <c r="AB193" s="145">
        <f>SUMIFS(Table2[NewPointsAway],Table2[GameDate], "&lt;=" &amp; $A193, Table2[AwayTeam], AB$1)+SUMIFS(Table2[NewPointsHome],Table2[GameDate], "&lt;=" &amp; $A193, Table2[HomeTeam], AB$1)</f>
        <v>4</v>
      </c>
      <c r="AC193" s="145">
        <f>SUMIFS(Table2[NewPointsAway],Table2[GameDate], "&lt;=" &amp; $A193, Table2[AwayTeam], AC$1)+SUMIFS(Table2[NewPointsHome],Table2[GameDate], "&lt;=" &amp; $A193, Table2[HomeTeam], AC$1)</f>
        <v>4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6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6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4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2</v>
      </c>
      <c r="E194" s="145">
        <f>SUMIFS(Table2[NewPointsAway],Table2[GameDate], "&lt;=" &amp; $A194, Table2[AwayTeam], E$1)+SUMIFS(Table2[NewPointsHome],Table2[GameDate], "&lt;=" &amp; $A194, Table2[HomeTeam], E$1)</f>
        <v>6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5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6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6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5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3</v>
      </c>
      <c r="AB194" s="145">
        <f>SUMIFS(Table2[NewPointsAway],Table2[GameDate], "&lt;=" &amp; $A194, Table2[AwayTeam], AB$1)+SUMIFS(Table2[NewPointsHome],Table2[GameDate], "&lt;=" &amp; $A194, Table2[HomeTeam], AB$1)</f>
        <v>4</v>
      </c>
      <c r="AC194" s="145">
        <f>SUMIFS(Table2[NewPointsAway],Table2[GameDate], "&lt;=" &amp; $A194, Table2[AwayTeam], AC$1)+SUMIFS(Table2[NewPointsHome],Table2[GameDate], "&lt;=" &amp; $A194, Table2[HomeTeam], AC$1)</f>
        <v>4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6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6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4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2</v>
      </c>
      <c r="E195" s="145">
        <f>SUMIFS(Table2[NewPointsAway],Table2[GameDate], "&lt;=" &amp; $A195, Table2[AwayTeam], E$1)+SUMIFS(Table2[NewPointsHome],Table2[GameDate], "&lt;=" &amp; $A195, Table2[HomeTeam], E$1)</f>
        <v>6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5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6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6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5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3</v>
      </c>
      <c r="AB195" s="145">
        <f>SUMIFS(Table2[NewPointsAway],Table2[GameDate], "&lt;=" &amp; $A195, Table2[AwayTeam], AB$1)+SUMIFS(Table2[NewPointsHome],Table2[GameDate], "&lt;=" &amp; $A195, Table2[HomeTeam], AB$1)</f>
        <v>4</v>
      </c>
      <c r="AC195" s="145">
        <f>SUMIFS(Table2[NewPointsAway],Table2[GameDate], "&lt;=" &amp; $A195, Table2[AwayTeam], AC$1)+SUMIFS(Table2[NewPointsHome],Table2[GameDate], "&lt;=" &amp; $A195, Table2[HomeTeam], AC$1)</f>
        <v>4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6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6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4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2</v>
      </c>
      <c r="E196" s="145">
        <f>SUMIFS(Table2[NewPointsAway],Table2[GameDate], "&lt;=" &amp; $A196, Table2[AwayTeam], E$1)+SUMIFS(Table2[NewPointsHome],Table2[GameDate], "&lt;=" &amp; $A196, Table2[HomeTeam], E$1)</f>
        <v>6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5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6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6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5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3</v>
      </c>
      <c r="AB196" s="145">
        <f>SUMIFS(Table2[NewPointsAway],Table2[GameDate], "&lt;=" &amp; $A196, Table2[AwayTeam], AB$1)+SUMIFS(Table2[NewPointsHome],Table2[GameDate], "&lt;=" &amp; $A196, Table2[HomeTeam], AB$1)</f>
        <v>4</v>
      </c>
      <c r="AC196" s="145">
        <f>SUMIFS(Table2[NewPointsAway],Table2[GameDate], "&lt;=" &amp; $A196, Table2[AwayTeam], AC$1)+SUMIFS(Table2[NewPointsHome],Table2[GameDate], "&lt;=" &amp; $A196, Table2[HomeTeam], AC$1)</f>
        <v>4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6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6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4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2</v>
      </c>
      <c r="E197" s="145">
        <f>SUMIFS(Table2[NewPointsAway],Table2[GameDate], "&lt;=" &amp; $A197, Table2[AwayTeam], E$1)+SUMIFS(Table2[NewPointsHome],Table2[GameDate], "&lt;=" &amp; $A197, Table2[HomeTeam], E$1)</f>
        <v>6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5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6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6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5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3</v>
      </c>
      <c r="AB197" s="145">
        <f>SUMIFS(Table2[NewPointsAway],Table2[GameDate], "&lt;=" &amp; $A197, Table2[AwayTeam], AB$1)+SUMIFS(Table2[NewPointsHome],Table2[GameDate], "&lt;=" &amp; $A197, Table2[HomeTeam], AB$1)</f>
        <v>4</v>
      </c>
      <c r="AC197" s="145">
        <f>SUMIFS(Table2[NewPointsAway],Table2[GameDate], "&lt;=" &amp; $A197, Table2[AwayTeam], AC$1)+SUMIFS(Table2[NewPointsHome],Table2[GameDate], "&lt;=" &amp; $A197, Table2[HomeTeam], AC$1)</f>
        <v>4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6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6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4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2</v>
      </c>
      <c r="E198" s="145">
        <f>SUMIFS(Table2[NewPointsAway],Table2[GameDate], "&lt;=" &amp; $A198, Table2[AwayTeam], E$1)+SUMIFS(Table2[NewPointsHome],Table2[GameDate], "&lt;=" &amp; $A198, Table2[HomeTeam], E$1)</f>
        <v>6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5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6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6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5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3</v>
      </c>
      <c r="AB198" s="145">
        <f>SUMIFS(Table2[NewPointsAway],Table2[GameDate], "&lt;=" &amp; $A198, Table2[AwayTeam], AB$1)+SUMIFS(Table2[NewPointsHome],Table2[GameDate], "&lt;=" &amp; $A198, Table2[HomeTeam], AB$1)</f>
        <v>4</v>
      </c>
      <c r="AC198" s="145">
        <f>SUMIFS(Table2[NewPointsAway],Table2[GameDate], "&lt;=" &amp; $A198, Table2[AwayTeam], AC$1)+SUMIFS(Table2[NewPointsHome],Table2[GameDate], "&lt;=" &amp; $A198, Table2[HomeTeam], AC$1)</f>
        <v>4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6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6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4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2</v>
      </c>
      <c r="E199" s="145">
        <f>SUMIFS(Table2[NewPointsAway],Table2[GameDate], "&lt;=" &amp; $A199, Table2[AwayTeam], E$1)+SUMIFS(Table2[NewPointsHome],Table2[GameDate], "&lt;=" &amp; $A199, Table2[HomeTeam], E$1)</f>
        <v>6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5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6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6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5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3</v>
      </c>
      <c r="AB199" s="145">
        <f>SUMIFS(Table2[NewPointsAway],Table2[GameDate], "&lt;=" &amp; $A199, Table2[AwayTeam], AB$1)+SUMIFS(Table2[NewPointsHome],Table2[GameDate], "&lt;=" &amp; $A199, Table2[HomeTeam], AB$1)</f>
        <v>4</v>
      </c>
      <c r="AC199" s="145">
        <f>SUMIFS(Table2[NewPointsAway],Table2[GameDate], "&lt;=" &amp; $A199, Table2[AwayTeam], AC$1)+SUMIFS(Table2[NewPointsHome],Table2[GameDate], "&lt;=" &amp; $A199, Table2[HomeTeam], AC$1)</f>
        <v>4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6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6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4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2</v>
      </c>
      <c r="E200" s="145">
        <f>SUMIFS(Table2[NewPointsAway],Table2[GameDate], "&lt;=" &amp; $A200, Table2[AwayTeam], E$1)+SUMIFS(Table2[NewPointsHome],Table2[GameDate], "&lt;=" &amp; $A200, Table2[HomeTeam], E$1)</f>
        <v>6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5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6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6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5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3</v>
      </c>
      <c r="AB200" s="145">
        <f>SUMIFS(Table2[NewPointsAway],Table2[GameDate], "&lt;=" &amp; $A200, Table2[AwayTeam], AB$1)+SUMIFS(Table2[NewPointsHome],Table2[GameDate], "&lt;=" &amp; $A200, Table2[HomeTeam], AB$1)</f>
        <v>4</v>
      </c>
      <c r="AC200" s="145">
        <f>SUMIFS(Table2[NewPointsAway],Table2[GameDate], "&lt;=" &amp; $A200, Table2[AwayTeam], AC$1)+SUMIFS(Table2[NewPointsHome],Table2[GameDate], "&lt;=" &amp; $A200, Table2[HomeTeam], AC$1)</f>
        <v>4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6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6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4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2</v>
      </c>
      <c r="E201" s="145">
        <f>SUMIFS(Table2[NewPointsAway],Table2[GameDate], "&lt;=" &amp; $A201, Table2[AwayTeam], E$1)+SUMIFS(Table2[NewPointsHome],Table2[GameDate], "&lt;=" &amp; $A201, Table2[HomeTeam], E$1)</f>
        <v>6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5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6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6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5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3</v>
      </c>
      <c r="AB201" s="145">
        <f>SUMIFS(Table2[NewPointsAway],Table2[GameDate], "&lt;=" &amp; $A201, Table2[AwayTeam], AB$1)+SUMIFS(Table2[NewPointsHome],Table2[GameDate], "&lt;=" &amp; $A201, Table2[HomeTeam], AB$1)</f>
        <v>4</v>
      </c>
      <c r="AC201" s="145">
        <f>SUMIFS(Table2[NewPointsAway],Table2[GameDate], "&lt;=" &amp; $A201, Table2[AwayTeam], AC$1)+SUMIFS(Table2[NewPointsHome],Table2[GameDate], "&lt;=" &amp; $A201, Table2[HomeTeam], AC$1)</f>
        <v>4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6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6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Y4" sqref="Y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6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6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6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6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6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6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6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6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6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6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6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6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6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6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6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6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6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6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6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6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6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6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6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6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6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6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6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6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6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6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6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6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6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6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6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6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6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6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6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6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6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6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6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6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6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6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6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6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6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6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6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6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6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6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6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6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6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6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6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6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6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6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6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6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6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6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6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6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6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6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6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6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6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6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6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6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6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6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6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6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6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6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6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6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6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6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6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6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6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6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6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6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6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6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6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6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6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6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6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6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6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6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6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6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6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6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6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6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6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6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6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6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6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6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6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6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6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6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6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6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6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6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6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6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6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6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6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6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6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6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6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6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6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6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6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6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6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6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6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6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6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6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6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6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6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6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6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6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6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6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6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6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6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6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6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6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6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6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6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6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6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6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6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6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6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6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6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6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6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6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6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6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6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6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6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6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6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6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6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6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6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6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4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4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4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4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4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4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4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4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4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4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4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4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4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4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4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4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4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4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4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4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4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4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4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4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4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4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4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4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4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4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4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4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4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4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4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4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4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4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4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4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4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4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4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4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4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4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4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4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4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4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4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4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4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4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4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4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4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4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4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4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4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4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4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4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4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4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4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4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4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4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4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4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4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4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4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4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4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4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4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4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4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4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4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4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4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4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4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4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4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4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4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4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4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4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4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4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4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4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4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4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4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4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4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4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4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4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4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4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4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4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4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4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4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4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4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4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4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4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4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4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4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4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4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4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4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4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4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4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4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4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4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4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4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4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4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4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4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4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4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4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4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4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4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4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4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4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4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4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4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4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4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4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4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4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4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4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4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4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4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4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4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4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4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4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4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4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4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4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4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4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4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4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4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4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4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4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4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4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4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4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4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4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4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3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3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3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3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3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3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3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3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3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3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3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3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3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3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3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3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3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3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3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3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3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3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3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3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3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3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3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3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3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3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3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3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3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3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3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3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3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3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3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3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3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3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3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3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3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3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3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3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3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3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3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3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3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3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3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3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3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3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3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3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3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3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3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3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3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3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3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3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3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3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3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3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3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3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3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3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3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3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3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3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3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3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3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3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3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3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3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3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3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3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3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3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3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3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3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3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3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3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3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3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3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3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3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3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3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3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3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3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3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3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3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3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3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3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3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3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3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3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3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3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3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3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3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3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3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3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3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3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3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3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3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3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3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3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3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3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3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3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3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3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3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3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3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3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3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3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3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3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3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3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3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3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3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3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3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3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3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3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3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3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3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3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3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3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3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3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3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3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3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3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3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3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3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3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3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3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3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3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3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3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3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3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3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3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3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3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3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3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3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2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2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2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2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2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2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2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2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2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2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2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2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2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2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2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2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2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2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2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2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2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2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2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2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2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2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2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2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2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2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2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2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2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2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2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2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2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2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2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2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2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2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2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2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2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2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2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2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2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2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2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2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2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2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2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2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2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2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2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2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2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2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2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2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2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2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2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2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2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2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2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2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2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2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2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2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2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2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2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2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2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2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2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2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2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2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2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2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2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2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2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2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2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2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2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2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2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2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2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2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2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2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2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2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2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2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2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2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2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2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2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2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2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2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2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2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2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2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2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2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2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2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2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2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2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2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2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2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2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2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2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2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2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2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2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2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2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2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2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2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2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2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2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2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2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2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2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2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2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2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2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2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2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2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2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2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2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2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2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2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2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2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2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2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2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2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2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2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2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2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2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2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2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2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2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2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2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2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2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2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2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2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2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2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2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6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6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6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6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6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6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6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6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6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6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6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6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6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6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6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6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6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6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6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6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4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4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6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6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6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6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6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6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6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6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6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6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6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6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6</v>
      </c>
    </row>
    <row r="20" spans="1:203" x14ac:dyDescent="0.25">
      <c r="A20" t="s">
        <v>34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2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2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3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3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5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5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5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5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5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5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5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5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5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5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5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5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5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5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5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5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5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5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5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5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5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5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5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5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5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5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5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5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5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5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5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5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5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5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5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5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5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5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5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5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5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5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5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5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5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5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5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5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5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5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5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5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5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5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5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5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5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5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5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5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5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5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5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5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5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5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5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5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5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5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5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5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5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5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5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5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5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5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5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5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5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5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5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5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5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5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5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5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5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5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5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5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5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5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5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5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5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5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5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5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5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5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5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5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5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5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5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5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5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5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5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5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5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5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5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5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5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5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5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5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5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5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5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5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5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5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5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5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5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5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5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5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5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5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5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5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5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5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5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5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5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5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5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5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5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5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5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5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5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5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5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5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5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5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5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5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5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5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5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5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5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5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5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5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5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5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5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5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5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5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5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5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5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5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5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5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5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5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5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5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5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5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5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5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5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5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5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5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5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5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5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5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5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5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5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5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5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5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5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5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5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5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5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5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5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5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5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5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5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5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5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5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5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5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5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5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5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5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5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5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5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5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5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5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5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5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5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5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5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5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5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5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5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5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5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5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5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5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5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5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5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5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5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5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5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5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5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5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5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5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5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5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5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5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5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5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5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5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5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5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5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5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5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5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5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5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5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5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5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5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5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5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5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5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5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5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5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5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5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5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5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5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5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5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5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5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5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5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5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5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5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5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5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5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5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5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5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5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5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5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5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5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5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5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5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5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5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5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5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5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5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5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5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5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5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5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5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5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5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5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5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5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5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5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5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5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5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5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5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5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5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5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5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5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5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5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5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5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5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5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5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5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5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5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5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5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5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5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5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5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5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5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5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5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5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5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5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5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5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5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5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5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5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5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5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5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5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5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5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5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5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5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5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5</v>
      </c>
    </row>
    <row r="22" spans="1:203" x14ac:dyDescent="0.25">
      <c r="A22" t="s">
        <v>21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36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4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4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4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4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4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4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4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4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4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4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4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4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4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4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4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4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4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4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4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4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4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4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4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4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4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4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4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4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4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4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4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4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4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4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4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4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4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4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4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4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4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4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4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4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4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4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4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4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4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4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4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4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4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4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4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4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4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4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4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4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4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4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4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4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4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4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4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4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4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4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4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4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4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4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4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4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4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4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4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4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4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4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4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4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4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4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4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4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4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4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4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4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4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4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4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4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4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4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4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4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4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4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4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4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4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4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4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4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4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4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4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4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4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4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4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4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4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4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4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4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4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4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4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4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4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4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4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4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4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4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4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4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4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4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4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4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4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4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4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4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4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4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4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4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4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4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4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4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4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4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4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4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4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4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4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4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4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4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4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4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4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4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4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4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4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4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4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4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4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4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4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4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4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4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4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4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4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4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4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4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4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4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4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4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4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4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4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4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4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4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4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4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4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4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4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4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4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4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4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4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4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4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4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4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4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4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4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4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4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4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4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4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4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4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4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4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4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4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4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4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4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4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4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4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4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4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4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4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4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4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4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4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4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4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4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4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4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4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4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4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4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4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4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4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4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4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4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4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4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4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4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4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4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4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4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4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4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4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4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4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4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4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4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4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4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4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4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4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4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4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4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4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4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4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4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4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4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4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4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4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4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4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4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4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4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4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4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4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4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4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4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4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4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4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4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4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4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4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4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4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4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4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4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4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4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4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4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4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4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4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4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4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4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4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4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4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4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4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4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4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4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4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4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4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4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4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4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4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4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4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4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4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4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4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4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4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4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4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4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4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4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4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4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4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4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4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4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4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4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4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4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4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4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4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4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4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4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4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4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4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4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4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4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4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4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4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4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4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4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4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4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4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4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4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4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4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4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4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4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4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4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4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4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4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4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4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4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4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4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4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4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4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4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4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4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4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4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4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4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4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4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4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4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4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4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4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4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4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4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4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4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4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4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4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4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4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4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4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4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4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4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4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4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4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4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4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4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4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4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4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4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4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4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4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4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4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4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4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4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4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4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4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4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4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4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4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4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4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4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4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4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4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4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4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4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4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4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4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4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4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4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4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4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4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4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4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4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4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4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4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4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4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4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4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4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4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4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4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4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4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4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4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4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4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4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4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4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4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4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4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4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4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4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4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4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4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4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4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4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4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4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4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4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4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4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4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4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4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4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4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4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4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4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4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4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4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4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4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4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4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4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4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4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4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4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4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4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4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4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4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4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4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4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4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4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4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4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4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4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4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4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4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4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4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4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4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4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4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4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4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4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4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4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4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4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6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6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6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6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6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6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6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6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6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6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6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6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6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6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6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6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6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6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6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6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6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6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6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6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6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6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6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6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6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6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6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6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6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6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6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6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6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6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6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6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6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6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6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6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6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6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6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6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6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6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6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6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6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6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6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6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6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6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6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6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6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6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6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6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6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6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6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6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6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6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6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6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6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6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6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6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6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6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6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6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6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6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6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6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6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6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6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6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6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6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6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6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6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6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6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6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6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6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6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6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6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6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6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6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6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6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6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6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6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6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6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6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6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6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6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6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6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6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6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6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6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6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6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6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6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6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6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6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6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6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6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6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6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6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6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6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6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6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6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6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6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6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6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6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6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6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6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6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6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6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6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6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6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6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6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6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6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6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6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6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6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6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6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6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6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6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6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6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6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6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6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6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6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6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6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6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6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6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6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6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6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6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6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6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6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6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6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5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5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5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5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5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5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5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5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5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5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5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5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5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5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5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5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5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5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5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5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5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5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5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5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5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5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5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5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5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5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5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5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5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5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5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5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5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5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5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5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5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5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5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5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5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5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5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5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5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5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5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5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5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5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5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5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5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5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5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5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5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5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5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5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5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5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5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5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5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5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5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5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5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5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5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5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5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5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5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5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5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5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5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5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5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5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5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5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5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5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5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5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5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5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5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5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5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5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5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5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5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5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5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5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5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5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5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5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5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5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5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5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5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5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5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5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5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5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5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5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5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5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5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5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5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5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5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5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5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5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5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5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5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5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5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5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5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5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5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5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5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5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5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5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5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5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5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5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5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5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5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5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5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5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5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5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5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5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5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5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5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5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5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5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5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5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5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5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5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5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5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5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5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5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5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5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5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5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5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5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5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5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5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5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5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5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5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5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5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5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5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5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5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5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5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5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5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5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5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5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5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5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5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5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5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5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5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5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5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5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5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5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5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5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5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5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5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5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5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5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5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5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5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5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5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5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5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5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5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5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5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5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5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5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5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5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5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5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5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5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5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5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5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5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5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5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5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5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5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5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5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5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5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5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5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5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5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5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5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5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5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5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5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5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5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5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5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5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5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5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5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5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5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5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5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5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5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5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5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5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5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5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5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5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5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5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5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5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5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5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5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5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5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5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5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5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5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5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5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5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5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5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5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5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5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5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5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5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5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5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5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5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5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5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5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5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5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5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5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5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5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5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5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5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5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5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5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5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5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5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5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5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5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5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5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5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5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5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5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5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5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5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5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5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5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5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5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5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5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5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5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5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5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5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5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5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5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5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5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5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5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5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5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5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5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5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5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5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5</v>
      </c>
    </row>
    <row r="29" spans="1:203" x14ac:dyDescent="0.25">
      <c r="A29" t="s">
        <v>44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4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4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4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4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4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4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4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4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4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4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4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4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4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4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4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4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4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4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4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4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4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4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4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4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4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4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4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4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4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4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4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4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4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4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4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4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4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4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4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4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4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4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4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4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4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4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4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4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4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4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4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4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4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4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4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4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4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4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4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4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4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4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4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4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4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4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4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4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4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4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4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4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4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4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4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4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4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4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4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4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4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4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4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4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4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4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4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4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4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4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4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4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4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4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4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4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4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4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4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4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4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4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4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4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4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4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4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4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4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4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4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4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4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4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4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4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4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4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4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4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4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4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4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4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4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4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4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4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4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4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4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4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4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4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4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4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4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4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4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4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4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4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4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4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4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4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4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4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4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4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4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4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4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4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4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4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4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4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4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4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4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4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4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4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4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4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4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4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4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4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4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4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4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4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4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4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4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4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4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4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4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4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4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4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4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4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4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4</v>
      </c>
    </row>
    <row r="30" spans="1:203" x14ac:dyDescent="0.25">
      <c r="A30" t="s">
        <v>27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3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3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3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3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3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3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3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3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3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3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3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3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3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3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3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3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3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3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3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3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3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3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3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3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3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3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3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3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3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3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3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3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3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3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3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3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3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3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3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3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3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3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3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3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3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3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3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3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3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3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3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3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3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3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3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3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3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3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3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3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3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3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3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3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3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3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3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3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3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3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3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3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3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3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3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3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3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3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3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3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3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3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3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3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3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3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3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3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3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3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3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3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3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3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3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3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3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3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3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3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3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3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3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3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3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3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3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3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3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3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3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3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3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3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3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3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3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3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3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3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3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3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3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3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3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3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3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3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3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3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3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3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3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3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3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3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3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3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3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3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3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3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3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3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3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3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3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3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3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3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3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3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3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3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3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3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3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3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3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3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3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3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3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3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3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3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3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3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3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3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3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3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3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3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3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3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3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3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3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3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3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3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3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3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3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3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3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3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3</v>
      </c>
    </row>
    <row r="31" spans="1:203" x14ac:dyDescent="0.25">
      <c r="A31" t="s">
        <v>23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24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4.125</v>
      </c>
      <c r="R34">
        <f>SUBTOTAL(101,Table4[2025-10-17])</f>
        <v>4.125</v>
      </c>
      <c r="S34">
        <f>SUBTOTAL(101,Table4[2025-10-18])</f>
        <v>4.125</v>
      </c>
      <c r="T34">
        <f>SUBTOTAL(101,Table4[2025-10-19])</f>
        <v>4.125</v>
      </c>
      <c r="U34">
        <f>SUBTOTAL(101,Table4[2025-10-20])</f>
        <v>4.125</v>
      </c>
      <c r="V34">
        <f>SUBTOTAL(101,Table4[2025-10-21])</f>
        <v>4.125</v>
      </c>
      <c r="W34">
        <f>SUBTOTAL(101,Table4[2025-10-22])</f>
        <v>4.125</v>
      </c>
      <c r="X34">
        <f>SUBTOTAL(101,Table4[2025-10-23])</f>
        <v>4.125</v>
      </c>
      <c r="Y34">
        <f>SUBTOTAL(101,Table4[2025-10-24])</f>
        <v>4.125</v>
      </c>
      <c r="Z34">
        <f>SUBTOTAL(101,Table4[2025-10-25])</f>
        <v>4.125</v>
      </c>
      <c r="AA34">
        <f>SUBTOTAL(101,Table4[2025-10-26])</f>
        <v>4.125</v>
      </c>
      <c r="AB34">
        <f>SUBTOTAL(101,Table4[2025-10-27])</f>
        <v>4.125</v>
      </c>
      <c r="AC34">
        <f>SUBTOTAL(101,Table4[2025-10-28])</f>
        <v>4.125</v>
      </c>
      <c r="AD34">
        <f>SUBTOTAL(101,Table4[2025-10-29])</f>
        <v>4.125</v>
      </c>
      <c r="AE34">
        <f>SUBTOTAL(101,Table4[2025-10-30])</f>
        <v>4.125</v>
      </c>
      <c r="AF34">
        <f>SUBTOTAL(101,Table4[2025-10-31])</f>
        <v>4.125</v>
      </c>
      <c r="AG34">
        <f>SUBTOTAL(101,Table4[2025-11-01])</f>
        <v>4.125</v>
      </c>
      <c r="AH34">
        <f>SUBTOTAL(101,Table4[2025-11-02])</f>
        <v>4.125</v>
      </c>
      <c r="AI34">
        <f>SUBTOTAL(101,Table4[2025-11-03])</f>
        <v>4.125</v>
      </c>
      <c r="AJ34">
        <f>SUBTOTAL(101,Table4[2025-11-04])</f>
        <v>4.125</v>
      </c>
      <c r="AK34">
        <f>SUBTOTAL(101,Table4[2025-11-05])</f>
        <v>4.125</v>
      </c>
      <c r="AL34">
        <f>SUBTOTAL(101,Table4[2025-11-06])</f>
        <v>4.125</v>
      </c>
      <c r="AM34">
        <f>SUBTOTAL(101,Table4[2025-11-07])</f>
        <v>4.125</v>
      </c>
      <c r="AN34">
        <f>SUBTOTAL(101,Table4[2025-11-08])</f>
        <v>4.125</v>
      </c>
      <c r="AO34">
        <f>SUBTOTAL(101,Table4[2025-11-09])</f>
        <v>4.125</v>
      </c>
      <c r="AP34">
        <f>SUBTOTAL(101,Table4[2025-11-10])</f>
        <v>4.125</v>
      </c>
      <c r="AQ34">
        <f>SUBTOTAL(101,Table4[2025-11-11])</f>
        <v>4.125</v>
      </c>
      <c r="AR34">
        <f>SUBTOTAL(101,Table4[2025-11-12])</f>
        <v>4.125</v>
      </c>
      <c r="AS34">
        <f>SUBTOTAL(101,Table4[2025-11-13])</f>
        <v>4.125</v>
      </c>
      <c r="AT34">
        <f>SUBTOTAL(101,Table4[2025-11-14])</f>
        <v>4.125</v>
      </c>
      <c r="AU34">
        <f>SUBTOTAL(101,Table4[2025-11-15])</f>
        <v>4.125</v>
      </c>
      <c r="AV34">
        <f>SUBTOTAL(101,Table4[2025-11-16])</f>
        <v>4.125</v>
      </c>
      <c r="AW34">
        <f>SUBTOTAL(101,Table4[2025-11-17])</f>
        <v>4.125</v>
      </c>
      <c r="AX34">
        <f>SUBTOTAL(101,Table4[2025-11-18])</f>
        <v>4.125</v>
      </c>
      <c r="AY34">
        <f>SUBTOTAL(101,Table4[2025-11-19])</f>
        <v>4.125</v>
      </c>
      <c r="AZ34">
        <f>SUBTOTAL(101,Table4[2025-11-20])</f>
        <v>4.125</v>
      </c>
      <c r="BA34">
        <f>SUBTOTAL(101,Table4[2025-11-21])</f>
        <v>4.125</v>
      </c>
      <c r="BB34">
        <f>SUBTOTAL(101,Table4[2025-11-22])</f>
        <v>4.125</v>
      </c>
      <c r="BC34">
        <f>SUBTOTAL(101,Table4[2025-11-23])</f>
        <v>4.125</v>
      </c>
      <c r="BD34">
        <f>SUBTOTAL(101,Table4[2025-11-24])</f>
        <v>4.125</v>
      </c>
      <c r="BE34">
        <f>SUBTOTAL(101,Table4[2025-11-25])</f>
        <v>4.125</v>
      </c>
      <c r="BF34">
        <f>SUBTOTAL(101,Table4[2025-11-26])</f>
        <v>4.125</v>
      </c>
      <c r="BG34">
        <f>SUBTOTAL(101,Table4[2025-11-27])</f>
        <v>4.125</v>
      </c>
      <c r="BH34">
        <f>SUBTOTAL(101,Table4[2025-11-28])</f>
        <v>4.125</v>
      </c>
      <c r="BI34">
        <f>SUBTOTAL(101,Table4[2025-11-29])</f>
        <v>4.125</v>
      </c>
      <c r="BJ34">
        <f>SUBTOTAL(101,Table4[2025-11-30])</f>
        <v>4.125</v>
      </c>
      <c r="BK34">
        <f>SUBTOTAL(101,Table4[2025-12-01])</f>
        <v>4.125</v>
      </c>
      <c r="BL34">
        <f>SUBTOTAL(101,Table4[2025-12-02])</f>
        <v>4.125</v>
      </c>
      <c r="BM34">
        <f>SUBTOTAL(101,Table4[2025-12-03])</f>
        <v>4.125</v>
      </c>
      <c r="BN34">
        <f>SUBTOTAL(101,Table4[2025-12-04])</f>
        <v>4.125</v>
      </c>
      <c r="BO34">
        <f>SUBTOTAL(101,Table4[2025-12-05])</f>
        <v>4.125</v>
      </c>
      <c r="BP34">
        <f>SUBTOTAL(101,Table4[2025-12-06])</f>
        <v>4.125</v>
      </c>
      <c r="BQ34">
        <f>SUBTOTAL(101,Table4[2025-12-07])</f>
        <v>4.125</v>
      </c>
      <c r="BR34">
        <f>SUBTOTAL(101,Table4[2025-12-08])</f>
        <v>4.125</v>
      </c>
      <c r="BS34">
        <f>SUBTOTAL(101,Table4[2025-12-09])</f>
        <v>4.125</v>
      </c>
      <c r="BT34">
        <f>SUBTOTAL(101,Table4[2025-12-10])</f>
        <v>4.125</v>
      </c>
      <c r="BU34">
        <f>SUBTOTAL(101,Table4[2025-12-11])</f>
        <v>4.125</v>
      </c>
      <c r="BV34">
        <f>SUBTOTAL(101,Table4[2025-12-12])</f>
        <v>4.125</v>
      </c>
      <c r="BW34">
        <f>SUBTOTAL(101,Table4[2025-12-13])</f>
        <v>4.125</v>
      </c>
      <c r="BX34">
        <f>SUBTOTAL(101,Table4[2025-12-14])</f>
        <v>4.125</v>
      </c>
      <c r="BY34">
        <f>SUBTOTAL(101,Table4[2025-12-15])</f>
        <v>4.125</v>
      </c>
      <c r="BZ34">
        <f>SUBTOTAL(101,Table4[2025-12-16])</f>
        <v>4.125</v>
      </c>
      <c r="CA34">
        <f>SUBTOTAL(101,Table4[2025-12-17])</f>
        <v>4.125</v>
      </c>
      <c r="CB34">
        <f>SUBTOTAL(101,Table4[2025-12-18])</f>
        <v>4.125</v>
      </c>
      <c r="CC34">
        <f>SUBTOTAL(101,Table4[2025-12-19])</f>
        <v>4.125</v>
      </c>
      <c r="CD34">
        <f>SUBTOTAL(101,Table4[2025-12-20])</f>
        <v>4.125</v>
      </c>
      <c r="CE34">
        <f>SUBTOTAL(101,Table4[2025-12-21])</f>
        <v>4.125</v>
      </c>
      <c r="CF34">
        <f>SUBTOTAL(101,Table4[2025-12-22])</f>
        <v>4.125</v>
      </c>
      <c r="CG34">
        <f>SUBTOTAL(101,Table4[2025-12-23])</f>
        <v>4.125</v>
      </c>
      <c r="CH34">
        <f>SUBTOTAL(101,Table4[2025-12-24])</f>
        <v>4.125</v>
      </c>
      <c r="CI34">
        <f>SUBTOTAL(101,Table4[2025-12-25])</f>
        <v>4.125</v>
      </c>
      <c r="CJ34">
        <f>SUBTOTAL(101,Table4[2025-12-26])</f>
        <v>4.125</v>
      </c>
      <c r="CK34">
        <f>SUBTOTAL(101,Table4[2025-12-27])</f>
        <v>4.125</v>
      </c>
      <c r="CL34">
        <f>SUBTOTAL(101,Table4[2025-12-28])</f>
        <v>4.125</v>
      </c>
      <c r="CM34">
        <f>SUBTOTAL(101,Table4[2025-12-29])</f>
        <v>4.125</v>
      </c>
      <c r="CN34">
        <f>SUBTOTAL(101,Table4[2025-12-30])</f>
        <v>4.125</v>
      </c>
      <c r="CO34">
        <f>SUBTOTAL(101,Table4[2025-12-31])</f>
        <v>4.125</v>
      </c>
      <c r="CP34">
        <f>SUBTOTAL(101,Table4[2026-01-01])</f>
        <v>4.125</v>
      </c>
      <c r="CQ34">
        <f>SUBTOTAL(101,Table4[2026-01-02])</f>
        <v>4.125</v>
      </c>
      <c r="CR34">
        <f>SUBTOTAL(101,Table4[2026-01-03])</f>
        <v>4.125</v>
      </c>
      <c r="CS34">
        <f>SUBTOTAL(101,Table4[2026-01-04])</f>
        <v>4.125</v>
      </c>
      <c r="CT34">
        <f>SUBTOTAL(101,Table4[2026-01-05])</f>
        <v>4.125</v>
      </c>
      <c r="CU34">
        <f>SUBTOTAL(101,Table4[2026-01-06])</f>
        <v>4.125</v>
      </c>
      <c r="CV34">
        <f>SUBTOTAL(101,Table4[2026-01-07])</f>
        <v>4.125</v>
      </c>
      <c r="CW34">
        <f>SUBTOTAL(101,Table4[2026-01-08])</f>
        <v>4.125</v>
      </c>
      <c r="CX34">
        <f>SUBTOTAL(101,Table4[2026-01-09])</f>
        <v>4.125</v>
      </c>
      <c r="CY34">
        <f>SUBTOTAL(101,Table4[2026-01-10])</f>
        <v>4.125</v>
      </c>
      <c r="CZ34">
        <f>SUBTOTAL(101,Table4[2026-01-11])</f>
        <v>4.125</v>
      </c>
      <c r="DA34">
        <f>SUBTOTAL(101,Table4[2026-01-12])</f>
        <v>4.125</v>
      </c>
      <c r="DB34">
        <f>SUBTOTAL(101,Table4[2026-01-13])</f>
        <v>4.125</v>
      </c>
      <c r="DC34">
        <f>SUBTOTAL(101,Table4[2026-01-14])</f>
        <v>4.125</v>
      </c>
      <c r="DD34">
        <f>SUBTOTAL(101,Table4[2026-01-15])</f>
        <v>4.125</v>
      </c>
      <c r="DE34">
        <f>SUBTOTAL(101,Table4[2026-01-16])</f>
        <v>4.125</v>
      </c>
      <c r="DF34">
        <f>SUBTOTAL(101,Table4[2026-01-17])</f>
        <v>4.125</v>
      </c>
      <c r="DG34">
        <f>SUBTOTAL(101,Table4[2026-01-18])</f>
        <v>4.125</v>
      </c>
      <c r="DH34">
        <f>SUBTOTAL(101,Table4[2026-01-19])</f>
        <v>4.125</v>
      </c>
      <c r="DI34">
        <f>SUBTOTAL(101,Table4[2026-01-20])</f>
        <v>4.125</v>
      </c>
      <c r="DJ34">
        <f>SUBTOTAL(101,Table4[2026-01-21])</f>
        <v>4.125</v>
      </c>
      <c r="DK34">
        <f>SUBTOTAL(101,Table4[2026-01-22])</f>
        <v>4.125</v>
      </c>
      <c r="DL34">
        <f>SUBTOTAL(101,Table4[2026-01-23])</f>
        <v>4.125</v>
      </c>
      <c r="DM34">
        <f>SUBTOTAL(101,Table4[2026-01-24])</f>
        <v>4.125</v>
      </c>
      <c r="DN34">
        <f>SUBTOTAL(101,Table4[2026-01-25])</f>
        <v>4.125</v>
      </c>
      <c r="DO34">
        <f>SUBTOTAL(101,Table4[2026-01-26])</f>
        <v>4.125</v>
      </c>
      <c r="DP34">
        <f>SUBTOTAL(101,Table4[2026-01-27])</f>
        <v>4.125</v>
      </c>
      <c r="DQ34">
        <f>SUBTOTAL(101,Table4[2026-01-28])</f>
        <v>4.125</v>
      </c>
      <c r="DR34">
        <f>SUBTOTAL(101,Table4[2026-01-29])</f>
        <v>4.125</v>
      </c>
      <c r="DS34">
        <f>SUBTOTAL(101,Table4[2026-01-30])</f>
        <v>4.125</v>
      </c>
      <c r="DT34">
        <f>SUBTOTAL(101,Table4[2026-01-31])</f>
        <v>4.125</v>
      </c>
      <c r="DU34">
        <f>SUBTOTAL(101,Table4[2026-02-01])</f>
        <v>4.125</v>
      </c>
      <c r="DV34">
        <f>SUBTOTAL(101,Table4[2026-02-02])</f>
        <v>4.125</v>
      </c>
      <c r="DW34">
        <f>SUBTOTAL(101,Table4[2026-02-03])</f>
        <v>4.125</v>
      </c>
      <c r="DX34">
        <f>SUBTOTAL(101,Table4[2026-02-04])</f>
        <v>4.125</v>
      </c>
      <c r="DY34">
        <f>SUBTOTAL(101,Table4[2026-02-05])</f>
        <v>4.125</v>
      </c>
      <c r="DZ34">
        <f>SUBTOTAL(101,Table4[2026-02-06])</f>
        <v>4.125</v>
      </c>
      <c r="EA34">
        <f>SUBTOTAL(101,Table4[2026-02-07])</f>
        <v>4.125</v>
      </c>
      <c r="EB34">
        <f>SUBTOTAL(101,Table4[2026-02-08])</f>
        <v>4.125</v>
      </c>
      <c r="EC34">
        <f>SUBTOTAL(101,Table4[2026-02-09])</f>
        <v>4.125</v>
      </c>
      <c r="ED34">
        <f>SUBTOTAL(101,Table4[2026-02-10])</f>
        <v>4.125</v>
      </c>
      <c r="EE34">
        <f>SUBTOTAL(101,Table4[2026-02-11])</f>
        <v>4.125</v>
      </c>
      <c r="EF34">
        <f>SUBTOTAL(101,Table4[2026-02-12])</f>
        <v>4.125</v>
      </c>
      <c r="EG34">
        <f>SUBTOTAL(101,Table4[2026-02-13])</f>
        <v>4.125</v>
      </c>
      <c r="EH34">
        <f>SUBTOTAL(101,Table4[2026-02-14])</f>
        <v>4.125</v>
      </c>
      <c r="EI34">
        <f>SUBTOTAL(101,Table4[2026-02-15])</f>
        <v>4.125</v>
      </c>
      <c r="EJ34">
        <f>SUBTOTAL(101,Table4[2026-02-16])</f>
        <v>4.125</v>
      </c>
      <c r="EK34">
        <f>SUBTOTAL(101,Table4[2026-02-17])</f>
        <v>4.125</v>
      </c>
      <c r="EL34">
        <f>SUBTOTAL(101,Table4[2026-02-18])</f>
        <v>4.125</v>
      </c>
      <c r="EM34">
        <f>SUBTOTAL(101,Table4[2026-02-19])</f>
        <v>4.125</v>
      </c>
      <c r="EN34">
        <f>SUBTOTAL(101,Table4[2026-02-20])</f>
        <v>4.125</v>
      </c>
      <c r="EO34">
        <f>SUBTOTAL(101,Table4[2026-02-21])</f>
        <v>4.125</v>
      </c>
      <c r="EP34">
        <f>SUBTOTAL(101,Table4[2026-02-22])</f>
        <v>4.125</v>
      </c>
      <c r="EQ34">
        <f>SUBTOTAL(101,Table4[2026-02-23])</f>
        <v>4.125</v>
      </c>
      <c r="ER34">
        <f>SUBTOTAL(101,Table4[2026-02-24])</f>
        <v>4.125</v>
      </c>
      <c r="ES34">
        <f>SUBTOTAL(101,Table4[2026-02-25])</f>
        <v>4.125</v>
      </c>
      <c r="ET34">
        <f>SUBTOTAL(101,Table4[2026-02-26])</f>
        <v>4.125</v>
      </c>
      <c r="EU34">
        <f>SUBTOTAL(101,Table4[2026-02-27])</f>
        <v>4.125</v>
      </c>
      <c r="EV34">
        <f>SUBTOTAL(101,Table4[2026-02-28])</f>
        <v>4.125</v>
      </c>
      <c r="EW34">
        <f>SUBTOTAL(101,Table4[2026-03-01])</f>
        <v>4.125</v>
      </c>
      <c r="EX34">
        <f>SUBTOTAL(101,Table4[2026-03-02])</f>
        <v>4.125</v>
      </c>
      <c r="EY34">
        <f>SUBTOTAL(101,Table4[2026-03-03])</f>
        <v>4.125</v>
      </c>
      <c r="EZ34">
        <f>SUBTOTAL(101,Table4[2026-03-04])</f>
        <v>4.125</v>
      </c>
      <c r="FA34">
        <f>SUBTOTAL(101,Table4[2026-03-05])</f>
        <v>4.125</v>
      </c>
      <c r="FB34">
        <f>SUBTOTAL(101,Table4[2026-03-06])</f>
        <v>4.125</v>
      </c>
      <c r="FC34">
        <f>SUBTOTAL(101,Table4[2026-03-07])</f>
        <v>4.125</v>
      </c>
      <c r="FD34">
        <f>SUBTOTAL(101,Table4[2026-03-08])</f>
        <v>4.125</v>
      </c>
      <c r="FE34">
        <f>SUBTOTAL(101,Table4[2026-03-09])</f>
        <v>4.125</v>
      </c>
      <c r="FF34">
        <f>SUBTOTAL(101,Table4[2026-03-10])</f>
        <v>4.125</v>
      </c>
      <c r="FG34">
        <f>SUBTOTAL(101,Table4[2026-03-11])</f>
        <v>4.125</v>
      </c>
      <c r="FH34">
        <f>SUBTOTAL(101,Table4[2026-03-12])</f>
        <v>4.125</v>
      </c>
      <c r="FI34">
        <f>SUBTOTAL(101,Table4[2026-03-13])</f>
        <v>4.125</v>
      </c>
      <c r="FJ34">
        <f>SUBTOTAL(101,Table4[2026-03-14])</f>
        <v>4.125</v>
      </c>
      <c r="FK34">
        <f>SUBTOTAL(101,Table4[2026-03-15])</f>
        <v>4.125</v>
      </c>
      <c r="FL34">
        <f>SUBTOTAL(101,Table4[2026-03-16])</f>
        <v>4.125</v>
      </c>
      <c r="FM34">
        <f>SUBTOTAL(101,Table4[2026-03-17])</f>
        <v>4.125</v>
      </c>
      <c r="FN34">
        <f>SUBTOTAL(101,Table4[2026-03-18])</f>
        <v>4.125</v>
      </c>
      <c r="FO34">
        <f>SUBTOTAL(101,Table4[2026-03-19])</f>
        <v>4.125</v>
      </c>
      <c r="FP34">
        <f>SUBTOTAL(101,Table4[2026-03-20])</f>
        <v>4.125</v>
      </c>
      <c r="FQ34">
        <f>SUBTOTAL(101,Table4[2026-03-21])</f>
        <v>4.125</v>
      </c>
      <c r="FR34">
        <f>SUBTOTAL(101,Table4[2026-03-22])</f>
        <v>4.125</v>
      </c>
      <c r="FS34">
        <f>SUBTOTAL(101,Table4[2026-03-23])</f>
        <v>4.125</v>
      </c>
      <c r="FT34">
        <f>SUBTOTAL(101,Table4[2026-03-24])</f>
        <v>4.125</v>
      </c>
      <c r="FU34">
        <f>SUBTOTAL(101,Table4[2026-03-25])</f>
        <v>4.125</v>
      </c>
      <c r="FV34">
        <f>SUBTOTAL(101,Table4[2026-03-26])</f>
        <v>4.125</v>
      </c>
      <c r="FW34">
        <f>SUBTOTAL(101,Table4[2026-03-27])</f>
        <v>4.125</v>
      </c>
      <c r="FX34">
        <f>SUBTOTAL(101,Table4[2026-03-28])</f>
        <v>4.125</v>
      </c>
      <c r="FY34">
        <f>SUBTOTAL(101,Table4[2026-03-29])</f>
        <v>4.125</v>
      </c>
      <c r="FZ34">
        <f>SUBTOTAL(101,Table4[2026-03-30])</f>
        <v>4.125</v>
      </c>
      <c r="GA34">
        <f>SUBTOTAL(101,Table4[2026-03-31])</f>
        <v>4.125</v>
      </c>
      <c r="GB34">
        <f>SUBTOTAL(101,Table4[2026-04-01])</f>
        <v>4.125</v>
      </c>
      <c r="GC34">
        <f>SUBTOTAL(101,Table4[2026-04-02])</f>
        <v>4.125</v>
      </c>
      <c r="GD34">
        <f>SUBTOTAL(101,Table4[2026-04-03])</f>
        <v>4.125</v>
      </c>
      <c r="GE34">
        <f>SUBTOTAL(101,Table4[2026-04-04])</f>
        <v>4.125</v>
      </c>
      <c r="GF34">
        <f>SUBTOTAL(101,Table4[2026-04-05])</f>
        <v>4.125</v>
      </c>
      <c r="GG34">
        <f>SUBTOTAL(101,Table4[2026-04-06])</f>
        <v>4.125</v>
      </c>
      <c r="GH34">
        <f>SUBTOTAL(101,Table4[2026-04-07])</f>
        <v>4.125</v>
      </c>
      <c r="GI34">
        <f>SUBTOTAL(101,Table4[2026-04-08])</f>
        <v>4.125</v>
      </c>
      <c r="GJ34">
        <f>SUBTOTAL(101,Table4[2026-04-09])</f>
        <v>4.125</v>
      </c>
      <c r="GK34">
        <f>SUBTOTAL(101,Table4[2026-04-10])</f>
        <v>4.125</v>
      </c>
      <c r="GL34">
        <f>SUBTOTAL(101,Table4[2026-04-11])</f>
        <v>4.125</v>
      </c>
      <c r="GM34">
        <f>SUBTOTAL(101,Table4[2026-04-12])</f>
        <v>4.125</v>
      </c>
      <c r="GN34">
        <f>SUBTOTAL(101,Table4[2026-04-13])</f>
        <v>4.125</v>
      </c>
      <c r="GO34">
        <f>SUBTOTAL(101,Table4[2026-04-14])</f>
        <v>4.125</v>
      </c>
      <c r="GP34">
        <f>SUBTOTAL(101,Table4[2026-04-15])</f>
        <v>4.125</v>
      </c>
      <c r="GQ34">
        <f>SUBTOTAL(101,Table4[2026-04-16])</f>
        <v>4.125</v>
      </c>
      <c r="GR34">
        <f>SUBTOTAL(101,Table4[2026-04-17])</f>
        <v>4.125</v>
      </c>
      <c r="GS34">
        <f>SUBTOTAL(101,Table4[2026-04-18])</f>
        <v>4.125</v>
      </c>
      <c r="GT34">
        <f>SUBTOTAL(101,Table4[2026-04-19])</f>
        <v>4.125</v>
      </c>
      <c r="GU34">
        <f>SUBTOTAL(101,Table4[2026-04-20])</f>
        <v>4.125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4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4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4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4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4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4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4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4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4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4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4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4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4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4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3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3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3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3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3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3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3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3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3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3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3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3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3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3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3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3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3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3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3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3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3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3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3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3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3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3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3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3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3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3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3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3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3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3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3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3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3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3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3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3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3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3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3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3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3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3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3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3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3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3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3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3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3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3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3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3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3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3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3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3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3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3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3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3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3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3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3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3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3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3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3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3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3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3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3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3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3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3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3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3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3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3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3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3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3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3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3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3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3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3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3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3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3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3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3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3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3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3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3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3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3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3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3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3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3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3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3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3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3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3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3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3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3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3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3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3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3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3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3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3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3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3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3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3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3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3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3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3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3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3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3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3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3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3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3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3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3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3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3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3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3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3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3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3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3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3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3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3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3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3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3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3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3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3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3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3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3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3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3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3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3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3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3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3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3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3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3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3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3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3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3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3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3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3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3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3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3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3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3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3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3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3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3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3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3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3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3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3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3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6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6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6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6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6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6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6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6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6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6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6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6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6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6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6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6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6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6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6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6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6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6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6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6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6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6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6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6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6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6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6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6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6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6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6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6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6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6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6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6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6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6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6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6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6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6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6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6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6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6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6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6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6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6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6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6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6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6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6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6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6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6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6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6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6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6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6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6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6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6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6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6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6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6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6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6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6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6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6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6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6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6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6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6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6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6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6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6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6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6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6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6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6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6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6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6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6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6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6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6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6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6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6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6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6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6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6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6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6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6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6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6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6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6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6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6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6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6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6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6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6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6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6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6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6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6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6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6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6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6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6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6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6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6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6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6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6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6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6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6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6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6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6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6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6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6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6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6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6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6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6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6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6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6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6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6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6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6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6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6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6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6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6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6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6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6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6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6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6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6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6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6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6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6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6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6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6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6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6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6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6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6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6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6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6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6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6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2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2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2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2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2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2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2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2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2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2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2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2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2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2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2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2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2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2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2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2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2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2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2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2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2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2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2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2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2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2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2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2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2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2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2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2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2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2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2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2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2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2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2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2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2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2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2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2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2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2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2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2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2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2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2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2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2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2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2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2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2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2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2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2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2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2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2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2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2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2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2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2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2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2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2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2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2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2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2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2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2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2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2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2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2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2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2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2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2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2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2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2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2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2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2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2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2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2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2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2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2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2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2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2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2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2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2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2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2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2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2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2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2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2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2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2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2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2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2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2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2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2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2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2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2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2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2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2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2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2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2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2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2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2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2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2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2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2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2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2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2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2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2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2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2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2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2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2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2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2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2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2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2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2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2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2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2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2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2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2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2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2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2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2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2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2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2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2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2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2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2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2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2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2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2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2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2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2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2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2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2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2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2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2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2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6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6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6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6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6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6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6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6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6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6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6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6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6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6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6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6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6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6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6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6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6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6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6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6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6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6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6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6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6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6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6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6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6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6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6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6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6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6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6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6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6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6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6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6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6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6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6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6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6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6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6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6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6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6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6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6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6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6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6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6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6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6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6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6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6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6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6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6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6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6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6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6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6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6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6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6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6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6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6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6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6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6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6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6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6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6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6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6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6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6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6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6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6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6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6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6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6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6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6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6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6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6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6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6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6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6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6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6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6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6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6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6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6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6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6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6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6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6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6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6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6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6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6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6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6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6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6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6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6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6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6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6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6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6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6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6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6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6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6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6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6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6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6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6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6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6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6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6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6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6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6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6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6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6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6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6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6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6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6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6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6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6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6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6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6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6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6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6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6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6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6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6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6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6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6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6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6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6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6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6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6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6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6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6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6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6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6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6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6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6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6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6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6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6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6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6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6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6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6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6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6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6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6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6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6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6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6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6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6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6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6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6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6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6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6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6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6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6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6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6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6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6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6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6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6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6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6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6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6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6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6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6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6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6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6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6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6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6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6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6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6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6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6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6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6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6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6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6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6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6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6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6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6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6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6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6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6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6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6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6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6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6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6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6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6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6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6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6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6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6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6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6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6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6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6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6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6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6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6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6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6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6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6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6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6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6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6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6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6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6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6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6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6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6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6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6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6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6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6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6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6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6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6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6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6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6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6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6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6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6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6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6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6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6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6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6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6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6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6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6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6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6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6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6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6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6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6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6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6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6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6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6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6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6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6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6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6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6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6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6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6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6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6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6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6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6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6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6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6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6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6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6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6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6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6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6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6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6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6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6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6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6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6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6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6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6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6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6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6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6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6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6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6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6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6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6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6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6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6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6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6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6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6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6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6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6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6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6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6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6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6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6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6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6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6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6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6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6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6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6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6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6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6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6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6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6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6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6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6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6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6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6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6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6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6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6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6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6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6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6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6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6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6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6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6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6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6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6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6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6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6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6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6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6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6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6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6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6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6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6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6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6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6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6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6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6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6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6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6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6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6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6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6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6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6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6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6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6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6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6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6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6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6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6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6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6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6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6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6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6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6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6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6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6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6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6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6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6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6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6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6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6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6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6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6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6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6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6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6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6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6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6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6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6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6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6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6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6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6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6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6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6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6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6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6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6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6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6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6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6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6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6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6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6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6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6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6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6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6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6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6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6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6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6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6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6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6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6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6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6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6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6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6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6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6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6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6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6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6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6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6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6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6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6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6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6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6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6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6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6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6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6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6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6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6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6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6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6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6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6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4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4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4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4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4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4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4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4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4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4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4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4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4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4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4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4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4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4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4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4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4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4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4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4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4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4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4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4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4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4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4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4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4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4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4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4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4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4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4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4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4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4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4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4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4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4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4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4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4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4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4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4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4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4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4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4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4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4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4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4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4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4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4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4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4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4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4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4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4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4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4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4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4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4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4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4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4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4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4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4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4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4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4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4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4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4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4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4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4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4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4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4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4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4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4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4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4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4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4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4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4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4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4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4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4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4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4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4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4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4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4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4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4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4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4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4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4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4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4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4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4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4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4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4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4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4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4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4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4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4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4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4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4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4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4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4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4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4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4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4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4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4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4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4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4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4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4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4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4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4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4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4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4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4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4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4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4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4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4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4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4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4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4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4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4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4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4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4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4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4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4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4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4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4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4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4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4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4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4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4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4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4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4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4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4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4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4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4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5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5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5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5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5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5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5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5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5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5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5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5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5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5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5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5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5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5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5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5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5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5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5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5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5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5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5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5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5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5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5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5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5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5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5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5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5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5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5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5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5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5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5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5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5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5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5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5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5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5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5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5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5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5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5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5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5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5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5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5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5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5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5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5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5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5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5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5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5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5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5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5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5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5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5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5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5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5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5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5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5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5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5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5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5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5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5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5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5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5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5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5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5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5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5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5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5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5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5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5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5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5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5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5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5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5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5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5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5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5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5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5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5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5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5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5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5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5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5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5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5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5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5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5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5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5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5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5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5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5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5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5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5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5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5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5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5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5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5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5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5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5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5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5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5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5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5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5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5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5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5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5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5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5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5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5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5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5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5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5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5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5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5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5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5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5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5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5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5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5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5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5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5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5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5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5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5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5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5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5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5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5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5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5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5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5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6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6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6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6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6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6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6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6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6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6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6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6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6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6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6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6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6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6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6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6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6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6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6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6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6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6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6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6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6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6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6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6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6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6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6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6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6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6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6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6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6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6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6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6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6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6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6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6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6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6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6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6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6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6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6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6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6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6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6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6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6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6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6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6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6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6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6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6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6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6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6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6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6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6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6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6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6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6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6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6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6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6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6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6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6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6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6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6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6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6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6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6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6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6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6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6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6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6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6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6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6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6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6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6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6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6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6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6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6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6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6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6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6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6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6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6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6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6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6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6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6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6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6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6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6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6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6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6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6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6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6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6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6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6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6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6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6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6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6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6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6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6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6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6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6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6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6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6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6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6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6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6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6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6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6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6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6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6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6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6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6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6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6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6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6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6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6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6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6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6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6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6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6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6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6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6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6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6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6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6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6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6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6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6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6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6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6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5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5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5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5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5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5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5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5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5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5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5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5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5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5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5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5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5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5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5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5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5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5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5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5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5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5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5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5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5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5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5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5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5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5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5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5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5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5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5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5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5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5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5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5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5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5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5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5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5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5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5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5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5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5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5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5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5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5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5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5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5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5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5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5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5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5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5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5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5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5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5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5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5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5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5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5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5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5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5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5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5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5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5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5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5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5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5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5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5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5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5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5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5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5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5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5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5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5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5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5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5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5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5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5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5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5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5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5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5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5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5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5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5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5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5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5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5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5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5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5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5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5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5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5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5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5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5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5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5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5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5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5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5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5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5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5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5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5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5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5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5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5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5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5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5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5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5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5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5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5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5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5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5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5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5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5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5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5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5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5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5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5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5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5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5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5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5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5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5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5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5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5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5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5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5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5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5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5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5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5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5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5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5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5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5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5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5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4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4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4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4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4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4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4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4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4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4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4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4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4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4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4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4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4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4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4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4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4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4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4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4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4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4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4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4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4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4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4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4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4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4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4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4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4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4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4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4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4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4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4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4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4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4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4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4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4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4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4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4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4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4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4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4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4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4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4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4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4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4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4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4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4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4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4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4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4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4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4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4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4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4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4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4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4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4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4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4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4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4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4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4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4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4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4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4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4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4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4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4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4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4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4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4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4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4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4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4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4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4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4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4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4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4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4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4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4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4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4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4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4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4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4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4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4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4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4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4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4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4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4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4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4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4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4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4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4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4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4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4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4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4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4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4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4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4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4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4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4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4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4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4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4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4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4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4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4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4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4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4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4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4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4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4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4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4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4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4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4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4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4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4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4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4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4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4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4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4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4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4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4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4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4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4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4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4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4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4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4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4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4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4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5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5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5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5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5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5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5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5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5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5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5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5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4.125</v>
      </c>
      <c r="R70">
        <f>SUBTOTAL(101,Table46[2024-10-17])</f>
        <v>4.125</v>
      </c>
      <c r="S70">
        <f>SUBTOTAL(101,Table46[2024-10-18])</f>
        <v>4.125</v>
      </c>
      <c r="T70">
        <f>SUBTOTAL(101,Table46[2024-10-19])</f>
        <v>4.125</v>
      </c>
      <c r="U70">
        <f>SUBTOTAL(101,Table46[2024-10-20])</f>
        <v>4.125</v>
      </c>
      <c r="V70">
        <f>SUBTOTAL(101,Table46[2024-10-21])</f>
        <v>4.125</v>
      </c>
      <c r="W70">
        <f>SUBTOTAL(101,Table46[2024-10-22])</f>
        <v>4.125</v>
      </c>
      <c r="X70">
        <f>SUBTOTAL(101,Table46[2024-10-23])</f>
        <v>4.125</v>
      </c>
      <c r="Y70">
        <f>SUBTOTAL(101,Table46[2024-10-24])</f>
        <v>4.125</v>
      </c>
      <c r="Z70">
        <f>SUBTOTAL(101,Table46[2024-10-25])</f>
        <v>4.125</v>
      </c>
      <c r="AA70">
        <f>SUBTOTAL(101,Table46[2024-10-26])</f>
        <v>4.125</v>
      </c>
      <c r="AB70">
        <f>SUBTOTAL(101,Table46[2024-10-27])</f>
        <v>4.125</v>
      </c>
      <c r="AC70">
        <f>SUBTOTAL(101,Table46[2024-10-28])</f>
        <v>4.125</v>
      </c>
      <c r="AD70">
        <f>SUBTOTAL(101,Table46[2024-10-29])</f>
        <v>4.125</v>
      </c>
      <c r="AE70">
        <f>SUBTOTAL(101,Table46[2024-10-30])</f>
        <v>4.125</v>
      </c>
      <c r="AF70">
        <f>SUBTOTAL(101,Table46[2024-10-31])</f>
        <v>4.125</v>
      </c>
      <c r="AG70">
        <f>SUBTOTAL(101,Table46[2024-11-01])</f>
        <v>4.125</v>
      </c>
      <c r="AH70">
        <f>SUBTOTAL(101,Table46[2024-11-02])</f>
        <v>4.125</v>
      </c>
      <c r="AI70">
        <f>SUBTOTAL(101,Table46[2024-11-03])</f>
        <v>4.125</v>
      </c>
      <c r="AJ70">
        <f>SUBTOTAL(101,Table46[2024-11-04])</f>
        <v>4.125</v>
      </c>
      <c r="AK70">
        <f>SUBTOTAL(101,Table46[2024-11-05])</f>
        <v>4.125</v>
      </c>
      <c r="AL70">
        <f>SUBTOTAL(101,Table46[2024-11-06])</f>
        <v>4.125</v>
      </c>
      <c r="AM70">
        <f>SUBTOTAL(101,Table46[2024-11-07])</f>
        <v>4.125</v>
      </c>
      <c r="AN70">
        <f>SUBTOTAL(101,Table46[2024-11-08])</f>
        <v>4.125</v>
      </c>
      <c r="AO70">
        <f>SUBTOTAL(101,Table46[2024-11-09])</f>
        <v>4.125</v>
      </c>
      <c r="AP70">
        <f>SUBTOTAL(101,Table46[2024-11-10])</f>
        <v>4.125</v>
      </c>
      <c r="AQ70">
        <f>SUBTOTAL(101,Table46[2024-11-11])</f>
        <v>4.125</v>
      </c>
      <c r="AR70">
        <f>SUBTOTAL(101,Table46[2024-11-12])</f>
        <v>4.125</v>
      </c>
      <c r="AS70">
        <f>SUBTOTAL(101,Table46[2024-11-13])</f>
        <v>4.125</v>
      </c>
      <c r="AT70">
        <f>SUBTOTAL(101,Table46[2024-11-14])</f>
        <v>4.125</v>
      </c>
      <c r="AU70">
        <f>SUBTOTAL(101,Table46[2024-11-15])</f>
        <v>4.125</v>
      </c>
      <c r="AV70">
        <f>SUBTOTAL(101,Table46[2024-11-16])</f>
        <v>4.125</v>
      </c>
      <c r="AW70">
        <f>SUBTOTAL(101,Table46[2024-11-17])</f>
        <v>4.125</v>
      </c>
      <c r="AX70">
        <f>SUBTOTAL(101,Table46[2024-11-18])</f>
        <v>4.125</v>
      </c>
      <c r="AY70">
        <f>SUBTOTAL(101,Table46[2024-11-19])</f>
        <v>4.125</v>
      </c>
      <c r="AZ70">
        <f>SUBTOTAL(101,Table46[2024-11-20])</f>
        <v>4.125</v>
      </c>
      <c r="BA70">
        <f>SUBTOTAL(101,Table46[2024-11-21])</f>
        <v>4.125</v>
      </c>
      <c r="BB70">
        <f>SUBTOTAL(101,Table46[2024-11-22])</f>
        <v>4.125</v>
      </c>
      <c r="BC70">
        <f>SUBTOTAL(101,Table46[2024-11-23])</f>
        <v>4.125</v>
      </c>
      <c r="BD70">
        <f>SUBTOTAL(101,Table46[2024-11-24])</f>
        <v>4.125</v>
      </c>
      <c r="BE70">
        <f>SUBTOTAL(101,Table46[2024-11-25])</f>
        <v>4.125</v>
      </c>
      <c r="BF70">
        <f>SUBTOTAL(101,Table46[2024-11-26])</f>
        <v>4.125</v>
      </c>
      <c r="BG70">
        <f>SUBTOTAL(101,Table46[2024-11-27])</f>
        <v>4.125</v>
      </c>
      <c r="BH70">
        <f>SUBTOTAL(101,Table46[2024-11-28])</f>
        <v>4.125</v>
      </c>
      <c r="BI70">
        <f>SUBTOTAL(101,Table46[2024-11-29])</f>
        <v>4.125</v>
      </c>
      <c r="BJ70">
        <f>SUBTOTAL(101,Table46[2024-11-30])</f>
        <v>4.125</v>
      </c>
      <c r="BK70">
        <f>SUBTOTAL(101,Table46[2024-12-01])</f>
        <v>4.125</v>
      </c>
      <c r="BL70">
        <f>SUBTOTAL(101,Table46[2024-12-02])</f>
        <v>4.125</v>
      </c>
      <c r="BM70">
        <f>SUBTOTAL(101,Table46[2024-12-03])</f>
        <v>4.125</v>
      </c>
      <c r="BN70">
        <f>SUBTOTAL(101,Table46[2024-12-04])</f>
        <v>4.125</v>
      </c>
      <c r="BO70">
        <f>SUBTOTAL(101,Table46[2024-12-05])</f>
        <v>4.125</v>
      </c>
      <c r="BP70">
        <f>SUBTOTAL(101,Table46[2024-12-06])</f>
        <v>4.125</v>
      </c>
      <c r="BQ70">
        <f>SUBTOTAL(101,Table46[2024-12-07])</f>
        <v>4.125</v>
      </c>
      <c r="BR70">
        <f>SUBTOTAL(101,Table46[2024-12-08])</f>
        <v>4.125</v>
      </c>
      <c r="BS70">
        <f>SUBTOTAL(101,Table46[2024-12-09])</f>
        <v>4.125</v>
      </c>
      <c r="BT70">
        <f>SUBTOTAL(101,Table46[2024-12-10])</f>
        <v>4.125</v>
      </c>
      <c r="BU70">
        <f>SUBTOTAL(101,Table46[2024-12-11])</f>
        <v>4.125</v>
      </c>
      <c r="BV70">
        <f>SUBTOTAL(101,Table46[2024-12-12])</f>
        <v>4.125</v>
      </c>
      <c r="BW70">
        <f>SUBTOTAL(101,Table46[2024-12-13])</f>
        <v>4.125</v>
      </c>
      <c r="BX70">
        <f>SUBTOTAL(101,Table46[2024-12-14])</f>
        <v>4.125</v>
      </c>
      <c r="BY70">
        <f>SUBTOTAL(101,Table46[2024-12-15])</f>
        <v>4.125</v>
      </c>
      <c r="BZ70">
        <f>SUBTOTAL(101,Table46[2024-12-16])</f>
        <v>4.125</v>
      </c>
      <c r="CA70">
        <f>SUBTOTAL(101,Table46[2024-12-17])</f>
        <v>4.125</v>
      </c>
      <c r="CB70">
        <f>SUBTOTAL(101,Table46[2024-12-18])</f>
        <v>4.125</v>
      </c>
      <c r="CC70">
        <f>SUBTOTAL(101,Table46[2024-12-19])</f>
        <v>4.125</v>
      </c>
      <c r="CD70">
        <f>SUBTOTAL(101,Table46[2024-12-20])</f>
        <v>4.125</v>
      </c>
      <c r="CE70">
        <f>SUBTOTAL(101,Table46[2024-12-21])</f>
        <v>4.125</v>
      </c>
      <c r="CF70">
        <f>SUBTOTAL(101,Table46[2024-12-22])</f>
        <v>4.125</v>
      </c>
      <c r="CG70">
        <f>SUBTOTAL(101,Table46[2024-12-23])</f>
        <v>4.125</v>
      </c>
      <c r="CH70">
        <f>SUBTOTAL(101,Table46[2024-12-24])</f>
        <v>4.125</v>
      </c>
      <c r="CI70">
        <f>SUBTOTAL(101,Table46[2024-12-25])</f>
        <v>4.125</v>
      </c>
      <c r="CJ70">
        <f>SUBTOTAL(101,Table46[2024-12-26])</f>
        <v>4.125</v>
      </c>
      <c r="CK70">
        <f>SUBTOTAL(101,Table46[2024-12-27])</f>
        <v>4.125</v>
      </c>
      <c r="CL70">
        <f>SUBTOTAL(101,Table46[2024-12-28])</f>
        <v>4.125</v>
      </c>
      <c r="CM70">
        <f>SUBTOTAL(101,Table46[2024-12-29])</f>
        <v>4.125</v>
      </c>
      <c r="CN70">
        <f>SUBTOTAL(101,Table46[2024-12-30])</f>
        <v>4.125</v>
      </c>
      <c r="CO70">
        <f>SUBTOTAL(101,Table46[2024-12-31])</f>
        <v>4.125</v>
      </c>
      <c r="CP70">
        <f>SUBTOTAL(101,Table46[2025-01-01])</f>
        <v>4.125</v>
      </c>
      <c r="CQ70">
        <f>SUBTOTAL(101,Table46[2025-01-02])</f>
        <v>4.125</v>
      </c>
      <c r="CR70">
        <f>SUBTOTAL(101,Table46[2025-01-03])</f>
        <v>4.125</v>
      </c>
      <c r="CS70">
        <f>SUBTOTAL(101,Table46[2025-01-04])</f>
        <v>4.125</v>
      </c>
      <c r="CT70">
        <f>SUBTOTAL(101,Table46[2025-01-05])</f>
        <v>4.125</v>
      </c>
      <c r="CU70">
        <f>SUBTOTAL(101,Table46[2025-01-06])</f>
        <v>4.125</v>
      </c>
      <c r="CV70">
        <f>SUBTOTAL(101,Table46[2025-01-07])</f>
        <v>4.125</v>
      </c>
      <c r="CW70">
        <f>SUBTOTAL(101,Table46[2025-01-08])</f>
        <v>4.125</v>
      </c>
      <c r="CX70">
        <f>SUBTOTAL(101,Table46[2025-01-09])</f>
        <v>4.125</v>
      </c>
      <c r="CY70">
        <f>SUBTOTAL(101,Table46[2025-01-10])</f>
        <v>4.125</v>
      </c>
      <c r="CZ70">
        <f>SUBTOTAL(101,Table46[2025-01-11])</f>
        <v>4.125</v>
      </c>
      <c r="DA70">
        <f>SUBTOTAL(101,Table46[2025-01-12])</f>
        <v>4.125</v>
      </c>
      <c r="DB70">
        <f>SUBTOTAL(101,Table46[2025-01-13])</f>
        <v>4.125</v>
      </c>
      <c r="DC70">
        <f>SUBTOTAL(101,Table46[2025-01-14])</f>
        <v>4.125</v>
      </c>
      <c r="DD70">
        <f>SUBTOTAL(101,Table46[2025-01-15])</f>
        <v>4.125</v>
      </c>
      <c r="DE70">
        <f>SUBTOTAL(101,Table46[2025-01-16])</f>
        <v>4.125</v>
      </c>
      <c r="DF70">
        <f>SUBTOTAL(101,Table46[2025-01-17])</f>
        <v>4.125</v>
      </c>
      <c r="DG70">
        <f>SUBTOTAL(101,Table46[2025-01-18])</f>
        <v>4.125</v>
      </c>
      <c r="DH70">
        <f>SUBTOTAL(101,Table46[2025-01-19])</f>
        <v>4.125</v>
      </c>
      <c r="DI70">
        <f>SUBTOTAL(101,Table46[2025-01-20])</f>
        <v>4.125</v>
      </c>
      <c r="DJ70">
        <f>SUBTOTAL(101,Table46[2025-01-21])</f>
        <v>4.125</v>
      </c>
      <c r="DK70">
        <f>SUBTOTAL(101,Table46[2025-01-22])</f>
        <v>4.125</v>
      </c>
      <c r="DL70">
        <f>SUBTOTAL(101,Table46[2025-01-23])</f>
        <v>4.125</v>
      </c>
      <c r="DM70">
        <f>SUBTOTAL(101,Table46[2025-01-24])</f>
        <v>4.125</v>
      </c>
      <c r="DN70">
        <f>SUBTOTAL(101,Table46[2025-01-25])</f>
        <v>4.125</v>
      </c>
      <c r="DO70">
        <f>SUBTOTAL(101,Table46[2025-01-26])</f>
        <v>4.125</v>
      </c>
      <c r="DP70">
        <f>SUBTOTAL(101,Table46[2025-01-27])</f>
        <v>4.125</v>
      </c>
      <c r="DQ70">
        <f>SUBTOTAL(101,Table46[2025-01-28])</f>
        <v>4.125</v>
      </c>
      <c r="DR70">
        <f>SUBTOTAL(101,Table46[2025-01-29])</f>
        <v>4.125</v>
      </c>
      <c r="DS70">
        <f>SUBTOTAL(101,Table46[2025-01-30])</f>
        <v>4.125</v>
      </c>
      <c r="DT70">
        <f>SUBTOTAL(101,Table46[2025-01-31])</f>
        <v>4.125</v>
      </c>
      <c r="DU70">
        <f>SUBTOTAL(101,Table46[2025-02-01])</f>
        <v>4.125</v>
      </c>
      <c r="DV70">
        <f>SUBTOTAL(101,Table46[2025-02-02])</f>
        <v>4.125</v>
      </c>
      <c r="DW70">
        <f>SUBTOTAL(101,Table46[2025-02-03])</f>
        <v>4.125</v>
      </c>
      <c r="DX70">
        <f>SUBTOTAL(101,Table46[2025-02-04])</f>
        <v>4.125</v>
      </c>
      <c r="DY70">
        <f>SUBTOTAL(101,Table46[2025-02-05])</f>
        <v>4.125</v>
      </c>
      <c r="DZ70">
        <f>SUBTOTAL(101,Table46[2025-02-06])</f>
        <v>4.125</v>
      </c>
      <c r="EA70">
        <f>SUBTOTAL(101,Table46[2025-02-07])</f>
        <v>4.125</v>
      </c>
      <c r="EB70">
        <f>SUBTOTAL(101,Table46[2025-02-08])</f>
        <v>4.125</v>
      </c>
      <c r="EC70">
        <f>SUBTOTAL(101,Table46[2025-02-09])</f>
        <v>4.125</v>
      </c>
      <c r="ED70">
        <f>SUBTOTAL(101,Table46[2025-02-10])</f>
        <v>4.125</v>
      </c>
      <c r="EE70">
        <f>SUBTOTAL(101,Table46[2025-02-11])</f>
        <v>4.125</v>
      </c>
      <c r="EF70">
        <f>SUBTOTAL(101,Table46[2025-02-12])</f>
        <v>4.125</v>
      </c>
      <c r="EG70">
        <f>SUBTOTAL(101,Table46[2025-02-13])</f>
        <v>4.125</v>
      </c>
      <c r="EH70">
        <f>SUBTOTAL(101,Table46[2025-02-14])</f>
        <v>4.125</v>
      </c>
      <c r="EI70">
        <f>SUBTOTAL(101,Table46[2025-02-15])</f>
        <v>4.125</v>
      </c>
      <c r="EJ70">
        <f>SUBTOTAL(101,Table46[2025-02-16])</f>
        <v>4.125</v>
      </c>
      <c r="EK70">
        <f>SUBTOTAL(101,Table46[2025-02-17])</f>
        <v>4.125</v>
      </c>
      <c r="EL70">
        <f>SUBTOTAL(101,Table46[2025-02-18])</f>
        <v>4.125</v>
      </c>
      <c r="EM70">
        <f>SUBTOTAL(101,Table46[2025-02-19])</f>
        <v>4.125</v>
      </c>
      <c r="EN70">
        <f>SUBTOTAL(101,Table46[2025-02-20])</f>
        <v>4.125</v>
      </c>
      <c r="EO70">
        <f>SUBTOTAL(101,Table46[2025-02-21])</f>
        <v>4.125</v>
      </c>
      <c r="EP70">
        <f>SUBTOTAL(101,Table46[2025-02-22])</f>
        <v>4.125</v>
      </c>
      <c r="EQ70">
        <f>SUBTOTAL(101,Table46[2025-02-23])</f>
        <v>4.125</v>
      </c>
      <c r="ER70">
        <f>SUBTOTAL(101,Table46[2025-02-24])</f>
        <v>4.125</v>
      </c>
      <c r="ES70">
        <f>SUBTOTAL(101,Table46[2025-02-25])</f>
        <v>4.125</v>
      </c>
      <c r="ET70">
        <f>SUBTOTAL(101,Table46[2025-02-26])</f>
        <v>4.125</v>
      </c>
      <c r="EU70">
        <f>SUBTOTAL(101,Table46[2025-02-27])</f>
        <v>4.125</v>
      </c>
      <c r="EV70">
        <f>SUBTOTAL(101,Table46[2025-02-28])</f>
        <v>4.125</v>
      </c>
      <c r="EW70">
        <f>SUBTOTAL(101,Table46[2025-03-01])</f>
        <v>4.125</v>
      </c>
      <c r="EX70">
        <f>SUBTOTAL(101,Table46[2025-03-02])</f>
        <v>4.125</v>
      </c>
      <c r="EY70">
        <f>SUBTOTAL(101,Table46[2025-03-03])</f>
        <v>4.125</v>
      </c>
      <c r="EZ70">
        <f>SUBTOTAL(101,Table46[2025-03-04])</f>
        <v>4.125</v>
      </c>
      <c r="FA70">
        <f>SUBTOTAL(101,Table46[2025-03-05])</f>
        <v>4.125</v>
      </c>
      <c r="FB70">
        <f>SUBTOTAL(101,Table46[2025-03-06])</f>
        <v>4.125</v>
      </c>
      <c r="FC70">
        <f>SUBTOTAL(101,Table46[2025-03-07])</f>
        <v>4.125</v>
      </c>
      <c r="FD70">
        <f>SUBTOTAL(101,Table46[2025-03-08])</f>
        <v>4.125</v>
      </c>
      <c r="FE70">
        <f>SUBTOTAL(101,Table46[2025-03-09])</f>
        <v>4.125</v>
      </c>
      <c r="FF70">
        <f>SUBTOTAL(101,Table46[2025-03-10])</f>
        <v>4.125</v>
      </c>
      <c r="FG70">
        <f>SUBTOTAL(101,Table46[2025-03-11])</f>
        <v>4.125</v>
      </c>
      <c r="FH70">
        <f>SUBTOTAL(101,Table46[2025-03-12])</f>
        <v>4.125</v>
      </c>
      <c r="FI70">
        <f>SUBTOTAL(101,Table46[2025-03-13])</f>
        <v>4.125</v>
      </c>
      <c r="FJ70">
        <f>SUBTOTAL(101,Table46[2025-03-14])</f>
        <v>4.125</v>
      </c>
      <c r="FK70">
        <f>SUBTOTAL(101,Table46[2025-03-15])</f>
        <v>4.125</v>
      </c>
      <c r="FL70">
        <f>SUBTOTAL(101,Table46[2025-03-16])</f>
        <v>4.125</v>
      </c>
      <c r="FM70">
        <f>SUBTOTAL(101,Table46[2025-03-17])</f>
        <v>4.125</v>
      </c>
      <c r="FN70">
        <f>SUBTOTAL(101,Table46[2025-03-18])</f>
        <v>4.125</v>
      </c>
      <c r="FO70">
        <f>SUBTOTAL(101,Table46[2025-03-19])</f>
        <v>4.125</v>
      </c>
      <c r="FP70">
        <f>SUBTOTAL(101,Table46[2025-03-20])</f>
        <v>4.125</v>
      </c>
      <c r="FQ70">
        <f>SUBTOTAL(101,Table46[2025-03-21])</f>
        <v>4.125</v>
      </c>
      <c r="FR70">
        <f>SUBTOTAL(101,Table46[2025-03-22])</f>
        <v>4.125</v>
      </c>
      <c r="FS70">
        <f>SUBTOTAL(101,Table46[2025-03-23])</f>
        <v>4.125</v>
      </c>
      <c r="FT70">
        <f>SUBTOTAL(101,Table46[2025-03-24])</f>
        <v>4.125</v>
      </c>
      <c r="FU70">
        <f>SUBTOTAL(101,Table46[2025-03-25])</f>
        <v>4.125</v>
      </c>
      <c r="FV70">
        <f>SUBTOTAL(101,Table46[2025-03-26])</f>
        <v>4.125</v>
      </c>
      <c r="FW70">
        <f>SUBTOTAL(101,Table46[2025-03-27])</f>
        <v>4.125</v>
      </c>
      <c r="FX70">
        <f>SUBTOTAL(101,Table46[2025-03-28])</f>
        <v>4.125</v>
      </c>
      <c r="FY70">
        <f>SUBTOTAL(101,Table46[2025-03-29])</f>
        <v>4.125</v>
      </c>
      <c r="FZ70">
        <f>SUBTOTAL(101,Table46[2025-03-30])</f>
        <v>4.125</v>
      </c>
      <c r="GA70">
        <f>SUBTOTAL(101,Table46[2025-03-31])</f>
        <v>4.125</v>
      </c>
      <c r="GB70">
        <f>SUBTOTAL(101,Table46[2025-04-01])</f>
        <v>4.125</v>
      </c>
      <c r="GC70">
        <f>SUBTOTAL(101,Table46[2025-04-02])</f>
        <v>4.125</v>
      </c>
      <c r="GD70">
        <f>SUBTOTAL(101,Table46[2025-04-03])</f>
        <v>4.125</v>
      </c>
      <c r="GE70">
        <f>SUBTOTAL(101,Table46[2025-04-04])</f>
        <v>4.125</v>
      </c>
      <c r="GF70">
        <f>SUBTOTAL(101,Table46[2025-04-05])</f>
        <v>4.125</v>
      </c>
      <c r="GG70">
        <f>SUBTOTAL(101,Table46[2025-04-06])</f>
        <v>4.125</v>
      </c>
      <c r="GH70">
        <f>SUBTOTAL(101,Table46[2025-04-07])</f>
        <v>4.125</v>
      </c>
      <c r="GI70">
        <f>SUBTOTAL(101,Table46[2025-04-08])</f>
        <v>4.125</v>
      </c>
      <c r="GJ70">
        <f>SUBTOTAL(101,Table46[2025-04-09])</f>
        <v>4.125</v>
      </c>
      <c r="GK70">
        <f>SUBTOTAL(101,Table46[2025-04-10])</f>
        <v>4.125</v>
      </c>
      <c r="GL70">
        <f>SUBTOTAL(101,Table46[2025-04-11])</f>
        <v>4.125</v>
      </c>
      <c r="GM70">
        <f>SUBTOTAL(101,Table46[2025-04-12])</f>
        <v>4.125</v>
      </c>
      <c r="GN70">
        <f>SUBTOTAL(101,Table46[2025-04-13])</f>
        <v>4.125</v>
      </c>
      <c r="GO70">
        <f>SUBTOTAL(101,Table46[2025-04-14])</f>
        <v>4.125</v>
      </c>
      <c r="GP70">
        <f>SUBTOTAL(101,Table46[2025-04-15])</f>
        <v>4.125</v>
      </c>
      <c r="GQ70">
        <f>SUBTOTAL(101,Table46[2025-04-16])</f>
        <v>4.125</v>
      </c>
      <c r="GR70">
        <f>SUBTOTAL(101,Table46[2025-04-17])</f>
        <v>4.125</v>
      </c>
      <c r="GS70">
        <f>SUBTOTAL(101,Table46[2025-04-18])</f>
        <v>4.125</v>
      </c>
      <c r="GT70">
        <f>SUBTOTAL(101,Table46[2025-04-19])</f>
        <v>4.125</v>
      </c>
      <c r="GU70">
        <f>SUBTOTAL(101,Table46[2025-04-20])</f>
        <v>4.125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4" zoomScaleNormal="100" workbookViewId="0">
      <selection activeCell="BH13" sqref="BH13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1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65">
        <f t="shared" ref="BP5" si="1">BO5+BO6</f>
        <v>4</v>
      </c>
      <c r="BQ5" s="166">
        <f t="shared" ref="BQ5" si="2">82-BP5</f>
        <v>78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65">
        <f t="shared" ref="BP7" si="3">BO7+BO8</f>
        <v>4</v>
      </c>
      <c r="BQ7" s="166">
        <f t="shared" ref="BQ7" si="4">82-BP7</f>
        <v>78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3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1</v>
      </c>
      <c r="BP9" s="165">
        <f t="shared" ref="BP9" si="5">BO9+BO10</f>
        <v>3</v>
      </c>
      <c r="BQ9" s="166">
        <f t="shared" ref="BQ9" si="6">82-BP9</f>
        <v>79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5">
        <f t="shared" ref="BP11" si="7">BO11+BO12</f>
        <v>3</v>
      </c>
      <c r="BQ11" s="166">
        <f t="shared" ref="BQ11" si="8">82-BP11</f>
        <v>79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3</v>
      </c>
      <c r="BP13" s="165">
        <f t="shared" ref="BP13" si="9">BO13+BO14</f>
        <v>5</v>
      </c>
      <c r="BQ13" s="166">
        <f t="shared" ref="BQ13" si="10">82-BP13</f>
        <v>77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65">
        <f t="shared" ref="BP15" si="11">BO15+BO16</f>
        <v>5</v>
      </c>
      <c r="BQ15" s="166">
        <f t="shared" ref="BQ15" si="12">82-BP15</f>
        <v>77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65">
        <f t="shared" ref="BP17" si="13">BO17+BO18</f>
        <v>4</v>
      </c>
      <c r="BQ17" s="166">
        <f t="shared" ref="BQ17" si="14">82-BP17</f>
        <v>78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65">
        <f t="shared" ref="BP19" si="15">BO19+BO20</f>
        <v>3</v>
      </c>
      <c r="BQ19" s="166">
        <f t="shared" ref="BQ19" si="16">82-BP19</f>
        <v>79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1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4</v>
      </c>
      <c r="BQ21" s="166">
        <f t="shared" ref="BQ21" si="18">82-BP21</f>
        <v>78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3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1</v>
      </c>
      <c r="BP23" s="165">
        <f t="shared" ref="BP23" si="19">BO23+BO24</f>
        <v>3</v>
      </c>
      <c r="BQ23" s="166">
        <f t="shared" ref="BQ23" si="20">82-BP23</f>
        <v>79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2</v>
      </c>
      <c r="BP25" s="165">
        <f t="shared" ref="BP25" si="21">BO25+BO26</f>
        <v>5</v>
      </c>
      <c r="BQ25" s="166">
        <f t="shared" ref="BQ25" si="22">82-BP25</f>
        <v>77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5">
        <f t="shared" ref="BP27" si="23">BO27+BO28</f>
        <v>4</v>
      </c>
      <c r="BQ27" s="166">
        <f t="shared" ref="BQ27" si="24">82-BP27</f>
        <v>78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2</v>
      </c>
      <c r="BP29" s="165">
        <f t="shared" ref="BP29" si="25">BO29+BO30</f>
        <v>4</v>
      </c>
      <c r="BQ29" s="166">
        <f t="shared" ref="BQ29" si="26">82-BP29</f>
        <v>78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4</v>
      </c>
      <c r="BQ31" s="166">
        <f t="shared" ref="BQ31" si="28">82-BP31</f>
        <v>78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1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5">
        <f t="shared" ref="BP33" si="29">BO33+BO34</f>
        <v>3</v>
      </c>
      <c r="BQ33" s="166">
        <f t="shared" ref="BQ33" si="30">82-BP33</f>
        <v>79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2</v>
      </c>
      <c r="BP35" s="165">
        <f t="shared" ref="BP35" si="31">BO35+BO36</f>
        <v>4</v>
      </c>
      <c r="BQ35" s="166">
        <f t="shared" ref="BQ35" si="32">82-BP35</f>
        <v>78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65">
        <f t="shared" ref="BP37" si="33">BO37+BO38</f>
        <v>3</v>
      </c>
      <c r="BQ37" s="166">
        <f t="shared" ref="BQ37" si="34">82-BP37</f>
        <v>79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65">
        <f t="shared" ref="BP39" si="35">BO39+BO40</f>
        <v>5</v>
      </c>
      <c r="BQ39" s="166">
        <f t="shared" ref="BQ39" si="36">82-BP39</f>
        <v>77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65">
        <f t="shared" ref="BP41" si="37">BO41+BO42</f>
        <v>4</v>
      </c>
      <c r="BQ41" s="166">
        <f t="shared" ref="BQ41" si="38">82-BP41</f>
        <v>78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3</v>
      </c>
      <c r="BQ43" s="166">
        <f t="shared" ref="BQ43" si="40">82-BP43</f>
        <v>79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2</v>
      </c>
      <c r="BP45" s="165">
        <f t="shared" ref="BP45" si="41">BO45+BO46</f>
        <v>4</v>
      </c>
      <c r="BQ45" s="166">
        <f t="shared" ref="BQ45" si="42">82-BP45</f>
        <v>78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1</v>
      </c>
      <c r="BP47" s="165">
        <f t="shared" ref="BP47" si="43">BO47+BO48</f>
        <v>3</v>
      </c>
      <c r="BQ47" s="166">
        <f t="shared" ref="BQ47" si="44">82-BP47</f>
        <v>79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65">
        <f t="shared" ref="BP49" si="45">BO49+BO50</f>
        <v>3</v>
      </c>
      <c r="BQ49" s="166">
        <f t="shared" ref="BQ49" si="46">82-BP49</f>
        <v>79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3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4</v>
      </c>
      <c r="BQ51" s="166">
        <f t="shared" ref="BQ51" si="48">82-BP51</f>
        <v>78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2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2</v>
      </c>
      <c r="BP53" s="165">
        <f t="shared" ref="BP53" si="49">BO53+BO54</f>
        <v>4</v>
      </c>
      <c r="BQ53" s="166">
        <f t="shared" ref="BQ53" si="50">82-BP53</f>
        <v>78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4</v>
      </c>
      <c r="BQ55" s="166">
        <f t="shared" ref="BQ55" si="52">82-BP55</f>
        <v>78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3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4</v>
      </c>
      <c r="BQ57" s="166">
        <f t="shared" ref="BQ57" si="54">82-BP57</f>
        <v>78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1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65">
        <f t="shared" ref="BP59" si="55">BO59+BO60</f>
        <v>3</v>
      </c>
      <c r="BQ59" s="166">
        <f t="shared" ref="BQ59" si="56">82-BP59</f>
        <v>79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4</v>
      </c>
      <c r="BQ61" s="166">
        <f t="shared" ref="BQ61" si="58">82-BP61</f>
        <v>78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65">
        <f t="shared" ref="BP63" si="59">BO63+BO64</f>
        <v>3</v>
      </c>
      <c r="BQ63" s="166">
        <f t="shared" ref="BQ63" si="60">82-BP63</f>
        <v>79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4</v>
      </c>
      <c r="BQ65" s="166">
        <f t="shared" ref="BQ65" si="62">82-BP65</f>
        <v>78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2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69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6" workbookViewId="0">
      <selection activeCell="AQ48" sqref="AQ47:AR4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  <c r="BR3" s="173">
        <f t="shared" ref="BR3" si="0">BP3/(BP3+BQ3)</f>
        <v>3.6585365853658534E-2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3</v>
      </c>
      <c r="BP5" s="165">
        <f t="shared" ref="BP5" si="2">BO5+BO6</f>
        <v>5</v>
      </c>
      <c r="BQ5" s="166">
        <f t="shared" ref="BQ5" si="3">82-BP5</f>
        <v>77</v>
      </c>
      <c r="BR5" s="173">
        <f t="shared" ref="BR5" si="4">BP5/(BP5+BQ5)</f>
        <v>6.097560975609756E-2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1</v>
      </c>
      <c r="BP7" s="165">
        <f t="shared" ref="BP7" si="5">BO7+BO8</f>
        <v>3</v>
      </c>
      <c r="BQ7" s="166">
        <f t="shared" ref="BQ7" si="6">82-BP7</f>
        <v>79</v>
      </c>
      <c r="BR7" s="173">
        <f t="shared" ref="BR7" si="7">BP7/(BP7+BQ7)</f>
        <v>3.6585365853658534E-2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5">
        <f t="shared" ref="BP9" si="8">BO9+BO10</f>
        <v>4</v>
      </c>
      <c r="BQ9" s="166">
        <f t="shared" ref="BQ9" si="9">82-BP9</f>
        <v>78</v>
      </c>
      <c r="BR9" s="173">
        <f t="shared" ref="BR9" si="10">BP9/(BP9+BQ9)</f>
        <v>4.878048780487805E-2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1</v>
      </c>
      <c r="BP11" s="165">
        <f t="shared" ref="BP11" si="11">BO11+BO12</f>
        <v>3</v>
      </c>
      <c r="BQ11" s="166">
        <f t="shared" ref="BQ11" si="12">82-BP11</f>
        <v>79</v>
      </c>
      <c r="BR11" s="173">
        <f t="shared" ref="BR11" si="13">BP11/(BP11+BQ11)</f>
        <v>3.6585365853658534E-2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65">
        <f t="shared" ref="BP13" si="14">BO13+BO14</f>
        <v>3</v>
      </c>
      <c r="BQ13" s="166">
        <f t="shared" ref="BQ13" si="15">82-BP13</f>
        <v>79</v>
      </c>
      <c r="BR13" s="173">
        <f t="shared" ref="BR13" si="16">BP13/(BP13+BQ13)</f>
        <v>3.6585365853658534E-2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3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65">
        <f t="shared" ref="BP15" si="17">BO15+BO16</f>
        <v>3</v>
      </c>
      <c r="BQ15" s="166">
        <f t="shared" ref="BQ15" si="18">82-BP15</f>
        <v>79</v>
      </c>
      <c r="BR15" s="173">
        <f t="shared" ref="BR15" si="19">BP15/(BP15+BQ15)</f>
        <v>3.6585365853658534E-2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4</v>
      </c>
      <c r="BQ17" s="166">
        <f t="shared" ref="BQ17" si="21">82-BP17</f>
        <v>78</v>
      </c>
      <c r="BR17" s="173">
        <f t="shared" ref="BR17" si="22">BP17/(BP17+BQ17)</f>
        <v>4.878048780487805E-2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65">
        <f t="shared" ref="BP19" si="23">BO19+BO20</f>
        <v>5</v>
      </c>
      <c r="BQ19" s="166">
        <f t="shared" ref="BQ19" si="24">82-BP19</f>
        <v>77</v>
      </c>
      <c r="BR19" s="173">
        <f t="shared" ref="BR19" si="25">BP19/(BP19+BQ19)</f>
        <v>6.097560975609756E-2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65">
        <f t="shared" ref="BP21" si="26">BO21+BO22</f>
        <v>4</v>
      </c>
      <c r="BQ21" s="166">
        <f t="shared" ref="BQ21" si="27">82-BP21</f>
        <v>78</v>
      </c>
      <c r="BR21" s="173">
        <f t="shared" ref="BR21" si="28">BP21/(BP21+BQ21)</f>
        <v>4.878048780487805E-2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65">
        <f t="shared" ref="BP23" si="29">BO23+BO24</f>
        <v>3</v>
      </c>
      <c r="BQ23" s="166">
        <f t="shared" ref="BQ23" si="30">82-BP23</f>
        <v>79</v>
      </c>
      <c r="BR23" s="173">
        <f t="shared" ref="BR23" si="31">BP23/(BP23+BQ23)</f>
        <v>3.6585365853658534E-2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1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2</v>
      </c>
      <c r="BP25" s="165">
        <f t="shared" ref="BP25" si="32">BO25+BO26</f>
        <v>4</v>
      </c>
      <c r="BQ25" s="166">
        <f t="shared" ref="BQ25" si="33">82-BP25</f>
        <v>78</v>
      </c>
      <c r="BR25" s="173">
        <f t="shared" ref="BR25" si="34">BP25/(BP25+BQ25)</f>
        <v>4.878048780487805E-2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2</v>
      </c>
      <c r="BP27" s="165">
        <f t="shared" ref="BP27" si="35">BO27+BO28</f>
        <v>4</v>
      </c>
      <c r="BQ27" s="166">
        <f t="shared" ref="BQ27" si="36">82-BP27</f>
        <v>78</v>
      </c>
      <c r="BR27" s="173">
        <f t="shared" ref="BR27" si="37">BP27/(BP27+BQ27)</f>
        <v>4.878048780487805E-2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4</v>
      </c>
      <c r="BQ29" s="166">
        <f t="shared" ref="BQ29" si="39">82-BP29</f>
        <v>78</v>
      </c>
      <c r="BR29" s="173">
        <f t="shared" ref="BR29" si="40">BP29/(BP29+BQ29)</f>
        <v>4.878048780487805E-2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2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4</v>
      </c>
      <c r="BQ31" s="166">
        <f t="shared" ref="BQ31" si="42">82-BP31</f>
        <v>78</v>
      </c>
      <c r="BR31" s="173">
        <f t="shared" ref="BR31" si="43">BP31/(BP31+BQ31)</f>
        <v>4.878048780487805E-2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1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65">
        <f t="shared" ref="BP33" si="44">BO33+BO34</f>
        <v>3</v>
      </c>
      <c r="BQ33" s="166">
        <f t="shared" ref="BQ33" si="45">82-BP33</f>
        <v>79</v>
      </c>
      <c r="BR33" s="173">
        <f t="shared" ref="BR33" si="46">BP33/(BP33+BQ33)</f>
        <v>3.6585365853658534E-2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1</v>
      </c>
      <c r="BP35" s="165">
        <f t="shared" ref="BP35" si="47">BO35+BO36</f>
        <v>3</v>
      </c>
      <c r="BQ35" s="166">
        <f t="shared" ref="BQ35" si="48">82-BP35</f>
        <v>79</v>
      </c>
      <c r="BR35" s="173">
        <f t="shared" ref="BR35" si="49">BP35/(BP35+BQ35)</f>
        <v>3.6585365853658534E-2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5">
        <f t="shared" ref="BP37" si="50">BO37+BO38</f>
        <v>3</v>
      </c>
      <c r="BQ37" s="166">
        <f t="shared" ref="BQ37" si="51">82-BP37</f>
        <v>79</v>
      </c>
      <c r="BR37" s="173">
        <f t="shared" ref="BR37" si="52">BP37/(BP37+BQ37)</f>
        <v>3.6585365853658534E-2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5">
        <f t="shared" ref="BP39" si="53">BO39+BO40</f>
        <v>3</v>
      </c>
      <c r="BQ39" s="166">
        <f t="shared" ref="BQ39" si="54">82-BP39</f>
        <v>79</v>
      </c>
      <c r="BR39" s="173">
        <f t="shared" ref="BR39" si="55">BP39/(BP39+BQ39)</f>
        <v>3.6585365853658534E-2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65">
        <f t="shared" ref="BP41" si="56">BO41+BO42</f>
        <v>3</v>
      </c>
      <c r="BQ41" s="166">
        <f t="shared" ref="BQ41" si="57">82-BP41</f>
        <v>79</v>
      </c>
      <c r="BR41" s="173">
        <f t="shared" ref="BR41" si="58">BP41/(BP41+BQ41)</f>
        <v>3.6585365853658534E-2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65">
        <f t="shared" ref="BP43" si="59">BO43+BO44</f>
        <v>5</v>
      </c>
      <c r="BQ43" s="166">
        <f t="shared" ref="BQ43" si="60">82-BP43</f>
        <v>77</v>
      </c>
      <c r="BR43" s="173">
        <f t="shared" ref="BR43" si="61">BP43/(BP43+BQ43)</f>
        <v>6.097560975609756E-2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3</v>
      </c>
      <c r="BQ45" s="166">
        <f t="shared" ref="BQ45" si="63">82-BP45</f>
        <v>79</v>
      </c>
      <c r="BR45" s="173">
        <f t="shared" ref="BR45" si="64">BP45/(BP45+BQ45)</f>
        <v>3.6585365853658534E-2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2</v>
      </c>
      <c r="BP47" s="165">
        <f t="shared" ref="BP47" si="65">BO47+BO48</f>
        <v>4</v>
      </c>
      <c r="BQ47" s="166">
        <f t="shared" ref="BQ47" si="66">82-BP47</f>
        <v>78</v>
      </c>
      <c r="BR47" s="173">
        <f t="shared" ref="BR47" si="67">BP47/(BP47+BQ47)</f>
        <v>4.878048780487805E-2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4</v>
      </c>
      <c r="BQ49" s="166">
        <f t="shared" ref="BQ49" si="69">82-BP49</f>
        <v>78</v>
      </c>
      <c r="BR49" s="173">
        <f t="shared" ref="BR49" si="70">BP49/(BP49+BQ49)</f>
        <v>4.878048780487805E-2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2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65">
        <f t="shared" ref="BP51" si="71">BO51+BO52</f>
        <v>4</v>
      </c>
      <c r="BQ51" s="166">
        <f t="shared" ref="BQ51" si="72">82-BP51</f>
        <v>78</v>
      </c>
      <c r="BR51" s="173">
        <f t="shared" ref="BR51" si="73">BP51/(BP51+BQ51)</f>
        <v>4.878048780487805E-2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65">
        <f t="shared" ref="BP53" si="74">BO53+BO54</f>
        <v>4</v>
      </c>
      <c r="BQ53" s="166">
        <f t="shared" ref="BQ53" si="75">82-BP53</f>
        <v>78</v>
      </c>
      <c r="BR53" s="173">
        <f t="shared" ref="BR53" si="76">BP53/(BP53+BQ53)</f>
        <v>4.878048780487805E-2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3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4</v>
      </c>
      <c r="BQ55" s="166">
        <f t="shared" ref="BQ55" si="78">82-BP55</f>
        <v>78</v>
      </c>
      <c r="BR55" s="173">
        <f t="shared" ref="BR55" si="79">BP55/(BP55+BQ55)</f>
        <v>4.878048780487805E-2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3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2</v>
      </c>
      <c r="BP57" s="165">
        <f t="shared" ref="BP57" si="80">BO57+BO58</f>
        <v>5</v>
      </c>
      <c r="BQ57" s="166">
        <f t="shared" ref="BQ57" si="81">82-BP57</f>
        <v>77</v>
      </c>
      <c r="BR57" s="173">
        <f t="shared" ref="BR57" si="82">BP57/(BP57+BQ57)</f>
        <v>6.097560975609756E-2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4</v>
      </c>
      <c r="BQ59" s="166">
        <f t="shared" ref="BQ59" si="84">82-BP59</f>
        <v>78</v>
      </c>
      <c r="BR59" s="173">
        <f t="shared" ref="BR59" si="85">BP59/(BP59+BQ59)</f>
        <v>4.878048780487805E-2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1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65">
        <f t="shared" ref="BP61" si="86">BO61+BO62</f>
        <v>4</v>
      </c>
      <c r="BQ61" s="166">
        <f t="shared" ref="BQ61" si="87">82-BP61</f>
        <v>78</v>
      </c>
      <c r="BR61" s="173">
        <f t="shared" ref="BR61" si="88">BP61/(BP61+BQ61)</f>
        <v>4.878048780487805E-2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2</v>
      </c>
      <c r="BP63" s="165">
        <f t="shared" ref="BP63" si="89">BO63+BO64</f>
        <v>4</v>
      </c>
      <c r="BQ63" s="166">
        <f t="shared" ref="BQ63" si="90">82-BP63</f>
        <v>78</v>
      </c>
      <c r="BR63" s="173">
        <f t="shared" ref="BR63" si="91">BP63/(BP63+BQ63)</f>
        <v>4.878048780487805E-2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4</v>
      </c>
      <c r="BQ65" s="166">
        <f t="shared" ref="BQ65" si="93">82-BP65</f>
        <v>78</v>
      </c>
      <c r="BR65" s="173">
        <f>BP65/(BP65+BQ65)</f>
        <v>4.878048780487805E-2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3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70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65">
        <f>BO3+BO4</f>
        <v>2</v>
      </c>
      <c r="BQ3" s="166">
        <f>82-BP3</f>
        <v>80</v>
      </c>
      <c r="BR3" s="173">
        <f t="shared" ref="BR3:BR67" si="0">BP3/(BP3+BQ3)</f>
        <v>2.4390243902439025E-2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1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65">
        <f t="shared" ref="BP5" si="2">BO5+BO6</f>
        <v>2</v>
      </c>
      <c r="BQ5" s="166">
        <f t="shared" ref="BQ5" si="3">82-BP5</f>
        <v>80</v>
      </c>
      <c r="BR5" s="173">
        <f t="shared" si="0"/>
        <v>2.4390243902439025E-2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5">
        <f t="shared" ref="BP7" si="4">BO7+BO8</f>
        <v>2</v>
      </c>
      <c r="BQ7" s="166">
        <f t="shared" ref="BQ7" si="5">82-BP7</f>
        <v>80</v>
      </c>
      <c r="BR7" s="173">
        <f t="shared" si="0"/>
        <v>2.4390243902439025E-2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2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1</v>
      </c>
      <c r="BP9" s="165">
        <f t="shared" ref="BP9" si="6">BO9+BO10</f>
        <v>2</v>
      </c>
      <c r="BQ9" s="166">
        <f t="shared" ref="BQ9" si="7">82-BP9</f>
        <v>80</v>
      </c>
      <c r="BR9" s="173">
        <f t="shared" si="0"/>
        <v>2.4390243902439025E-2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0</v>
      </c>
      <c r="BQ11" s="166">
        <f t="shared" ref="BQ11" si="9">82-BP11</f>
        <v>82</v>
      </c>
      <c r="BR11" s="173">
        <f t="shared" si="0"/>
        <v>0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3</v>
      </c>
      <c r="BP13" s="165">
        <f t="shared" ref="BP13" si="10">BO13+BO14</f>
        <v>5</v>
      </c>
      <c r="BQ13" s="166">
        <f t="shared" ref="BQ13" si="11">82-BP13</f>
        <v>77</v>
      </c>
      <c r="BR13" s="173">
        <f t="shared" si="0"/>
        <v>6.097560975609756E-2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65">
        <f t="shared" ref="BP15" si="12">BO15+BO16</f>
        <v>5</v>
      </c>
      <c r="BQ15" s="166">
        <f t="shared" ref="BQ15" si="13">82-BP15</f>
        <v>77</v>
      </c>
      <c r="BR15" s="173">
        <f t="shared" si="0"/>
        <v>6.097560975609756E-2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5">
        <f t="shared" ref="BP17" si="14">BO17+BO18</f>
        <v>4</v>
      </c>
      <c r="BQ17" s="166">
        <f t="shared" ref="BQ17" si="15">82-BP17</f>
        <v>78</v>
      </c>
      <c r="BR17" s="173">
        <f t="shared" si="0"/>
        <v>4.878048780487805E-2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65">
        <f t="shared" ref="BP19" si="16">BO19+BO20</f>
        <v>1</v>
      </c>
      <c r="BQ19" s="166">
        <f t="shared" ref="BQ19" si="17">82-BP19</f>
        <v>81</v>
      </c>
      <c r="BR19" s="173">
        <f t="shared" si="0"/>
        <v>1.2195121951219513E-2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4</v>
      </c>
      <c r="BQ21" s="166">
        <f t="shared" ref="BQ21" si="19">82-BP21</f>
        <v>78</v>
      </c>
      <c r="BR21" s="173">
        <f t="shared" si="0"/>
        <v>4.878048780487805E-2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3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1</v>
      </c>
      <c r="BP23" s="165">
        <f t="shared" ref="BP23" si="20">BO23+BO24</f>
        <v>3</v>
      </c>
      <c r="BQ23" s="166">
        <f t="shared" ref="BQ23" si="21">82-BP23</f>
        <v>79</v>
      </c>
      <c r="BR23" s="173">
        <f t="shared" si="0"/>
        <v>3.6585365853658534E-2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2</v>
      </c>
      <c r="BP25" s="165">
        <f t="shared" ref="BP25" si="22">BO25+BO26</f>
        <v>4</v>
      </c>
      <c r="BQ25" s="166">
        <f t="shared" ref="BQ25" si="23">82-BP25</f>
        <v>78</v>
      </c>
      <c r="BR25" s="173">
        <f t="shared" si="0"/>
        <v>4.878048780487805E-2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2</v>
      </c>
      <c r="BQ27" s="166">
        <f t="shared" ref="BQ27" si="25">82-BP27</f>
        <v>80</v>
      </c>
      <c r="BR27" s="173">
        <f t="shared" si="0"/>
        <v>2.4390243902439025E-2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65">
        <f t="shared" ref="BP29" si="26">BO29+BO30</f>
        <v>1</v>
      </c>
      <c r="BQ29" s="166">
        <f t="shared" ref="BQ29" si="27">82-BP29</f>
        <v>81</v>
      </c>
      <c r="BR29" s="173">
        <f t="shared" si="0"/>
        <v>1.2195121951219513E-2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4</v>
      </c>
      <c r="BQ31" s="166">
        <f t="shared" ref="BQ31" si="29">82-BP31</f>
        <v>78</v>
      </c>
      <c r="BR31" s="173">
        <f t="shared" si="0"/>
        <v>4.878048780487805E-2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1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5">
        <f t="shared" ref="BP33" si="30">BO33+BO34</f>
        <v>0</v>
      </c>
      <c r="BQ33" s="166">
        <f t="shared" ref="BQ33" si="31">82-BP33</f>
        <v>82</v>
      </c>
      <c r="BR33" s="173">
        <f t="shared" si="0"/>
        <v>0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1</v>
      </c>
      <c r="BP35" s="165">
        <f t="shared" ref="BP35" si="32">BO35+BO36</f>
        <v>2</v>
      </c>
      <c r="BQ35" s="166">
        <f t="shared" ref="BQ35" si="33">82-BP35</f>
        <v>80</v>
      </c>
      <c r="BR35" s="173">
        <f t="shared" si="0"/>
        <v>2.4390243902439025E-2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65">
        <f t="shared" ref="BP37" si="34">BO37+BO38</f>
        <v>0</v>
      </c>
      <c r="BQ37" s="166">
        <f t="shared" ref="BQ37" si="35">82-BP37</f>
        <v>82</v>
      </c>
      <c r="BR37" s="173">
        <f t="shared" si="0"/>
        <v>0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65">
        <f t="shared" ref="BP39" si="36">BO39+BO40</f>
        <v>3</v>
      </c>
      <c r="BQ39" s="166">
        <f t="shared" ref="BQ39" si="37">82-BP39</f>
        <v>79</v>
      </c>
      <c r="BR39" s="173">
        <f t="shared" si="0"/>
        <v>3.6585365853658534E-2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65">
        <f t="shared" ref="BP41" si="38">BO41+BO42</f>
        <v>3</v>
      </c>
      <c r="BQ41" s="166">
        <f t="shared" ref="BQ41" si="39">82-BP41</f>
        <v>79</v>
      </c>
      <c r="BR41" s="173">
        <f t="shared" si="0"/>
        <v>3.6585365853658534E-2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2</v>
      </c>
      <c r="BQ43" s="166">
        <f t="shared" ref="BQ43" si="41">82-BP43</f>
        <v>80</v>
      </c>
      <c r="BR43" s="173">
        <f t="shared" si="0"/>
        <v>2.4390243902439025E-2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2</v>
      </c>
      <c r="BP45" s="165">
        <f t="shared" ref="BP45" si="42">BO45+BO46</f>
        <v>2</v>
      </c>
      <c r="BQ45" s="166">
        <f t="shared" ref="BQ45" si="43">82-BP45</f>
        <v>80</v>
      </c>
      <c r="BR45" s="173">
        <f t="shared" si="0"/>
        <v>2.4390243902439025E-2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1</v>
      </c>
      <c r="BP47" s="165">
        <f t="shared" ref="BP47" si="44">BO47+BO48</f>
        <v>2</v>
      </c>
      <c r="BQ47" s="166">
        <f t="shared" ref="BQ47" si="45">82-BP47</f>
        <v>80</v>
      </c>
      <c r="BR47" s="173">
        <f t="shared" si="0"/>
        <v>2.4390243902439025E-2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65">
        <f t="shared" ref="BP49" si="46">BO49+BO50</f>
        <v>1</v>
      </c>
      <c r="BQ49" s="166">
        <f t="shared" ref="BQ49" si="47">82-BP49</f>
        <v>81</v>
      </c>
      <c r="BR49" s="173">
        <f t="shared" si="0"/>
        <v>1.2195121951219513E-2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1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4</v>
      </c>
      <c r="BQ51" s="166">
        <f t="shared" ref="BQ51" si="49">82-BP51</f>
        <v>78</v>
      </c>
      <c r="BR51" s="173">
        <f t="shared" si="0"/>
        <v>4.878048780487805E-2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2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2</v>
      </c>
      <c r="BP53" s="165">
        <f t="shared" ref="BP53" si="50">BO53+BO54</f>
        <v>3</v>
      </c>
      <c r="BQ53" s="166">
        <f t="shared" ref="BQ53" si="51">82-BP53</f>
        <v>79</v>
      </c>
      <c r="BR53" s="173">
        <f t="shared" si="0"/>
        <v>3.6585365853658534E-2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4</v>
      </c>
      <c r="BQ55" s="166">
        <f t="shared" ref="BQ55" si="53">82-BP55</f>
        <v>78</v>
      </c>
      <c r="BR55" s="173">
        <f t="shared" si="0"/>
        <v>4.878048780487805E-2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3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4</v>
      </c>
      <c r="BQ57" s="166">
        <f t="shared" ref="BQ57" si="55">82-BP57</f>
        <v>78</v>
      </c>
      <c r="BR57" s="173">
        <f t="shared" si="0"/>
        <v>4.878048780487805E-2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1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65">
        <f t="shared" ref="BP59" si="56">BO59+BO60</f>
        <v>3</v>
      </c>
      <c r="BQ59" s="166">
        <f t="shared" ref="BQ59" si="57">82-BP59</f>
        <v>79</v>
      </c>
      <c r="BR59" s="173">
        <f t="shared" si="0"/>
        <v>3.6585365853658534E-2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1</v>
      </c>
      <c r="BQ61" s="166">
        <f t="shared" ref="BQ61" si="59">82-BP61</f>
        <v>81</v>
      </c>
      <c r="BR61" s="173">
        <f t="shared" si="0"/>
        <v>1.2195121951219513E-2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5">
        <f t="shared" ref="BP63" si="60">BO63+BO64</f>
        <v>1</v>
      </c>
      <c r="BQ63" s="166">
        <f t="shared" ref="BQ63" si="61">82-BP63</f>
        <v>81</v>
      </c>
      <c r="BR63" s="173">
        <f t="shared" si="0"/>
        <v>1.2195121951219513E-2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2</v>
      </c>
      <c r="BQ65" s="166">
        <f t="shared" ref="BQ65" si="63">82-BP65</f>
        <v>80</v>
      </c>
      <c r="BR65" s="173">
        <f t="shared" si="0"/>
        <v>2.4390243902439025E-2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1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39</v>
      </c>
      <c r="BQ67" s="26">
        <f>SUM(BQ3:BQ66)/2</f>
        <v>1273</v>
      </c>
      <c r="BR67" s="135">
        <f t="shared" si="0"/>
        <v>2.972560975609756E-2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BO27" sqref="BO27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33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0.33333333333333331</v>
      </c>
      <c r="F2">
        <f>COUNTIFS(DataRegularSeason20242025!$N$3:$N$1315,1,DataRegularSeason20242025!$D$3:$D$1315,$A2)</f>
        <v>2</v>
      </c>
      <c r="G2">
        <f>41-Table3[[#This Row],[GP_A]]</f>
        <v>39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 t="shared" ref="J2:J33" si="0">F2+H2</f>
        <v>3</v>
      </c>
      <c r="K2">
        <f>82-Table3[[#This Row],[GP]]</f>
        <v>79</v>
      </c>
      <c r="L2">
        <f>COUNTIFS(DataRegularSeason20242025!$D$3:$D$1315,$A2, DataRegularSeason20242025!$L$3:$L$1315, $A2,DataRegularSeason20242025!$N$3:$N$1315,1)</f>
        <v>2</v>
      </c>
      <c r="M2">
        <f>COUNTIFS(DataRegularSeason20242025!$D$3:$D$1315,$A2, DataRegularSeason20242025!$L$3:$L$1315, $A2,DataRegularSeason20242025!$N$3:$N$1315,1,DataRegularSeason20242025!$M$3:$M$1315,"REG")</f>
        <v>1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1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3</v>
      </c>
      <c r="AD2">
        <f>Table3[[#This Row],[L_A]]+Table3[[#This Row],[L_H]]</f>
        <v>0</v>
      </c>
      <c r="AE2">
        <f>Table3[[#This Row],[RW_A]]+Table3[[#This Row],[RW_H]]</f>
        <v>2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1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0.33333333333333331</v>
      </c>
      <c r="AO2">
        <f>(2*(Table3[[#This Row],[W_A]]+Table3[[#This Row],[W_H]]))+Table3[[#This Row],[OTL_A]]+Table3[[#This Row],[SOL_A]]+Table3[[#This Row],[OTL_H]]+Table3[[#This Row],[SOL_H]]</f>
        <v>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" s="10">
        <f>Table3[[#This Row],[PTS]]/(2*Table3[[#This Row],[GP]])</f>
        <v>1</v>
      </c>
      <c r="AR2" s="10">
        <f>Table3[[#This Row],[PTS2]]/(3*Table3[[#This Row],[GP]])</f>
        <v>0.88888888888888884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3-0-0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10</v>
      </c>
      <c r="AZ2">
        <f>SUMIF(DataRegularSeason20242025!$D$3:$D$1315,$A2, DataRegularSeason20242025!$K$3:$K$1315)</f>
        <v>8</v>
      </c>
      <c r="BA2">
        <f t="shared" ref="BA2:BA33" si="3">AY2-AZ2</f>
        <v>2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5</v>
      </c>
      <c r="BD2">
        <f>SUMIF(DataRegularSeason20242025!$E$3:$E$1315,$A2,DataRegularSeason20242025!$J$3:$J$1315)</f>
        <v>2</v>
      </c>
      <c r="BE2">
        <f t="shared" ref="BE2:BE33" si="4">BC2-BD2</f>
        <v>3</v>
      </c>
      <c r="BF2">
        <f t="shared" ref="BF2:BF33" si="5">AY2+BC2</f>
        <v>15</v>
      </c>
      <c r="BG2">
        <f t="shared" ref="BG2:BG33" si="6">AZ2+BD2</f>
        <v>10</v>
      </c>
      <c r="BH2">
        <f t="shared" ref="BH2:BH33" si="7">BF2-BG2</f>
        <v>5</v>
      </c>
      <c r="BI2" s="12">
        <f>Table3[[#This Row],[GF]]/Table3[[#This Row],[GP]]</f>
        <v>5</v>
      </c>
      <c r="BJ2" s="12">
        <f>Table3[[#This Row],[GA]]/Table3[[#This Row],[GP]]</f>
        <v>3.3333333333333335</v>
      </c>
      <c r="BK2" s="12">
        <f>(Table3[[#This Row],[GF]]-Table3[[#This Row],[GA]])/Table3[[#This Row],[GP]]</f>
        <v>1.6666666666666667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2-0-0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4.75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107.25</v>
      </c>
      <c r="BR2" s="16">
        <f>(Table3[[#This Row],[W]]*0.7) + ((Table3[[#This Row],[GF]] - Table3[[#This Row],[GA]])*0.25)+(Table3[[#This Row],[GF]]*0.1)+(Table3[[#This Row],[GA]]*0.05)+(Table3[[#This Row],[L]]*0.3)</f>
        <v>5.35</v>
      </c>
      <c r="BS2" s="16">
        <f>Table3[[#This Row],[TeamCost83]]/Table3[[#This Row],[GP]]</f>
        <v>1.7833333333333332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1</v>
      </c>
      <c r="BV2">
        <f t="shared" ref="BV2:BV33" si="8">BT2+BU2</f>
        <v>2</v>
      </c>
      <c r="BW2">
        <f t="shared" ref="BW2:BW33" si="9">F2-BT2</f>
        <v>1</v>
      </c>
      <c r="BX2">
        <f t="shared" ref="BX2:BX33" si="10">H2-BU2</f>
        <v>0</v>
      </c>
      <c r="BY2">
        <f t="shared" ref="BY2:BY33" si="11">BW2+BX2</f>
        <v>1</v>
      </c>
      <c r="BZ2">
        <f>Table3[[#This Row],[TimesPredictedWinner]]/Table3[[#This Row],[GP]]</f>
        <v>0.66666666666666663</v>
      </c>
      <c r="CB2">
        <v>1999</v>
      </c>
      <c r="CD2" s="1">
        <v>45745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0.8</v>
      </c>
      <c r="CJ2">
        <f>SUMIFS(Table2[GamePredictionScore], Table2[HomeTeam], Table3[[#This Row],[Teams]])</f>
        <v>1</v>
      </c>
      <c r="CK2">
        <f>Table3[[#This Row],[Column4]]+Table3[[#This Row],[Column3]]</f>
        <v>1.8</v>
      </c>
      <c r="CL2">
        <f>Table3[[#This Row],[Column5]]/Table3[[#This Row],[GP]]</f>
        <v>0.6</v>
      </c>
      <c r="CR2" t="s">
        <v>139</v>
      </c>
      <c r="CS2">
        <f>SUM($J$2:$J$33)/2</f>
        <v>60</v>
      </c>
      <c r="CW2" t="s">
        <v>57</v>
      </c>
      <c r="CX2" s="14" t="s">
        <v>150</v>
      </c>
      <c r="CY2">
        <f>INDEX($J$2:$J$33,MATCH("CGY",$A$2:$A$33,0),1)</f>
        <v>5</v>
      </c>
    </row>
    <row r="3" spans="1:144" x14ac:dyDescent="0.25">
      <c r="A3" t="s">
        <v>41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2</v>
      </c>
      <c r="E3" s="10">
        <f>Table3[[#This Row],[Watched]]/Table3[[#This Row],[GP]]</f>
        <v>0.66666666666666663</v>
      </c>
      <c r="F3">
        <f>COUNTIFS(DataRegularSeason20242025!$N$3:$N$1315,1,DataRegularSeason20242025!$D$3:$D$1315,$A3)</f>
        <v>1</v>
      </c>
      <c r="G3">
        <f>41-Table3[[#This Row],[GP_A]]</f>
        <v>40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 t="shared" si="0"/>
        <v>3</v>
      </c>
      <c r="K3">
        <f>82-Table3[[#This Row],[GP]]</f>
        <v>79</v>
      </c>
      <c r="L3">
        <f>COUNTIFS(DataRegularSeason20242025!$D$3:$D$1315,$A3, DataRegularSeason20242025!$L$3:$L$1315, $A3,DataRegularSeason20242025!$N$3:$N$1315,1)</f>
        <v>1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3</v>
      </c>
      <c r="AD3">
        <f>Table3[[#This Row],[L_A]]+Table3[[#This Row],[L_H]]</f>
        <v>0</v>
      </c>
      <c r="AE3">
        <f>Table3[[#This Row],[RW_A]]+Table3[[#This Row],[RW_H]]</f>
        <v>2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0.33333333333333331</v>
      </c>
      <c r="AO3">
        <f>(2*(Table3[[#This Row],[W_A]]+Table3[[#This Row],[W_H]]))+Table3[[#This Row],[OTL_A]]+Table3[[#This Row],[SOL_A]]+Table3[[#This Row],[OTL_H]]+Table3[[#This Row],[SOL_H]]</f>
        <v>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3" s="10">
        <f>Table3[[#This Row],[PTS]]/(2*Table3[[#This Row],[GP]])</f>
        <v>1</v>
      </c>
      <c r="AR3" s="10">
        <f>Table3[[#This Row],[PTS2]]/(3*Table3[[#This Row],[GP]])</f>
        <v>0.88888888888888884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218.66666666666666</v>
      </c>
      <c r="AW3" s="15" t="str">
        <f>_xlfn.CONCAT(TEXT(Table3[[#This Row],[W]], "0"), "-", TEXT(Table3[[#This Row],[RL]],"0"), "-", TEXT(Table3[[#This Row],[OTL]]+Table3[[#This Row],[SOL]], "0"))</f>
        <v>3-0-0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5</v>
      </c>
      <c r="AZ3">
        <f>SUMIF(DataRegularSeason20242025!$D$3:$D$1315,$A3, DataRegularSeason20242025!$K$3:$K$1315)</f>
        <v>1</v>
      </c>
      <c r="BA3">
        <f t="shared" si="3"/>
        <v>4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6</v>
      </c>
      <c r="BE3">
        <f t="shared" si="4"/>
        <v>4</v>
      </c>
      <c r="BF3">
        <f t="shared" si="5"/>
        <v>15</v>
      </c>
      <c r="BG3">
        <f t="shared" si="6"/>
        <v>7</v>
      </c>
      <c r="BH3">
        <f t="shared" si="7"/>
        <v>8</v>
      </c>
      <c r="BI3" s="12">
        <f>Table3[[#This Row],[GF]]/Table3[[#This Row],[GP]]</f>
        <v>5</v>
      </c>
      <c r="BJ3" s="12">
        <f>Table3[[#This Row],[GA]]/Table3[[#This Row],[GP]]</f>
        <v>2.3333333333333335</v>
      </c>
      <c r="BK3" s="12">
        <f>(Table3[[#This Row],[GF]]-Table3[[#This Row],[GA]])/Table3[[#This Row],[GP]]</f>
        <v>2.6666666666666665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1-0-0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4.45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98.750000000000014</v>
      </c>
      <c r="BR3" s="16">
        <f>(Table3[[#This Row],[W]]*0.7) + ((Table3[[#This Row],[GF]] - Table3[[#This Row],[GA]])*0.25)+(Table3[[#This Row],[GF]]*0.1)+(Table3[[#This Row],[GA]]*0.05)+(Table3[[#This Row],[L]]*0.3)</f>
        <v>5.9499999999999993</v>
      </c>
      <c r="BS3" s="16">
        <f>Table3[[#This Row],[TeamCost83]]/Table3[[#This Row],[GP]]</f>
        <v>1.9833333333333332</v>
      </c>
      <c r="BT3">
        <f>COUNTIFS(Table2[AwayTeam],$A3,Table2[PredictedWinner], $A3, Table2[GameIsOver], 1)</f>
        <v>1</v>
      </c>
      <c r="BU3">
        <f>COUNTIFS(Table2[HomeTeam],$A3,Table2[PredictedWinner], $A3, Table2[GameIsOver], 1)</f>
        <v>2</v>
      </c>
      <c r="BV3">
        <f t="shared" si="8"/>
        <v>3</v>
      </c>
      <c r="BW3">
        <f t="shared" si="9"/>
        <v>0</v>
      </c>
      <c r="BX3">
        <f t="shared" si="10"/>
        <v>0</v>
      </c>
      <c r="BY3">
        <f t="shared" si="11"/>
        <v>0</v>
      </c>
      <c r="BZ3">
        <f>Table3[[#This Row],[TimesPredictedWinner]]/Table3[[#This Row],[GP]]</f>
        <v>1</v>
      </c>
      <c r="CB3">
        <v>2006</v>
      </c>
      <c r="CD3" s="1">
        <v>45749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0.8</v>
      </c>
      <c r="CJ3">
        <f>SUMIFS(Table2[GamePredictionScore], Table2[HomeTeam], Table3[[#This Row],[Teams]])</f>
        <v>1.6</v>
      </c>
      <c r="CK3">
        <f>Table3[[#This Row],[Column4]]+Table3[[#This Row],[Column3]]</f>
        <v>2.4000000000000004</v>
      </c>
      <c r="CL3">
        <f>Table3[[#This Row],[Column5]]/Table3[[#This Row],[GP]]</f>
        <v>0.80000000000000016</v>
      </c>
      <c r="CR3" t="s">
        <v>137</v>
      </c>
      <c r="CS3">
        <f>SUM($D$2:$D$33)/2</f>
        <v>39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9.8039215686274495E-2</v>
      </c>
    </row>
    <row r="4" spans="1:144" x14ac:dyDescent="0.25">
      <c r="A4" t="s">
        <v>25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4</v>
      </c>
      <c r="E4" s="10">
        <f>Table3[[#This Row],[Watched]]/Table3[[#This Row],[GP]]</f>
        <v>1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 t="shared" si="0"/>
        <v>4</v>
      </c>
      <c r="K4">
        <f>82-Table3[[#This Row],[GP]]</f>
        <v>78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1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0.75</v>
      </c>
      <c r="AC4">
        <f>Table3[[#This Row],[W_A]]+Table3[[#This Row],[W_H]]</f>
        <v>3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0.25</v>
      </c>
      <c r="AO4">
        <f>(2*(Table3[[#This Row],[W_A]]+Table3[[#This Row],[W_H]]))+Table3[[#This Row],[OTL_A]]+Table3[[#This Row],[SOL_A]]+Table3[[#This Row],[OTL_H]]+Table3[[#This Row],[SOL_H]]</f>
        <v>7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4" s="10">
        <f>Table3[[#This Row],[PTS]]/(2*Table3[[#This Row],[GP]])</f>
        <v>0.875</v>
      </c>
      <c r="AR4" s="10">
        <f>Table3[[#This Row],[PTS2]]/(3*Table3[[#This Row],[GP]])</f>
        <v>0.83333333333333337</v>
      </c>
      <c r="AS4">
        <f>(2*Table3[[#This Row],[GR]])+Table3[[#This Row],[PTS]]</f>
        <v>163</v>
      </c>
      <c r="AT4">
        <f>(3*Table3[[#This Row],[GR]])+Table3[[#This Row],[PTS2]]</f>
        <v>244</v>
      </c>
      <c r="AU4">
        <f>Table3[[#This Row],[PTS]]+(2 * Table3[[#This Row],[GR]] * Table3[[#This Row],[PTS%]])</f>
        <v>143.5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3-0-1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7</v>
      </c>
      <c r="AZ4">
        <f>SUMIF(DataRegularSeason20242025!$D$3:$D$1315,$A4, DataRegularSeason20242025!$K$3:$K$1315)</f>
        <v>2</v>
      </c>
      <c r="BA4">
        <f t="shared" si="3"/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6</v>
      </c>
      <c r="BD4">
        <f>SUMIF(DataRegularSeason20242025!$E$3:$E$1315,$A4,DataRegularSeason20242025!$J$3:$J$1315)</f>
        <v>6</v>
      </c>
      <c r="BE4">
        <f t="shared" si="4"/>
        <v>0</v>
      </c>
      <c r="BF4">
        <f t="shared" si="5"/>
        <v>13</v>
      </c>
      <c r="BG4">
        <f t="shared" si="6"/>
        <v>8</v>
      </c>
      <c r="BH4">
        <f t="shared" si="7"/>
        <v>5</v>
      </c>
      <c r="BI4" s="12">
        <f>Table3[[#This Row],[GF]]/Table3[[#This Row],[GP]]</f>
        <v>3.25</v>
      </c>
      <c r="BJ4" s="12">
        <f>Table3[[#This Row],[GA]]/Table3[[#This Row],[GP]]</f>
        <v>2</v>
      </c>
      <c r="BK4" s="12">
        <f>(Table3[[#This Row],[GF]]-Table3[[#This Row],[GA]])/Table3[[#This Row],[GP]]</f>
        <v>1.25</v>
      </c>
      <c r="BL4" s="42" t="str">
        <f>_xlfn.CONCAT(TEXT(Table3[[#This Row],[W_H]], "0"), "-", TEXT(Table3[[#This Row],[RL_H]],"0"), "-", TEXT(Table3[[#This Row],[OTL_H]]+Table3[[#This Row],[SOL_H]], "0"))</f>
        <v>1-0-1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>
        <f>((2*(Table3[[#This Row],[W_H]]))+Table3[[#This Row],[OTL_H]]+Table3[[#This Row],[SOL_H]])/(2*Table3[[#This Row],[GP_H]])</f>
        <v>0.75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4.55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4" s="16">
        <f>(Table3[[#This Row],[W]]*0.7) + ((Table3[[#This Row],[GF]] - Table3[[#This Row],[GA]])*0.25)+(Table3[[#This Row],[GF]]*0.1)+(Table3[[#This Row],[GA]]*0.05)+(Table3[[#This Row],[L]]*0.3)</f>
        <v>5.35</v>
      </c>
      <c r="BS4" s="16">
        <f>Table3[[#This Row],[TeamCost83]]/Table3[[#This Row],[GP]]</f>
        <v>1.3374999999999999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 t="shared" si="8"/>
        <v>4</v>
      </c>
      <c r="BW4">
        <f t="shared" si="9"/>
        <v>0</v>
      </c>
      <c r="BX4">
        <f t="shared" si="10"/>
        <v>0</v>
      </c>
      <c r="BY4">
        <f t="shared" si="11"/>
        <v>0</v>
      </c>
      <c r="BZ4">
        <f>Table3[[#This Row],[TimesPredictedWinner]]/Table3[[#This Row],[GP]]</f>
        <v>1</v>
      </c>
      <c r="CB4">
        <v>2022</v>
      </c>
      <c r="CD4" s="1">
        <v>45750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1.6</v>
      </c>
      <c r="CJ4">
        <f>SUMIFS(Table2[GamePredictionScore], Table2[HomeTeam], Table3[[#This Row],[Teams]])</f>
        <v>0.8</v>
      </c>
      <c r="CK4">
        <f>Table3[[#This Row],[Column4]]+Table3[[#This Row],[Column3]]</f>
        <v>2.4000000000000004</v>
      </c>
      <c r="CL4">
        <f>Table3[[#This Row],[Column5]]/Table3[[#This Row],[GP]]</f>
        <v>0.60000000000000009</v>
      </c>
      <c r="CR4" t="s">
        <v>138</v>
      </c>
      <c r="CS4">
        <f>$CS$2-$CS$3</f>
        <v>21</v>
      </c>
      <c r="CW4" t="s">
        <v>119</v>
      </c>
      <c r="CX4" s="16">
        <v>0.3</v>
      </c>
      <c r="CY4">
        <f>INDEX($AD$2:$AD$33,MATCH("CGY",$A$2:$A$33,0),1)</f>
        <v>4</v>
      </c>
      <c r="DA4" s="16">
        <f>CX4*CY4</f>
        <v>1.2</v>
      </c>
      <c r="DB4" s="10">
        <f>DA4/$DA$7</f>
        <v>0.23529411764705879</v>
      </c>
    </row>
    <row r="5" spans="1:144" x14ac:dyDescent="0.25">
      <c r="A5" t="s">
        <v>11</v>
      </c>
      <c r="B5" t="s">
        <v>90</v>
      </c>
      <c r="C5" t="s">
        <v>93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2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 t="shared" si="0"/>
        <v>3</v>
      </c>
      <c r="K5">
        <f>82-Table3[[#This Row],[GP]]</f>
        <v>79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1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1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0.66666666666666663</v>
      </c>
      <c r="AC5">
        <f>Table3[[#This Row],[W_A]]+Table3[[#This Row],[W_H]]</f>
        <v>2</v>
      </c>
      <c r="AD5">
        <f>Table3[[#This Row],[L_A]]+Table3[[#This Row],[L_H]]</f>
        <v>1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1</v>
      </c>
      <c r="AH5">
        <f>Table3[[#This Row],[OTL_A]]+Table3[[#This Row],[OTL_H]]</f>
        <v>1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1-1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0.5</v>
      </c>
      <c r="AN5">
        <f>Table3[[#This Row],[Total_ExtraTimes]]/MAX(1,Table3[[#This Row],[GP]])</f>
        <v>0.66666666666666663</v>
      </c>
      <c r="AO5">
        <f>(2*(Table3[[#This Row],[W_A]]+Table3[[#This Row],[W_H]]))+Table3[[#This Row],[OTL_A]]+Table3[[#This Row],[SOL_A]]+Table3[[#This Row],[OTL_H]]+Table3[[#This Row],[SOL_H]]</f>
        <v>5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5" s="10">
        <f>Table3[[#This Row],[PTS]]/(2*Table3[[#This Row],[GP]])</f>
        <v>0.83333333333333337</v>
      </c>
      <c r="AR5" s="10">
        <f>Table3[[#This Row],[PTS2]]/(3*Table3[[#This Row],[GP]])</f>
        <v>0.66666666666666663</v>
      </c>
      <c r="AS5">
        <f>(2*Table3[[#This Row],[GR]])+Table3[[#This Row],[PTS]]</f>
        <v>163</v>
      </c>
      <c r="AT5">
        <f>(3*Table3[[#This Row],[GR]])+Table3[[#This Row],[PTS2]]</f>
        <v>243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2-0-1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4</v>
      </c>
      <c r="AZ5">
        <f>SUMIF(DataRegularSeason20242025!$D$3:$D$1315,$A5, DataRegularSeason20242025!$K$3:$K$1315)</f>
        <v>5</v>
      </c>
      <c r="BA5">
        <f t="shared" si="3"/>
        <v>-1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 t="shared" si="4"/>
        <v>3</v>
      </c>
      <c r="BF5">
        <f t="shared" si="5"/>
        <v>9</v>
      </c>
      <c r="BG5">
        <f t="shared" si="6"/>
        <v>7</v>
      </c>
      <c r="BH5">
        <f t="shared" si="7"/>
        <v>2</v>
      </c>
      <c r="BI5" s="12">
        <f>Table3[[#This Row],[GF]]/Table3[[#This Row],[GP]]</f>
        <v>3</v>
      </c>
      <c r="BJ5" s="12">
        <f>Table3[[#This Row],[GA]]/Table3[[#This Row],[GP]]</f>
        <v>2.3333333333333335</v>
      </c>
      <c r="BK5" s="12">
        <f>(Table3[[#This Row],[GF]]-Table3[[#This Row],[GA]])/Table3[[#This Row],[GP]]</f>
        <v>0.66666666666666663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0-0-1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0.5</v>
      </c>
      <c r="BP5" s="16">
        <f>(Table3[[#This Row],[W]]*$CX$3)+(Table3[[#This Row],[L]]*$CX$4)+(Table3[[#This Row],[GF]]*$CX$5)+(Table3[[#This Row],[GA]]*$CX$6)</f>
        <v>3.35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72.138888888888886</v>
      </c>
      <c r="BR5" s="16">
        <f>(Table3[[#This Row],[W]]*0.7) + ((Table3[[#This Row],[GF]] - Table3[[#This Row],[GA]])*0.25)+(Table3[[#This Row],[GF]]*0.1)+(Table3[[#This Row],[GA]]*0.05)+(Table3[[#This Row],[L]]*0.3)</f>
        <v>3.4499999999999997</v>
      </c>
      <c r="BS5" s="16">
        <f>Table3[[#This Row],[TeamCost83]]/Table3[[#This Row],[GP]]</f>
        <v>1.1499999999999999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 t="shared" si="8"/>
        <v>1</v>
      </c>
      <c r="BW5">
        <f t="shared" si="9"/>
        <v>1</v>
      </c>
      <c r="BX5">
        <f t="shared" si="10"/>
        <v>1</v>
      </c>
      <c r="BY5">
        <f t="shared" si="11"/>
        <v>2</v>
      </c>
      <c r="BZ5">
        <f>Table3[[#This Row],[TimesPredictedWinner]]/Table3[[#This Row],[GP]]</f>
        <v>0.33333333333333331</v>
      </c>
      <c r="CC5" s="1">
        <v>45745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0.9</v>
      </c>
      <c r="CJ5">
        <f>SUMIFS(Table2[GamePredictionScore], Table2[HomeTeam], Table3[[#This Row],[Teams]])</f>
        <v>0.8</v>
      </c>
      <c r="CK5">
        <f>Table3[[#This Row],[Column4]]+Table3[[#This Row],[Column3]]</f>
        <v>1.7000000000000002</v>
      </c>
      <c r="CL5">
        <f>Table3[[#This Row],[Column5]]/Table3[[#This Row],[GP]]</f>
        <v>0.56666666666666676</v>
      </c>
      <c r="CR5" t="s">
        <v>140</v>
      </c>
      <c r="CS5">
        <f>SUM($BF$2:$BF$33)</f>
        <v>377</v>
      </c>
      <c r="CW5" t="s">
        <v>67</v>
      </c>
      <c r="CX5" s="16">
        <v>0.15</v>
      </c>
      <c r="CY5">
        <f>INDEX($BF$2:$BF$33,MATCH("CGY",$A$2:$A$33,0),1)</f>
        <v>10</v>
      </c>
      <c r="CZ5">
        <f>CY5/CY2</f>
        <v>2</v>
      </c>
      <c r="DA5" s="16">
        <f>CX5*CY5</f>
        <v>1.5</v>
      </c>
      <c r="DB5" s="10">
        <f>DA5/$DA$7</f>
        <v>0.29411764705882348</v>
      </c>
    </row>
    <row r="6" spans="1:144" ht="15.75" thickBot="1" x14ac:dyDescent="0.3">
      <c r="A6" t="s">
        <v>22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 t="shared" si="0"/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1</v>
      </c>
      <c r="AY6">
        <f>SUMIF(DataRegularSeason20242025!$D$3:$D$1315,$A6, DataRegularSeason20242025!$J$3:$J$1315)</f>
        <v>2</v>
      </c>
      <c r="AZ6">
        <f>SUMIF(DataRegularSeason20242025!$D$3:$D$1315,$A6, DataRegularSeason20242025!$K$3:$K$1315)</f>
        <v>0</v>
      </c>
      <c r="BA6">
        <f t="shared" si="3"/>
        <v>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6</v>
      </c>
      <c r="BD6">
        <f>SUMIF(DataRegularSeason20242025!$E$3:$E$1315,$A6,DataRegularSeason20242025!$J$3:$J$1315)</f>
        <v>5</v>
      </c>
      <c r="BE6">
        <f t="shared" si="4"/>
        <v>1</v>
      </c>
      <c r="BF6">
        <f t="shared" si="5"/>
        <v>8</v>
      </c>
      <c r="BG6">
        <f t="shared" si="6"/>
        <v>5</v>
      </c>
      <c r="BH6">
        <f t="shared" si="7"/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1</v>
      </c>
      <c r="BU6">
        <f>COUNTIFS(Table2[HomeTeam],$A6,Table2[PredictedWinner], $A6, Table2[GameIsOver], 1)</f>
        <v>1</v>
      </c>
      <c r="BV6">
        <f t="shared" si="8"/>
        <v>2</v>
      </c>
      <c r="BW6">
        <f t="shared" si="9"/>
        <v>0</v>
      </c>
      <c r="BX6">
        <f t="shared" si="10"/>
        <v>1</v>
      </c>
      <c r="BY6">
        <f t="shared" si="11"/>
        <v>1</v>
      </c>
      <c r="BZ6">
        <f>Table3[[#This Row],[TimesPredictedWinner]]/Table3[[#This Row],[GP]]</f>
        <v>0.66666666666666663</v>
      </c>
      <c r="CB6">
        <v>1990</v>
      </c>
      <c r="CD6" s="1">
        <v>45758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0.8</v>
      </c>
      <c r="CJ6">
        <f>SUMIFS(Table2[GamePredictionScore], Table2[HomeTeam], Table3[[#This Row],[Teams]])</f>
        <v>0.2</v>
      </c>
      <c r="CK6">
        <f>Table3[[#This Row],[Column4]]+Table3[[#This Row],[Column3]]</f>
        <v>1</v>
      </c>
      <c r="CL6">
        <f>Table3[[#This Row],[Column5]]/Table3[[#This Row],[GP]]</f>
        <v>0.33333333333333331</v>
      </c>
      <c r="CR6" t="s">
        <v>141</v>
      </c>
      <c r="CS6">
        <f>SUM($AX$2:$AX$33)+SUM($BB$2:$BB$33)</f>
        <v>5</v>
      </c>
      <c r="CW6" t="s">
        <v>68</v>
      </c>
      <c r="CX6" s="16">
        <v>0.1</v>
      </c>
      <c r="CY6">
        <f>INDEX($BG$2:$BG$33,MATCH("CGY",$A$2:$A$33,0),1)</f>
        <v>19</v>
      </c>
      <c r="CZ6">
        <f>CY6/CY2</f>
        <v>3.8</v>
      </c>
      <c r="DA6" s="16">
        <f>CX6*CY6</f>
        <v>1.9000000000000001</v>
      </c>
      <c r="DB6" s="10">
        <f>DA6/$DA$7</f>
        <v>0.37254901960784315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4</v>
      </c>
      <c r="E7" s="10">
        <f>Table3[[#This Row],[Watched]]/Table3[[#This Row],[GP]]</f>
        <v>1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1</v>
      </c>
      <c r="I7">
        <f>41-Table3[[#This Row],[GP_H]]</f>
        <v>40</v>
      </c>
      <c r="J7">
        <f t="shared" si="0"/>
        <v>4</v>
      </c>
      <c r="K7">
        <f>82-Table3[[#This Row],[GP]]</f>
        <v>78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1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3</v>
      </c>
      <c r="AD7">
        <f>Table3[[#This Row],[L_A]]+Table3[[#This Row],[L_H]]</f>
        <v>1</v>
      </c>
      <c r="AE7">
        <f>Table3[[#This Row],[RW_A]]+Table3[[#This Row],[RW_H]]</f>
        <v>2</v>
      </c>
      <c r="AF7">
        <f>Table3[[#This Row],[RL_A]]+Table3[[#This Row],[RL_H]]</f>
        <v>1</v>
      </c>
      <c r="AG7">
        <f>Table3[[#This Row],[OTW_A]]+Table3[[#This Row],[OTW_H]]</f>
        <v>1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1-0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0.25</v>
      </c>
      <c r="AO7">
        <f>(2*(Table3[[#This Row],[W_A]]+Table3[[#This Row],[W_H]]))+Table3[[#This Row],[OTL_A]]+Table3[[#This Row],[SOL_A]]+Table3[[#This Row],[OTL_H]]+Table3[[#This Row],[SOL_H]]</f>
        <v>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162</v>
      </c>
      <c r="AT7">
        <f>(3*Table3[[#This Row],[GR]])+Table3[[#This Row],[PTS2]]</f>
        <v>242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3-1-0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8</v>
      </c>
      <c r="BA7">
        <f t="shared" si="3"/>
        <v>2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5</v>
      </c>
      <c r="BD7">
        <f>SUMIF(DataRegularSeason20242025!$E$3:$E$1315,$A7,DataRegularSeason20242025!$J$3:$J$1315)</f>
        <v>4</v>
      </c>
      <c r="BE7">
        <f t="shared" si="4"/>
        <v>1</v>
      </c>
      <c r="BF7">
        <f t="shared" si="5"/>
        <v>15</v>
      </c>
      <c r="BG7">
        <f t="shared" si="6"/>
        <v>12</v>
      </c>
      <c r="BH7">
        <f t="shared" si="7"/>
        <v>3</v>
      </c>
      <c r="BI7" s="12">
        <f>Table3[[#This Row],[GF]]/Table3[[#This Row],[GP]]</f>
        <v>3.75</v>
      </c>
      <c r="BJ7" s="12">
        <f>Table3[[#This Row],[GA]]/Table3[[#This Row],[GP]]</f>
        <v>3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1-0-0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5.25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</v>
      </c>
      <c r="BR7" s="16">
        <f>(Table3[[#This Row],[W]]*0.7) + ((Table3[[#This Row],[GF]] - Table3[[#This Row],[GA]])*0.25)+(Table3[[#This Row],[GF]]*0.1)+(Table3[[#This Row],[GA]]*0.05)+(Table3[[#This Row],[L]]*0.3)</f>
        <v>5.2499999999999991</v>
      </c>
      <c r="BS7" s="16">
        <f>Table3[[#This Row],[TeamCost83]]/Table3[[#This Row],[GP]]</f>
        <v>1.3124999999999998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1</v>
      </c>
      <c r="BV7">
        <f t="shared" si="8"/>
        <v>3</v>
      </c>
      <c r="BW7">
        <f t="shared" si="9"/>
        <v>1</v>
      </c>
      <c r="BX7">
        <f t="shared" si="10"/>
        <v>0</v>
      </c>
      <c r="BY7">
        <f t="shared" si="11"/>
        <v>1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2.4000000000000004</v>
      </c>
      <c r="CJ7">
        <f>SUMIFS(Table2[GamePredictionScore], Table2[HomeTeam], Table3[[#This Row],[Teams]])</f>
        <v>0.9</v>
      </c>
      <c r="CK7">
        <f>Table3[[#This Row],[Column4]]+Table3[[#This Row],[Column3]]</f>
        <v>3.3000000000000003</v>
      </c>
      <c r="CL7">
        <f>Table3[[#This Row],[Column5]]/Table3[[#This Row],[GP]]</f>
        <v>0.82500000000000007</v>
      </c>
      <c r="CR7" t="s">
        <v>142</v>
      </c>
      <c r="CS7">
        <f>SUM($AG$2:$AG$33)</f>
        <v>8</v>
      </c>
      <c r="CW7" t="s">
        <v>544</v>
      </c>
      <c r="CX7">
        <f>INDEX($AQ$2:$AQ$33,MATCH("CGY",$A$2:$A$33,0),1)</f>
        <v>0.2</v>
      </c>
      <c r="CZ7" s="17">
        <f>(CX4+(ABS(CX3-CX4)*CX7))+(CX5*CZ5)+(CX6*CZ6)</f>
        <v>1.02</v>
      </c>
      <c r="DA7" s="88">
        <f>SUM(DA3:DA6)</f>
        <v>5.1000000000000005</v>
      </c>
    </row>
    <row r="8" spans="1:144" ht="15.75" thickTop="1" x14ac:dyDescent="0.25">
      <c r="A8" t="s">
        <v>26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</v>
      </c>
      <c r="E8" s="10">
        <f>Table3[[#This Row],[Watched]]/Table3[[#This Row],[GP]]</f>
        <v>0.25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1</v>
      </c>
      <c r="I8">
        <f>41-Table3[[#This Row],[GP_H]]</f>
        <v>40</v>
      </c>
      <c r="J8">
        <f t="shared" si="0"/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1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1</v>
      </c>
      <c r="AB8">
        <f>Table3[[#This Row],[W]]/MAX(1,Table3[[#This Row],[W]]+Table3[[#This Row],[L]])</f>
        <v>0.5</v>
      </c>
      <c r="AC8">
        <f>Table3[[#This Row],[W_A]]+Table3[[#This Row],[W_H]]</f>
        <v>2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1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1-2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0.33333333333333331</v>
      </c>
      <c r="AN8">
        <f>Table3[[#This Row],[Total_ExtraTimes]]/MAX(1,Table3[[#This Row],[GP]])</f>
        <v>0.75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8" s="10">
        <f>Table3[[#This Row],[PTS]]/(2*Table3[[#This Row],[GP]])</f>
        <v>0.75</v>
      </c>
      <c r="AR8" s="10">
        <f>Table3[[#This Row],[PTS2]]/(3*Table3[[#This Row],[GP]])</f>
        <v>0.58333333333333337</v>
      </c>
      <c r="AS8">
        <f>(2*Table3[[#This Row],[GR]])+Table3[[#This Row],[PTS]]</f>
        <v>162</v>
      </c>
      <c r="AT8">
        <f>(3*Table3[[#This Row],[GR]])+Table3[[#This Row],[PTS2]]</f>
        <v>241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143.5</v>
      </c>
      <c r="AW8" s="15" t="str">
        <f>_xlfn.CONCAT(TEXT(Table3[[#This Row],[W]], "0"), "-", TEXT(Table3[[#This Row],[RL]],"0"), "-", TEXT(Table3[[#This Row],[OTL]]+Table3[[#This Row],[SOL]], "0"))</f>
        <v>2-0-2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9</v>
      </c>
      <c r="AZ8">
        <f>SUMIF(DataRegularSeason20242025!$D$3:$D$1315,$A8, DataRegularSeason20242025!$K$3:$K$1315)</f>
        <v>7</v>
      </c>
      <c r="BA8">
        <f t="shared" si="3"/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6</v>
      </c>
      <c r="BE8">
        <f t="shared" si="4"/>
        <v>-1</v>
      </c>
      <c r="BF8">
        <f t="shared" si="5"/>
        <v>14</v>
      </c>
      <c r="BG8">
        <f t="shared" si="6"/>
        <v>13</v>
      </c>
      <c r="BH8">
        <f t="shared" si="7"/>
        <v>1</v>
      </c>
      <c r="BI8" s="12">
        <f>Table3[[#This Row],[GF]]/Table3[[#This Row],[GP]]</f>
        <v>3.5</v>
      </c>
      <c r="BJ8" s="12">
        <f>Table3[[#This Row],[GA]]/Table3[[#This Row],[GP]]</f>
        <v>3.25</v>
      </c>
      <c r="BK8" s="12">
        <f>(Table3[[#This Row],[GF]]-Table3[[#This Row],[GA]])/Table3[[#This Row],[GP]]</f>
        <v>0.25</v>
      </c>
      <c r="BL8" s="42" t="str">
        <f>_xlfn.CONCAT(TEXT(Table3[[#This Row],[W_H]], "0"), "-", TEXT(Table3[[#This Row],[RL_H]],"0"), "-", TEXT(Table3[[#This Row],[OTL_H]]+Table3[[#This Row],[SOL_H]], "0"))</f>
        <v>0-0-1</v>
      </c>
      <c r="BM8" s="42" t="str">
        <f>_xlfn.CONCAT(TEXT(Table3[[#This Row],[W_A]], "0"), "-", TEXT(Table3[[#This Row],[RL_A]],"0"), "-", TEXT(Table3[[#This Row],[OTL_A]]+Table3[[#This Row],[SOL_A]], "0"))</f>
        <v>2-0-1</v>
      </c>
      <c r="BN8" s="42">
        <f>((2*(Table3[[#This Row],[W_H]]))+Table3[[#This Row],[OTL_H]]+Table3[[#This Row],[SOL_H]])/(2*Table3[[#This Row],[GP_H]])</f>
        <v>0.5</v>
      </c>
      <c r="BO8" s="42">
        <f>((2*(Table3[[#This Row],[W_A]]))+Table3[[#This Row],[OTL_A]]+Table3[[#This Row],[SOL_A]])/(2*Table3[[#This Row],[GP_A]])</f>
        <v>0.83333333333333337</v>
      </c>
      <c r="BP8" s="16">
        <f>(Table3[[#This Row],[W]]*$CX$3)+(Table3[[#This Row],[L]]*$CX$4)+(Table3[[#This Row],[GF]]*$CX$5)+(Table3[[#This Row],[GA]]*$CX$6)</f>
        <v>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83.924999999999997</v>
      </c>
      <c r="BR8" s="16">
        <f>(Table3[[#This Row],[W]]*0.7) + ((Table3[[#This Row],[GF]] - Table3[[#This Row],[GA]])*0.25)+(Table3[[#This Row],[GF]]*0.1)+(Table3[[#This Row],[GA]]*0.05)+(Table3[[#This Row],[L]]*0.3)</f>
        <v>4.3</v>
      </c>
      <c r="BS8" s="16">
        <f>Table3[[#This Row],[TeamCost83]]/Table3[[#This Row],[GP]]</f>
        <v>1.075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1</v>
      </c>
      <c r="BV8">
        <f t="shared" si="8"/>
        <v>3</v>
      </c>
      <c r="BW8">
        <f t="shared" si="9"/>
        <v>1</v>
      </c>
      <c r="BX8">
        <f t="shared" si="10"/>
        <v>0</v>
      </c>
      <c r="BY8">
        <f t="shared" si="11"/>
        <v>1</v>
      </c>
      <c r="BZ8">
        <f>Table3[[#This Row],[TimesPredictedWinner]]/Table3[[#This Row],[GP]]</f>
        <v>0.75</v>
      </c>
      <c r="CB8">
        <v>2023</v>
      </c>
      <c r="CD8" s="1">
        <v>45748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</v>
      </c>
      <c r="CJ8">
        <f>SUMIFS(Table2[GamePredictionScore], Table2[HomeTeam], Table3[[#This Row],[Teams]])</f>
        <v>0</v>
      </c>
      <c r="CK8">
        <f>Table3[[#This Row],[Column4]]+Table3[[#This Row],[Column3]]</f>
        <v>1</v>
      </c>
      <c r="CL8">
        <f>Table3[[#This Row],[Column5]]/Table3[[#This Row],[GP]]</f>
        <v>0.25</v>
      </c>
      <c r="CR8" t="s">
        <v>143</v>
      </c>
      <c r="CS8">
        <f>SUM($AI$2:$AI$33)</f>
        <v>4</v>
      </c>
      <c r="CY8" t="s">
        <v>153</v>
      </c>
      <c r="CZ8" s="17">
        <f>CZ7*82</f>
        <v>83.64</v>
      </c>
      <c r="DA8" s="16">
        <f>DA7+((82-CY2)*CZ7)</f>
        <v>83.64</v>
      </c>
    </row>
    <row r="9" spans="1:144" x14ac:dyDescent="0.25">
      <c r="A9" t="s">
        <v>15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2</v>
      </c>
      <c r="E9" s="10">
        <f>Table3[[#This Row],[Watched]]/Table3[[#This Row],[GP]]</f>
        <v>0.5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 t="shared" si="0"/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1</v>
      </c>
      <c r="M9">
        <f>COUNTIFS(DataRegularSeason20242025!$D$3:$D$1315,$A9, DataRegularSeason20242025!$L$3:$L$1315, $A9,DataRegularSeason20242025!$N$3:$N$1315,1,DataRegularSeason20242025!$M$3:$M$1315,"REG")</f>
        <v>1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1</v>
      </c>
      <c r="Y9">
        <f>COUNTIFS(DataRegularSeason20242025!$E$3:$E$1315,$A9, DataRegularSeason20242025!$S$3:$S$1315, $A9,DataRegularSeason20242025!$M$3:$M$1315,"REG")</f>
        <v>1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2</v>
      </c>
      <c r="AF9">
        <f>Table3[[#This Row],[RL_A]]+Table3[[#This Row],[RL_H]]</f>
        <v>1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0.25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9" s="10">
        <f>Table3[[#This Row],[PTS]]/(2*Table3[[#This Row],[GP]])</f>
        <v>0.75</v>
      </c>
      <c r="AR9" s="10">
        <f>Table3[[#This Row],[PTS2]]/(3*Table3[[#This Row],[GP]])</f>
        <v>0.66666666666666663</v>
      </c>
      <c r="AS9">
        <f>(2*Table3[[#This Row],[GR]])+Table3[[#This Row],[PTS]]</f>
        <v>162</v>
      </c>
      <c r="AT9">
        <f>(3*Table3[[#This Row],[GR]])+Table3[[#This Row],[PTS2]]</f>
        <v>242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3</v>
      </c>
      <c r="AZ9">
        <f>SUMIF(DataRegularSeason20242025!$D$3:$D$1315,$A9, DataRegularSeason20242025!$K$3:$K$1315)</f>
        <v>1</v>
      </c>
      <c r="BA9">
        <f t="shared" si="3"/>
        <v>2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10</v>
      </c>
      <c r="BD9">
        <f>SUMIF(DataRegularSeason20242025!$E$3:$E$1315,$A9,DataRegularSeason20242025!$J$3:$J$1315)</f>
        <v>8</v>
      </c>
      <c r="BE9">
        <f t="shared" si="4"/>
        <v>2</v>
      </c>
      <c r="BF9">
        <f t="shared" si="5"/>
        <v>13</v>
      </c>
      <c r="BG9">
        <f t="shared" si="6"/>
        <v>9</v>
      </c>
      <c r="BH9">
        <f t="shared" si="7"/>
        <v>4</v>
      </c>
      <c r="BI9" s="12">
        <f>Table3[[#This Row],[GF]]/Table3[[#This Row],[GP]]</f>
        <v>3.25</v>
      </c>
      <c r="BJ9" s="12">
        <f>Table3[[#This Row],[GA]]/Table3[[#This Row],[GP]]</f>
        <v>2.25</v>
      </c>
      <c r="BK9" s="12">
        <f>(Table3[[#This Row],[GF]]-Table3[[#This Row],[GA]])/Table3[[#This Row],[GP]]</f>
        <v>1</v>
      </c>
      <c r="BL9" s="42" t="str">
        <f>_xlfn.CONCAT(TEXT(Table3[[#This Row],[W_H]], "0"), "-", TEXT(Table3[[#This Row],[RL_H]],"0"), "-", TEXT(Table3[[#This Row],[OTL_H]]+Table3[[#This Row],[SOL_H]], "0"))</f>
        <v>2-1-0</v>
      </c>
      <c r="BM9" s="42" t="str">
        <f>_xlfn.CONCAT(TEXT(Table3[[#This Row],[W_A]], "0"), "-", TEXT(Table3[[#This Row],[RL_A]],"0"), "-", TEXT(Table3[[#This Row],[OTL_A]]+Table3[[#This Row],[SOL_A]], "0"))</f>
        <v>1-0-0</v>
      </c>
      <c r="BN9" s="42">
        <f>((2*(Table3[[#This Row],[W_H]]))+Table3[[#This Row],[OTL_H]]+Table3[[#This Row],[SOL_H]])/(2*Table3[[#This Row],[GP_H]])</f>
        <v>0.66666666666666663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4.6500000000000004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9" s="16">
        <f>(Table3[[#This Row],[W]]*0.7) + ((Table3[[#This Row],[GF]] - Table3[[#This Row],[GA]])*0.25)+(Table3[[#This Row],[GF]]*0.1)+(Table3[[#This Row],[GA]]*0.05)+(Table3[[#This Row],[L]]*0.3)</f>
        <v>5.1499999999999995</v>
      </c>
      <c r="BS9" s="16">
        <f>Table3[[#This Row],[TeamCost83]]/Table3[[#This Row],[GP]]</f>
        <v>1.2874999999999999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2</v>
      </c>
      <c r="BV9">
        <f t="shared" si="8"/>
        <v>2</v>
      </c>
      <c r="BW9">
        <f t="shared" si="9"/>
        <v>1</v>
      </c>
      <c r="BX9">
        <f t="shared" si="10"/>
        <v>1</v>
      </c>
      <c r="BY9">
        <f t="shared" si="11"/>
        <v>2</v>
      </c>
      <c r="BZ9">
        <f>Table3[[#This Row],[TimesPredictedWinner]]/Table3[[#This Row],[GP]]</f>
        <v>0.5</v>
      </c>
      <c r="CB9">
        <v>2011</v>
      </c>
      <c r="CC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2.6</v>
      </c>
      <c r="CK9">
        <f>Table3[[#This Row],[Column4]]+Table3[[#This Row],[Column3]]</f>
        <v>2.6</v>
      </c>
      <c r="CL9">
        <f>Table3[[#This Row],[Column5]]/Table3[[#This Row],[GP]]</f>
        <v>0.65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2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2</v>
      </c>
      <c r="G10">
        <f>41-Table3[[#This Row],[GP_A]]</f>
        <v>39</v>
      </c>
      <c r="H10">
        <f>COUNTIFS(DataRegularSeason20242025!$E$3:$E$1315,$A10,DataRegularSeason20242025!$N$3:$N$1315,1)</f>
        <v>2</v>
      </c>
      <c r="I10">
        <f>41-Table3[[#This Row],[GP_H]]</f>
        <v>39</v>
      </c>
      <c r="J10">
        <f t="shared" si="0"/>
        <v>4</v>
      </c>
      <c r="K10">
        <f>82-Table3[[#This Row],[GP]]</f>
        <v>78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1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0.75</v>
      </c>
      <c r="AC10">
        <f>Table3[[#This Row],[W_A]]+Table3[[#This Row],[W_H]]</f>
        <v>3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0.25</v>
      </c>
      <c r="AO10">
        <f>(2*(Table3[[#This Row],[W_A]]+Table3[[#This Row],[W_H]]))+Table3[[#This Row],[OTL_A]]+Table3[[#This Row],[SOL_A]]+Table3[[#This Row],[OTL_H]]+Table3[[#This Row],[SOL_H]]</f>
        <v>6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0" s="10">
        <f>Table3[[#This Row],[PTS]]/(2*Table3[[#This Row],[GP]])</f>
        <v>0.75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242</v>
      </c>
      <c r="AU10">
        <f>Table3[[#This Row],[PTS]]+(2 * Table3[[#This Row],[GR]] * Table3[[#This Row],[PTS%]])</f>
        <v>123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3-1-0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 t="shared" si="3"/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4</v>
      </c>
      <c r="BD10">
        <f>SUMIF(DataRegularSeason20242025!$E$3:$E$1315,$A10,DataRegularSeason20242025!$J$3:$J$1315)</f>
        <v>5</v>
      </c>
      <c r="BE10">
        <f t="shared" si="4"/>
        <v>-1</v>
      </c>
      <c r="BF10">
        <f t="shared" si="5"/>
        <v>9</v>
      </c>
      <c r="BG10">
        <f t="shared" si="6"/>
        <v>7</v>
      </c>
      <c r="BH10">
        <f t="shared" si="7"/>
        <v>2</v>
      </c>
      <c r="BI10" s="12">
        <f>Table3[[#This Row],[GF]]/Table3[[#This Row],[GP]]</f>
        <v>2.25</v>
      </c>
      <c r="BJ10" s="12">
        <f>Table3[[#This Row],[GA]]/Table3[[#This Row],[GP]]</f>
        <v>1.75</v>
      </c>
      <c r="BK10" s="12">
        <f>(Table3[[#This Row],[GF]]-Table3[[#This Row],[GA]])/Table3[[#This Row],[GP]]</f>
        <v>0.5</v>
      </c>
      <c r="BL10" s="42" t="str">
        <f>_xlfn.CONCAT(TEXT(Table3[[#This Row],[W_H]], "0"), "-", TEXT(Table3[[#This Row],[RL_H]],"0"), "-", TEXT(Table3[[#This Row],[OTL_H]]+Table3[[#This Row],[SOL_H]], "0"))</f>
        <v>1-1-0</v>
      </c>
      <c r="BM10" s="42" t="str">
        <f>_xlfn.CONCAT(TEXT(Table3[[#This Row],[W_A]], "0"), "-", TEXT(Table3[[#This Row],[RL_A]],"0"), "-", TEXT(Table3[[#This Row],[OTL_A]]+Table3[[#This Row],[SOL_A]], "0"))</f>
        <v>2-0-0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3.85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55.1</v>
      </c>
      <c r="BR10" s="16">
        <f>(Table3[[#This Row],[W]]*0.7) + ((Table3[[#This Row],[GF]] - Table3[[#This Row],[GA]])*0.25)+(Table3[[#This Row],[GF]]*0.1)+(Table3[[#This Row],[GA]]*0.05)+(Table3[[#This Row],[L]]*0.3)</f>
        <v>4.1499999999999995</v>
      </c>
      <c r="BS10" s="16">
        <f>Table3[[#This Row],[TeamCost83]]/Table3[[#This Row],[GP]]</f>
        <v>1.0374999999999999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2</v>
      </c>
      <c r="BV10">
        <f t="shared" si="8"/>
        <v>4</v>
      </c>
      <c r="BW10">
        <f t="shared" si="9"/>
        <v>0</v>
      </c>
      <c r="BX10">
        <f t="shared" si="10"/>
        <v>0</v>
      </c>
      <c r="BY10">
        <f t="shared" si="11"/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1.8</v>
      </c>
      <c r="CJ10">
        <f>SUMIFS(Table2[GamePredictionScore], Table2[HomeTeam], Table3[[#This Row],[Teams]])</f>
        <v>0.9</v>
      </c>
      <c r="CK10">
        <f>Table3[[#This Row],[Column4]]+Table3[[#This Row],[Column3]]</f>
        <v>2.7</v>
      </c>
      <c r="CL10">
        <f>Table3[[#This Row],[Column5]]/Table3[[#This Row],[GP]]</f>
        <v>0.67500000000000004</v>
      </c>
      <c r="CR10" t="s">
        <v>147</v>
      </c>
      <c r="CS10" s="1">
        <f>_xlfn.MAXIFS(DataRegularSeason20242025!$B$3:$B$1315,DataRegularSeason20242025!$N$3:$N$1315,1)</f>
        <v>45945</v>
      </c>
      <c r="CW10" t="s">
        <v>153</v>
      </c>
      <c r="CX10" s="16">
        <f>CW9*82</f>
        <v>83.64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4</v>
      </c>
      <c r="E11" s="10">
        <f>Table3[[#This Row],[Watched]]/Table3[[#This Row],[GP]]</f>
        <v>1</v>
      </c>
      <c r="F11">
        <f>COUNTIFS(DataRegularSeason20242025!$N$3:$N$1315,1,DataRegularSeason20242025!$D$3:$D$1315,$A11)</f>
        <v>1</v>
      </c>
      <c r="G11">
        <f>41-Table3[[#This Row],[GP_A]]</f>
        <v>40</v>
      </c>
      <c r="H11">
        <f>COUNTIFS(DataRegularSeason20242025!$E$3:$E$1315,$A11,DataRegularSeason20242025!$N$3:$N$1315,1)</f>
        <v>3</v>
      </c>
      <c r="I11">
        <f>41-Table3[[#This Row],[GP_H]]</f>
        <v>38</v>
      </c>
      <c r="J11">
        <f t="shared" si="0"/>
        <v>4</v>
      </c>
      <c r="K11">
        <f>82-Table3[[#This Row],[GP]]</f>
        <v>78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2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0.75</v>
      </c>
      <c r="AC11">
        <f>Table3[[#This Row],[W_A]]+Table3[[#This Row],[W_H]]</f>
        <v>3</v>
      </c>
      <c r="AD11">
        <f>Table3[[#This Row],[L_A]]+Table3[[#This Row],[L_H]]</f>
        <v>1</v>
      </c>
      <c r="AE11">
        <f>Table3[[#This Row],[RW_A]]+Table3[[#This Row],[RW_H]]</f>
        <v>3</v>
      </c>
      <c r="AF11">
        <f>Table3[[#This Row],[RL_A]]+Table3[[#This Row],[RL_H]]</f>
        <v>1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6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1" s="10">
        <f>Table3[[#This Row],[PTS]]/(2*Table3[[#This Row],[GP]])</f>
        <v>0.75</v>
      </c>
      <c r="AR11" s="10">
        <f>Table3[[#This Row],[PTS2]]/(3*Table3[[#This Row],[GP]])</f>
        <v>0.75</v>
      </c>
      <c r="AS11">
        <f>(2*Table3[[#This Row],[GR]])+Table3[[#This Row],[PTS]]</f>
        <v>162</v>
      </c>
      <c r="AT11">
        <f>(3*Table3[[#This Row],[GR]])+Table3[[#This Row],[PTS2]]</f>
        <v>243</v>
      </c>
      <c r="AU11">
        <f>Table3[[#This Row],[PTS]]+(2 * Table3[[#This Row],[GR]] * Table3[[#This Row],[PTS%]])</f>
        <v>123</v>
      </c>
      <c r="AV11">
        <f>Table3[[#This Row],[PTS2]]+(3 * Table3[[#This Row],[GR]] * Table3[[#This Row],[PTS%2]])</f>
        <v>184.5</v>
      </c>
      <c r="AW11" s="15" t="str">
        <f>_xlfn.CONCAT(TEXT(Table3[[#This Row],[W]], "0"), "-", TEXT(Table3[[#This Row],[RL]],"0"), "-", TEXT(Table3[[#This Row],[OTL]]+Table3[[#This Row],[SOL]], "0"))</f>
        <v>3-1-0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3</v>
      </c>
      <c r="AZ11">
        <f>SUMIF(DataRegularSeason20242025!$D$3:$D$1315,$A11, DataRegularSeason20242025!$K$3:$K$1315)</f>
        <v>2</v>
      </c>
      <c r="BA11">
        <f t="shared" si="3"/>
        <v>1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9</v>
      </c>
      <c r="BE11">
        <f t="shared" si="4"/>
        <v>2</v>
      </c>
      <c r="BF11">
        <f t="shared" si="5"/>
        <v>14</v>
      </c>
      <c r="BG11">
        <f t="shared" si="6"/>
        <v>11</v>
      </c>
      <c r="BH11">
        <f t="shared" si="7"/>
        <v>3</v>
      </c>
      <c r="BI11" s="12">
        <f>Table3[[#This Row],[GF]]/Table3[[#This Row],[GP]]</f>
        <v>3.5</v>
      </c>
      <c r="BJ11" s="12">
        <f>Table3[[#This Row],[GA]]/Table3[[#This Row],[GP]]</f>
        <v>2.75</v>
      </c>
      <c r="BK11" s="12">
        <f>(Table3[[#This Row],[GF]]-Table3[[#This Row],[GA]])/Table3[[#This Row],[GP]]</f>
        <v>0.75</v>
      </c>
      <c r="BL11" s="42" t="str">
        <f>_xlfn.CONCAT(TEXT(Table3[[#This Row],[W_H]], "0"), "-", TEXT(Table3[[#This Row],[RL_H]],"0"), "-", TEXT(Table3[[#This Row],[OTL_H]]+Table3[[#This Row],[SOL_H]], "0"))</f>
        <v>2-1-0</v>
      </c>
      <c r="BM11" s="42" t="str">
        <f>_xlfn.CONCAT(TEXT(Table3[[#This Row],[W_A]], "0"), "-", TEXT(Table3[[#This Row],[RL_A]],"0"), "-", TEXT(Table3[[#This Row],[OTL_A]]+Table3[[#This Row],[SOL_A]], "0"))</f>
        <v>1-0-0</v>
      </c>
      <c r="BN11" s="42">
        <f>((2*(Table3[[#This Row],[W_H]]))+Table3[[#This Row],[OTL_H]]+Table3[[#This Row],[SOL_H]])/(2*Table3[[#This Row],[GP_H]])</f>
        <v>0.66666666666666663</v>
      </c>
      <c r="BO11" s="42">
        <f>((2*(Table3[[#This Row],[W_A]]))+Table3[[#This Row],[OTL_A]]+Table3[[#This Row],[SOL_A]])/(2*Table3[[#This Row],[GP_A]])</f>
        <v>1</v>
      </c>
      <c r="BP11" s="16">
        <f>(Table3[[#This Row],[W]]*$CX$3)+(Table3[[#This Row],[L]]*$CX$4)+(Table3[[#This Row],[GF]]*$CX$5)+(Table3[[#This Row],[GA]]*$CX$6)</f>
        <v>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79.824999999999989</v>
      </c>
      <c r="BR11" s="16">
        <f>(Table3[[#This Row],[W]]*0.7) + ((Table3[[#This Row],[GF]] - Table3[[#This Row],[GA]])*0.25)+(Table3[[#This Row],[GF]]*0.1)+(Table3[[#This Row],[GA]]*0.05)+(Table3[[#This Row],[L]]*0.3)</f>
        <v>5.0999999999999996</v>
      </c>
      <c r="BS11" s="16">
        <f>Table3[[#This Row],[TeamCost83]]/Table3[[#This Row],[GP]]</f>
        <v>1.2749999999999999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1</v>
      </c>
      <c r="BV11">
        <f t="shared" si="8"/>
        <v>2</v>
      </c>
      <c r="BW11">
        <f t="shared" si="9"/>
        <v>0</v>
      </c>
      <c r="BX11">
        <f t="shared" si="10"/>
        <v>2</v>
      </c>
      <c r="BY11">
        <f t="shared" si="11"/>
        <v>2</v>
      </c>
      <c r="BZ11">
        <f>Table3[[#This Row],[TimesPredictedWinner]]/Table3[[#This Row],[GP]]</f>
        <v>0.5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0.8</v>
      </c>
      <c r="CJ11">
        <f>SUMIFS(Table2[GamePredictionScore], Table2[HomeTeam], Table3[[#This Row],[Teams]])</f>
        <v>1.7000000000000002</v>
      </c>
      <c r="CK11">
        <f>Table3[[#This Row],[Column4]]+Table3[[#This Row],[Column3]]</f>
        <v>2.5</v>
      </c>
      <c r="CL11">
        <f>Table3[[#This Row],[Column5]]/Table3[[#This Row],[GP]]</f>
        <v>0.625</v>
      </c>
      <c r="CR11" t="s">
        <v>148</v>
      </c>
      <c r="CS11">
        <f>$CS$2/($CS$10-$CS$9)</f>
        <v>7.5</v>
      </c>
      <c r="CW11">
        <f>ROUND(CZ5,0)</f>
        <v>2</v>
      </c>
    </row>
    <row r="12" spans="1:144" x14ac:dyDescent="0.25">
      <c r="A12" t="s">
        <v>31</v>
      </c>
      <c r="B12" t="s">
        <v>91</v>
      </c>
      <c r="C12" t="s">
        <v>92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>
        <f>Table3[[#This Row],[Watched]]/Table3[[#This Row],[GP]]</f>
        <v>0</v>
      </c>
      <c r="F12">
        <f>COUNTIFS(DataRegularSeason20242025!$N$3:$N$1315,1,DataRegularSeason20242025!$D$3:$D$1315,$A12)</f>
        <v>3</v>
      </c>
      <c r="G12">
        <f>41-Table3[[#This Row],[GP_A]]</f>
        <v>38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 t="shared" si="0"/>
        <v>3</v>
      </c>
      <c r="K12">
        <f>82-Table3[[#This Row],[GP]]</f>
        <v>79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2</v>
      </c>
      <c r="AD12">
        <f>Table3[[#This Row],[L_A]]+Table3[[#This Row],[L_H]]</f>
        <v>1</v>
      </c>
      <c r="AE12">
        <f>Table3[[#This Row],[RW_A]]+Table3[[#This Row],[RW_H]]</f>
        <v>2</v>
      </c>
      <c r="AF12">
        <f>Table3[[#This Row],[RL_A]]+Table3[[#This Row],[RL_H]]</f>
        <v>1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2" s="10">
        <f>Table3[[#This Row],[PTS]]/(2*Table3[[#This Row],[GP]])</f>
        <v>0.66666666666666663</v>
      </c>
      <c r="AR12" s="10">
        <f>Table3[[#This Row],[PTS2]]/(3*Table3[[#This Row],[GP]])</f>
        <v>0.66666666666666663</v>
      </c>
      <c r="AS12">
        <f>(2*Table3[[#This Row],[GR]])+Table3[[#This Row],[PTS]]</f>
        <v>162</v>
      </c>
      <c r="AT12">
        <f>(3*Table3[[#This Row],[GR]])+Table3[[#This Row],[PTS2]]</f>
        <v>243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164</v>
      </c>
      <c r="AW12" s="15" t="str">
        <f>_xlfn.CONCAT(TEXT(Table3[[#This Row],[W]], "0"), "-", TEXT(Table3[[#This Row],[RL]],"0"), "-", TEXT(Table3[[#This Row],[OTL]]+Table3[[#This Row],[SOL]], "0"))</f>
        <v>2-1-0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11</v>
      </c>
      <c r="AZ12">
        <f>SUMIF(DataRegularSeason20242025!$D$3:$D$1315,$A12, DataRegularSeason20242025!$K$3:$K$1315)</f>
        <v>11</v>
      </c>
      <c r="BA12">
        <f t="shared" si="3"/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 t="shared" si="4"/>
        <v>0</v>
      </c>
      <c r="BF12">
        <f t="shared" si="5"/>
        <v>11</v>
      </c>
      <c r="BG12">
        <f t="shared" si="6"/>
        <v>11</v>
      </c>
      <c r="BH12">
        <f t="shared" si="7"/>
        <v>0</v>
      </c>
      <c r="BI12" s="12">
        <f>Table3[[#This Row],[GF]]/Table3[[#This Row],[GP]]</f>
        <v>3.6666666666666665</v>
      </c>
      <c r="BJ12" s="12">
        <f>Table3[[#This Row],[GA]]/Table3[[#This Row],[GP]]</f>
        <v>3.6666666666666665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2-1-0</v>
      </c>
      <c r="BN12" s="42" t="e">
        <f>((2*(Table3[[#This Row],[W_H]]))+Table3[[#This Row],[OTL_H]]+Table3[[#This Row],[SOL_H]])/(2*Table3[[#This Row],[GP_H]])</f>
        <v>#DIV/0!</v>
      </c>
      <c r="BO12" s="42">
        <f>((2*(Table3[[#This Row],[W_A]]))+Table3[[#This Row],[OTL_A]]+Table3[[#This Row],[SOL_A]])/(2*Table3[[#This Row],[GP_A]])</f>
        <v>0.66666666666666663</v>
      </c>
      <c r="BP12" s="16">
        <f>(Table3[[#This Row],[W]]*$CX$3)+(Table3[[#This Row],[L]]*$CX$4)+(Table3[[#This Row],[GF]]*$CX$5)+(Table3[[#This Row],[GA]]*$CX$6)</f>
        <v>4.0500000000000007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2" s="16">
        <f>(Table3[[#This Row],[W]]*0.7) + ((Table3[[#This Row],[GF]] - Table3[[#This Row],[GA]])*0.25)+(Table3[[#This Row],[GF]]*0.1)+(Table3[[#This Row],[GA]]*0.05)+(Table3[[#This Row],[L]]*0.3)</f>
        <v>3.3499999999999996</v>
      </c>
      <c r="BS12" s="16">
        <f>Table3[[#This Row],[TeamCost83]]/Table3[[#This Row],[GP]]</f>
        <v>1.1166666666666665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 t="shared" si="8"/>
        <v>0</v>
      </c>
      <c r="BW12">
        <f t="shared" si="9"/>
        <v>3</v>
      </c>
      <c r="BX12">
        <f t="shared" si="10"/>
        <v>0</v>
      </c>
      <c r="BY12">
        <f t="shared" si="11"/>
        <v>3</v>
      </c>
      <c r="BZ12">
        <f>Table3[[#This Row],[TimesPredictedWinner]]/Table3[[#This Row],[GP]]</f>
        <v>0</v>
      </c>
      <c r="CB12">
        <v>2003</v>
      </c>
      <c r="CD12" s="1">
        <v>45755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0</v>
      </c>
      <c r="CK12">
        <f>Table3[[#This Row],[Column4]]+Table3[[#This Row],[Column3]]</f>
        <v>0.9</v>
      </c>
      <c r="CL12">
        <f>Table3[[#This Row],[Column5]]/Table3[[#This Row],[GP]]</f>
        <v>0.3</v>
      </c>
      <c r="CR12" t="s">
        <v>149</v>
      </c>
      <c r="CS12">
        <f>$CS$3/($CS$10-$CS$9)</f>
        <v>4.875</v>
      </c>
    </row>
    <row r="13" spans="1:144" x14ac:dyDescent="0.25">
      <c r="A13" t="s">
        <v>21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0.33333333333333331</v>
      </c>
      <c r="F13">
        <f>COUNTIFS(DataRegularSeason20242025!$N$3:$N$1315,1,DataRegularSeason20242025!$D$3:$D$1315,$A13)</f>
        <v>1</v>
      </c>
      <c r="G13">
        <f>41-Table3[[#This Row],[GP_A]]</f>
        <v>40</v>
      </c>
      <c r="H13">
        <f>COUNTIFS(DataRegularSeason20242025!$E$3:$E$1315,$A13,DataRegularSeason20242025!$N$3:$N$1315,1)</f>
        <v>2</v>
      </c>
      <c r="I13">
        <f>41-Table3[[#This Row],[GP_H]]</f>
        <v>39</v>
      </c>
      <c r="J13">
        <f t="shared" si="0"/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1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1</v>
      </c>
      <c r="U13">
        <f>COUNTIFS(DataRegularSeason20242025!$E$3:$E$1315,$A13, DataRegularSeason20242025!$L$3:$L$1315, $A13,DataRegularSeason20242025!$N$3:$N$1315,1,DataRegularSeason20242025!$M$3:$M$1315,"REG")</f>
        <v>1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2</v>
      </c>
      <c r="BA13">
        <f t="shared" si="3"/>
        <v>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7</v>
      </c>
      <c r="BD13">
        <f>SUMIF(DataRegularSeason20242025!$E$3:$E$1315,$A13,DataRegularSeason20242025!$J$3:$J$1315)</f>
        <v>7</v>
      </c>
      <c r="BE13">
        <f t="shared" si="4"/>
        <v>0</v>
      </c>
      <c r="BF13">
        <f t="shared" si="5"/>
        <v>12</v>
      </c>
      <c r="BG13">
        <f t="shared" si="6"/>
        <v>9</v>
      </c>
      <c r="BH13">
        <f t="shared" si="7"/>
        <v>3</v>
      </c>
      <c r="BI13" s="12">
        <f>Table3[[#This Row],[GF]]/Table3[[#This Row],[GP]]</f>
        <v>4</v>
      </c>
      <c r="BJ13" s="12">
        <f>Table3[[#This Row],[GA]]/Table3[[#This Row],[GP]]</f>
        <v>3</v>
      </c>
      <c r="BK13" s="12">
        <f>(Table3[[#This Row],[GF]]-Table3[[#This Row],[GA]])/Table3[[#This Row],[GP]]</f>
        <v>1</v>
      </c>
      <c r="BL13" s="42" t="str">
        <f>_xlfn.CONCAT(TEXT(Table3[[#This Row],[W_H]], "0"), "-", TEXT(Table3[[#This Row],[RL_H]],"0"), "-", TEXT(Table3[[#This Row],[OTL_H]]+Table3[[#This Row],[SOL_H]], "0"))</f>
        <v>1-1-0</v>
      </c>
      <c r="BM13" s="42" t="str">
        <f>_xlfn.CONCAT(TEXT(Table3[[#This Row],[W_A]], "0"), "-", TEXT(Table3[[#This Row],[RL_A]],"0"), "-", TEXT(Table3[[#This Row],[OTL_A]]+Table3[[#This Row],[SOL_A]], "0"))</f>
        <v>1-0-0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3.9999999999999996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3" s="16">
        <f>(Table3[[#This Row],[W]]*0.7) + ((Table3[[#This Row],[GF]] - Table3[[#This Row],[GA]])*0.25)+(Table3[[#This Row],[GF]]*0.1)+(Table3[[#This Row],[GA]]*0.05)+(Table3[[#This Row],[L]]*0.3)</f>
        <v>4.1000000000000005</v>
      </c>
      <c r="BS13" s="16">
        <f>Table3[[#This Row],[TeamCost83]]/Table3[[#This Row],[GP]]</f>
        <v>1.3666666666666669</v>
      </c>
      <c r="BT13">
        <f>COUNTIFS(Table2[AwayTeam],$A13,Table2[PredictedWinner], $A13, Table2[GameIsOver], 1)</f>
        <v>1</v>
      </c>
      <c r="BU13">
        <f>COUNTIFS(Table2[HomeTeam],$A13,Table2[PredictedWinner], $A13, Table2[GameIsOver], 1)</f>
        <v>1</v>
      </c>
      <c r="BV13">
        <f t="shared" si="8"/>
        <v>2</v>
      </c>
      <c r="BW13">
        <f t="shared" si="9"/>
        <v>0</v>
      </c>
      <c r="BX13">
        <f t="shared" si="10"/>
        <v>1</v>
      </c>
      <c r="BY13">
        <f t="shared" si="11"/>
        <v>1</v>
      </c>
      <c r="BZ13">
        <f>Table3[[#This Row],[TimesPredictedWinner]]/Table3[[#This Row],[GP]]</f>
        <v>0.66666666666666663</v>
      </c>
      <c r="CD13" s="1">
        <v>45741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0.8</v>
      </c>
      <c r="CJ13">
        <f>SUMIFS(Table2[GamePredictionScore], Table2[HomeTeam], Table3[[#This Row],[Teams]])</f>
        <v>1.6</v>
      </c>
      <c r="CK13">
        <f>Table3[[#This Row],[Column4]]+Table3[[#This Row],[Column3]]</f>
        <v>2.4000000000000004</v>
      </c>
      <c r="CL13">
        <f>Table3[[#This Row],[Column5]]/Table3[[#This Row],[GP]]</f>
        <v>0.80000000000000016</v>
      </c>
      <c r="CR13" t="s">
        <v>154</v>
      </c>
      <c r="CS13">
        <f>(CS5/CS2)/2</f>
        <v>3.1416666666666666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2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2</v>
      </c>
      <c r="G14">
        <f>41-Table3[[#This Row],[GP_A]]</f>
        <v>39</v>
      </c>
      <c r="H14">
        <f>COUNTIFS(DataRegularSeason20242025!$E$3:$E$1315,$A14,DataRegularSeason20242025!$N$3:$N$1315,1)</f>
        <v>1</v>
      </c>
      <c r="I14">
        <f>41-Table3[[#This Row],[GP_H]]</f>
        <v>40</v>
      </c>
      <c r="J14">
        <f t="shared" si="0"/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1</v>
      </c>
      <c r="AF14">
        <f>Table3[[#This Row],[RL_A]]+Table3[[#This Row],[RL_H]]</f>
        <v>1</v>
      </c>
      <c r="AG14">
        <f>Table3[[#This Row],[OTW_A]]+Table3[[#This Row],[OTW_H]]</f>
        <v>1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4" s="10">
        <f>Table3[[#This Row],[PTS]]/(2*Table3[[#This Row],[GP]])</f>
        <v>0.66666666666666663</v>
      </c>
      <c r="AR14" s="10">
        <f>Table3[[#This Row],[PTS2]]/(3*Table3[[#This Row],[GP]])</f>
        <v>0.55555555555555558</v>
      </c>
      <c r="AS14">
        <f>(2*Table3[[#This Row],[GR]])+Table3[[#This Row],[PTS]]</f>
        <v>162</v>
      </c>
      <c r="AT14">
        <f>(3*Table3[[#This Row],[GR]])+Table3[[#This Row],[PTS2]]</f>
        <v>242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136.66666666666669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8</v>
      </c>
      <c r="AZ14">
        <f>SUMIF(DataRegularSeason20242025!$D$3:$D$1315,$A14, DataRegularSeason20242025!$K$3:$K$1315)</f>
        <v>9</v>
      </c>
      <c r="BA14">
        <f t="shared" si="3"/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4</v>
      </c>
      <c r="BD14">
        <f>SUMIF(DataRegularSeason20242025!$E$3:$E$1315,$A14,DataRegularSeason20242025!$J$3:$J$1315)</f>
        <v>3</v>
      </c>
      <c r="BE14">
        <f t="shared" si="4"/>
        <v>1</v>
      </c>
      <c r="BF14">
        <f t="shared" si="5"/>
        <v>12</v>
      </c>
      <c r="BG14">
        <f t="shared" si="6"/>
        <v>12</v>
      </c>
      <c r="BH14">
        <f t="shared" si="7"/>
        <v>0</v>
      </c>
      <c r="BI14" s="12">
        <f>Table3[[#This Row],[GF]]/Table3[[#This Row],[GP]]</f>
        <v>4</v>
      </c>
      <c r="BJ14" s="12">
        <f>Table3[[#This Row],[GA]]/Table3[[#This Row],[GP]]</f>
        <v>4</v>
      </c>
      <c r="BK14" s="12">
        <f>(Table3[[#This Row],[GF]]-Table3[[#This Row],[GA]])/Table3[[#This Row],[GP]]</f>
        <v>0</v>
      </c>
      <c r="BL14" s="42" t="str">
        <f>_xlfn.CONCAT(TEXT(Table3[[#This Row],[W_H]], "0"), "-", TEXT(Table3[[#This Row],[RL_H]],"0"), "-", TEXT(Table3[[#This Row],[OTL_H]]+Table3[[#This Row],[SOL_H]], "0"))</f>
        <v>1-0-0</v>
      </c>
      <c r="BM14" s="42" t="str">
        <f>_xlfn.CONCAT(TEXT(Table3[[#This Row],[W_A]], "0"), "-", TEXT(Table3[[#This Row],[RL_A]],"0"), "-", TEXT(Table3[[#This Row],[OTL_A]]+Table3[[#This Row],[SOL_A]], "0"))</f>
        <v>1-1-0</v>
      </c>
      <c r="BN14" s="42">
        <f>((2*(Table3[[#This Row],[W_H]]))+Table3[[#This Row],[OTL_H]]+Table3[[#This Row],[SOL_H]])/(2*Table3[[#This Row],[GP_H]])</f>
        <v>1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4.3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98.14444444444446</v>
      </c>
      <c r="BR14" s="16">
        <f>(Table3[[#This Row],[W]]*0.7) + ((Table3[[#This Row],[GF]] - Table3[[#This Row],[GA]])*0.25)+(Table3[[#This Row],[GF]]*0.1)+(Table3[[#This Row],[GA]]*0.05)+(Table3[[#This Row],[L]]*0.3)</f>
        <v>3.5</v>
      </c>
      <c r="BS14" s="16">
        <f>Table3[[#This Row],[TeamCost83]]/Table3[[#This Row],[GP]]</f>
        <v>1.1666666666666667</v>
      </c>
      <c r="BT14">
        <f>COUNTIFS(Table2[AwayTeam],$A14,Table2[PredictedWinner], $A14, Table2[GameIsOver], 1)</f>
        <v>1</v>
      </c>
      <c r="BU14">
        <f>COUNTIFS(Table2[HomeTeam],$A14,Table2[PredictedWinner], $A14, Table2[GameIsOver], 1)</f>
        <v>0</v>
      </c>
      <c r="BV14">
        <f t="shared" si="8"/>
        <v>1</v>
      </c>
      <c r="BW14">
        <f t="shared" si="9"/>
        <v>1</v>
      </c>
      <c r="BX14">
        <f t="shared" si="10"/>
        <v>1</v>
      </c>
      <c r="BY14">
        <f t="shared" si="11"/>
        <v>2</v>
      </c>
      <c r="BZ14">
        <f>Table3[[#This Row],[TimesPredictedWinner]]/Table3[[#This Row],[GP]]</f>
        <v>0.33333333333333331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1.6</v>
      </c>
      <c r="CJ14">
        <f>SUMIFS(Table2[GamePredictionScore], Table2[HomeTeam], Table3[[#This Row],[Teams]])</f>
        <v>0</v>
      </c>
      <c r="CK14">
        <f>Table3[[#This Row],[Column4]]+Table3[[#This Row],[Column3]]</f>
        <v>1.6</v>
      </c>
      <c r="CL14">
        <f>Table3[[#This Row],[Column5]]/Table3[[#This Row],[GP]]</f>
        <v>0.53333333333333333</v>
      </c>
      <c r="CR14" t="s">
        <v>460</v>
      </c>
      <c r="CS14">
        <f>CS7+CS8</f>
        <v>12</v>
      </c>
    </row>
    <row r="15" spans="1:144" ht="15.75" thickBot="1" x14ac:dyDescent="0.3">
      <c r="A15" t="s">
        <v>34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2</v>
      </c>
      <c r="E15" s="10">
        <f>Table3[[#This Row],[Watched]]/Table3[[#This Row],[GP]]</f>
        <v>0.5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4</v>
      </c>
      <c r="K15">
        <f>82-Table3[[#This Row],[GP]]</f>
        <v>78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1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1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1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1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2</v>
      </c>
      <c r="AD15">
        <f>Table3[[#This Row],[L_A]]+Table3[[#This Row],[L_H]]</f>
        <v>2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0-1</v>
      </c>
      <c r="AL15">
        <f>SUM(Table3[[#This Row],[OTW]],Table3[[#This Row],[OTL]],Table3[[#This Row],[SOW]],Table3[[#This Row],[SOL]])</f>
        <v>1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5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15" s="10">
        <f>Table3[[#This Row],[PTS]]/(2*Table3[[#This Row],[GP]])</f>
        <v>0.625</v>
      </c>
      <c r="AR15" s="10">
        <f>Table3[[#This Row],[PTS2]]/(3*Table3[[#This Row],[GP]])</f>
        <v>0.58333333333333337</v>
      </c>
      <c r="AS15">
        <f>(2*Table3[[#This Row],[GR]])+Table3[[#This Row],[PTS]]</f>
        <v>161</v>
      </c>
      <c r="AT15">
        <f>(3*Table3[[#This Row],[GR]])+Table3[[#This Row],[PTS2]]</f>
        <v>241</v>
      </c>
      <c r="AU15">
        <f>Table3[[#This Row],[PTS]]+(2 * Table3[[#This Row],[GR]] * Table3[[#This Row],[PTS%]])</f>
        <v>102.5</v>
      </c>
      <c r="AV15">
        <f>Table3[[#This Row],[PTS2]]+(3 * Table3[[#This Row],[GR]] * Table3[[#This Row],[PTS%2]])</f>
        <v>143.5</v>
      </c>
      <c r="AW15" s="15" t="str">
        <f>_xlfn.CONCAT(TEXT(Table3[[#This Row],[W]], "0"), "-", TEXT(Table3[[#This Row],[RL]],"0"), "-", TEXT(Table3[[#This Row],[OTL]]+Table3[[#This Row],[SOL]], "0"))</f>
        <v>2-1-1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8</v>
      </c>
      <c r="AZ15">
        <f>SUMIF(DataRegularSeason20242025!$D$3:$D$1315,$A15, DataRegularSeason20242025!$K$3:$K$1315)</f>
        <v>8</v>
      </c>
      <c r="BA15">
        <f t="shared" si="3"/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4</v>
      </c>
      <c r="BD15">
        <f>SUMIF(DataRegularSeason20242025!$E$3:$E$1315,$A15,DataRegularSeason20242025!$J$3:$J$1315)</f>
        <v>4</v>
      </c>
      <c r="BE15">
        <f t="shared" si="4"/>
        <v>0</v>
      </c>
      <c r="BF15">
        <f t="shared" si="5"/>
        <v>12</v>
      </c>
      <c r="BG15">
        <f t="shared" si="6"/>
        <v>12</v>
      </c>
      <c r="BH15">
        <f t="shared" si="7"/>
        <v>0</v>
      </c>
      <c r="BI15" s="12">
        <f>Table3[[#This Row],[GF]]/Table3[[#This Row],[GP]]</f>
        <v>3</v>
      </c>
      <c r="BJ15" s="12">
        <f>Table3[[#This Row],[GA]]/Table3[[#This Row],[GP]]</f>
        <v>3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1-0-1</v>
      </c>
      <c r="BM15" s="42" t="str">
        <f>_xlfn.CONCAT(TEXT(Table3[[#This Row],[W_A]], "0"), "-", TEXT(Table3[[#This Row],[RL_A]],"0"), "-", TEXT(Table3[[#This Row],[OTL_A]]+Table3[[#This Row],[SOL_A]], "0"))</f>
        <v>1-1-0</v>
      </c>
      <c r="BN15" s="42">
        <f>((2*(Table3[[#This Row],[W_H]]))+Table3[[#This Row],[OTL_H]]+Table3[[#This Row],[SOL_H]])/(2*Table3[[#This Row],[GP_H]])</f>
        <v>0.75</v>
      </c>
      <c r="BO15" s="42">
        <f>((2*(Table3[[#This Row],[W_A]]))+Table3[[#This Row],[OTL_A]]+Table3[[#This Row],[SOL_A]])/(2*Table3[[#This Row],[GP_A]])</f>
        <v>0.5</v>
      </c>
      <c r="BP15" s="16">
        <f>(Table3[[#This Row],[W]]*$CX$3)+(Table3[[#This Row],[L]]*$CX$4)+(Table3[[#This Row],[GF]]*$CX$5)+(Table3[[#This Row],[GA]]*$CX$6)</f>
        <v>4.5999999999999996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74.812499999999986</v>
      </c>
      <c r="BR15" s="16">
        <f>(Table3[[#This Row],[W]]*0.7) + ((Table3[[#This Row],[GF]] - Table3[[#This Row],[GA]])*0.25)+(Table3[[#This Row],[GF]]*0.1)+(Table3[[#This Row],[GA]]*0.05)+(Table3[[#This Row],[L]]*0.3)</f>
        <v>3.8000000000000003</v>
      </c>
      <c r="BS15" s="16">
        <f>Table3[[#This Row],[TeamCost83]]/Table3[[#This Row],[GP]]</f>
        <v>0.95000000000000007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1</v>
      </c>
      <c r="BV15">
        <f t="shared" si="8"/>
        <v>1</v>
      </c>
      <c r="BW15">
        <f t="shared" si="9"/>
        <v>2</v>
      </c>
      <c r="BX15">
        <f t="shared" si="10"/>
        <v>1</v>
      </c>
      <c r="BY15">
        <f t="shared" si="11"/>
        <v>3</v>
      </c>
      <c r="BZ15">
        <f>Table3[[#This Row],[TimesPredictedWinner]]/Table3[[#This Row],[GP]]</f>
        <v>0.25</v>
      </c>
      <c r="CC15" s="1">
        <v>45743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1.6</v>
      </c>
      <c r="CK15">
        <f>Table3[[#This Row],[Column4]]+Table3[[#This Row],[Column3]]</f>
        <v>2.4000000000000004</v>
      </c>
      <c r="CL15">
        <f>Table3[[#This Row],[Column5]]/Table3[[#This Row],[GP]]</f>
        <v>0.60000000000000009</v>
      </c>
      <c r="CR15" t="s">
        <v>461</v>
      </c>
      <c r="CS15">
        <f>CS14/CS2</f>
        <v>0.2</v>
      </c>
    </row>
    <row r="16" spans="1:144" x14ac:dyDescent="0.25">
      <c r="A16" t="s">
        <v>13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4</v>
      </c>
      <c r="E16" s="10">
        <f>Table3[[#This Row],[Watched]]/Table3[[#This Row],[GP]]</f>
        <v>0.8</v>
      </c>
      <c r="F16">
        <f>COUNTIFS(DataRegularSeason20242025!$N$3:$N$1315,1,DataRegularSeason20242025!$D$3:$D$1315,$A16)</f>
        <v>2</v>
      </c>
      <c r="G16">
        <f>41-Table3[[#This Row],[GP_A]]</f>
        <v>39</v>
      </c>
      <c r="H16">
        <f>COUNTIFS(DataRegularSeason20242025!$E$3:$E$1315,$A16,DataRegularSeason20242025!$N$3:$N$1315,1)</f>
        <v>3</v>
      </c>
      <c r="I16">
        <f>41-Table3[[#This Row],[GP_H]]</f>
        <v>38</v>
      </c>
      <c r="J16">
        <f t="shared" si="0"/>
        <v>5</v>
      </c>
      <c r="K16">
        <f>82-Table3[[#This Row],[GP]]</f>
        <v>77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3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3</v>
      </c>
      <c r="AD16">
        <f>Table3[[#This Row],[L_A]]+Table3[[#This Row],[L_H]]</f>
        <v>2</v>
      </c>
      <c r="AE16">
        <f>Table3[[#This Row],[RW_A]]+Table3[[#This Row],[RW_H]]</f>
        <v>3</v>
      </c>
      <c r="AF16">
        <f>Table3[[#This Row],[RL_A]]+Table3[[#This Row],[RL_H]]</f>
        <v>2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6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0.6</v>
      </c>
      <c r="AR16" s="10">
        <f>Table3[[#This Row],[PTS2]]/(3*Table3[[#This Row],[GP]])</f>
        <v>0.6</v>
      </c>
      <c r="AS16">
        <f>(2*Table3[[#This Row],[GR]])+Table3[[#This Row],[PTS]]</f>
        <v>160</v>
      </c>
      <c r="AT16">
        <f>(3*Table3[[#This Row],[GR]])+Table3[[#This Row],[PTS2]]</f>
        <v>240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147.6</v>
      </c>
      <c r="AW16" s="15" t="str">
        <f>_xlfn.CONCAT(TEXT(Table3[[#This Row],[W]], "0"), "-", TEXT(Table3[[#This Row],[RL]],"0"), "-", TEXT(Table3[[#This Row],[OTL]]+Table3[[#This Row],[SOL]], "0"))</f>
        <v>3-2-0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9</v>
      </c>
      <c r="BA16">
        <f t="shared" si="3"/>
        <v>-6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11</v>
      </c>
      <c r="BD16">
        <f>SUMIF(DataRegularSeason20242025!$E$3:$E$1315,$A16,DataRegularSeason20242025!$J$3:$J$1315)</f>
        <v>5</v>
      </c>
      <c r="BE16">
        <f t="shared" si="4"/>
        <v>6</v>
      </c>
      <c r="BF16">
        <f t="shared" si="5"/>
        <v>14</v>
      </c>
      <c r="BG16">
        <f t="shared" si="6"/>
        <v>14</v>
      </c>
      <c r="BH16">
        <f t="shared" si="7"/>
        <v>0</v>
      </c>
      <c r="BI16" s="12">
        <f>Table3[[#This Row],[GF]]/Table3[[#This Row],[GP]]</f>
        <v>2.8</v>
      </c>
      <c r="BJ16" s="12">
        <f>Table3[[#This Row],[GA]]/Table3[[#This Row],[GP]]</f>
        <v>2.8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3-0-0</v>
      </c>
      <c r="BM16" s="42" t="str">
        <f>_xlfn.CONCAT(TEXT(Table3[[#This Row],[W_A]], "0"), "-", TEXT(Table3[[#This Row],[RL_A]],"0"), "-", TEXT(Table3[[#This Row],[OTL_A]]+Table3[[#This Row],[SOL_A]], "0"))</f>
        <v>0-2-0</v>
      </c>
      <c r="BN16" s="42">
        <f>((2*(Table3[[#This Row],[W_H]]))+Table3[[#This Row],[OTL_H]]+Table3[[#This Row],[SOL_H]])/(2*Table3[[#This Row],[GP_H]])</f>
        <v>1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5.6000000000000005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69.887999999999991</v>
      </c>
      <c r="BR16" s="16">
        <f>(Table3[[#This Row],[W]]*0.7) + ((Table3[[#This Row],[GF]] - Table3[[#This Row],[GA]])*0.25)+(Table3[[#This Row],[GF]]*0.1)+(Table3[[#This Row],[GA]]*0.05)+(Table3[[#This Row],[L]]*0.3)</f>
        <v>4.8</v>
      </c>
      <c r="BS16" s="16">
        <f>Table3[[#This Row],[TeamCost83]]/Table3[[#This Row],[GP]]</f>
        <v>0.96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2</v>
      </c>
      <c r="BV16">
        <f t="shared" si="8"/>
        <v>3</v>
      </c>
      <c r="BW16">
        <f t="shared" si="9"/>
        <v>1</v>
      </c>
      <c r="BX16">
        <f t="shared" si="10"/>
        <v>1</v>
      </c>
      <c r="BY16">
        <f t="shared" si="11"/>
        <v>2</v>
      </c>
      <c r="BZ16">
        <f>Table3[[#This Row],[TimesPredictedWinner]]/Table3[[#This Row],[GP]]</f>
        <v>0.6</v>
      </c>
      <c r="CB16">
        <v>2025</v>
      </c>
      <c r="CD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0.9</v>
      </c>
      <c r="CJ16">
        <f>SUMIFS(Table2[GamePredictionScore], Table2[HomeTeam], Table3[[#This Row],[Teams]])</f>
        <v>1.7000000000000002</v>
      </c>
      <c r="CK16">
        <f>Table3[[#This Row],[Column4]]+Table3[[#This Row],[Column3]]</f>
        <v>2.6</v>
      </c>
      <c r="CL16">
        <f>Table3[[#This Row],[Column5]]/Table3[[#This Row],[GP]]</f>
        <v>0.52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12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1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2</v>
      </c>
      <c r="I17">
        <f>41-Table3[[#This Row],[GP_H]]</f>
        <v>39</v>
      </c>
      <c r="J17">
        <f t="shared" si="0"/>
        <v>4</v>
      </c>
      <c r="K17">
        <f>82-Table3[[#This Row],[GP]]</f>
        <v>78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2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2</v>
      </c>
      <c r="AD17">
        <f>Table3[[#This Row],[L_A]]+Table3[[#This Row],[L_H]]</f>
        <v>2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4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7" s="10">
        <f>Table3[[#This Row],[PTS]]/(2*Table3[[#This Row],[GP]])</f>
        <v>0.5</v>
      </c>
      <c r="AR17" s="10">
        <f>Table3[[#This Row],[PTS2]]/(3*Table3[[#This Row],[GP]])</f>
        <v>0.5</v>
      </c>
      <c r="AS17">
        <f>(2*Table3[[#This Row],[GR]])+Table3[[#This Row],[PTS]]</f>
        <v>160</v>
      </c>
      <c r="AT17">
        <f>(3*Table3[[#This Row],[GR]])+Table3[[#This Row],[PTS2]]</f>
        <v>240</v>
      </c>
      <c r="AU17">
        <f>Table3[[#This Row],[PTS]]+(2 * Table3[[#This Row],[GR]] * Table3[[#This Row],[PTS%]])</f>
        <v>82</v>
      </c>
      <c r="AV17">
        <f>Table3[[#This Row],[PTS2]]+(3 * Table3[[#This Row],[GR]] * Table3[[#This Row],[PTS%2]])</f>
        <v>123</v>
      </c>
      <c r="AW17" s="15" t="str">
        <f>_xlfn.CONCAT(TEXT(Table3[[#This Row],[W]], "0"), "-", TEXT(Table3[[#This Row],[RL]],"0"), "-", TEXT(Table3[[#This Row],[OTL]]+Table3[[#This Row],[SOL]], "0"))</f>
        <v>2-2-0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9</v>
      </c>
      <c r="AZ17">
        <f>SUMIF(DataRegularSeason20242025!$D$3:$D$1315,$A17, DataRegularSeason20242025!$K$3:$K$1315)</f>
        <v>4</v>
      </c>
      <c r="BA17">
        <f t="shared" si="3"/>
        <v>5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3</v>
      </c>
      <c r="BD17">
        <f>SUMIF(DataRegularSeason20242025!$E$3:$E$1315,$A17,DataRegularSeason20242025!$J$3:$J$1315)</f>
        <v>13</v>
      </c>
      <c r="BE17">
        <f t="shared" si="4"/>
        <v>-10</v>
      </c>
      <c r="BF17">
        <f t="shared" si="5"/>
        <v>12</v>
      </c>
      <c r="BG17">
        <f t="shared" si="6"/>
        <v>17</v>
      </c>
      <c r="BH17">
        <f t="shared" si="7"/>
        <v>-5</v>
      </c>
      <c r="BI17" s="12">
        <f>Table3[[#This Row],[GF]]/Table3[[#This Row],[GP]]</f>
        <v>3</v>
      </c>
      <c r="BJ17" s="12">
        <f>Table3[[#This Row],[GA]]/Table3[[#This Row],[GP]]</f>
        <v>4.25</v>
      </c>
      <c r="BK17" s="12">
        <f>(Table3[[#This Row],[GF]]-Table3[[#This Row],[GA]])/Table3[[#This Row],[GP]]</f>
        <v>-1.25</v>
      </c>
      <c r="BL17" s="42" t="str">
        <f>_xlfn.CONCAT(TEXT(Table3[[#This Row],[W_H]], "0"), "-", TEXT(Table3[[#This Row],[RL_H]],"0"), "-", TEXT(Table3[[#This Row],[OTL_H]]+Table3[[#This Row],[SOL_H]], "0"))</f>
        <v>0-2-0</v>
      </c>
      <c r="BM17" s="42" t="str">
        <f>_xlfn.CONCAT(TEXT(Table3[[#This Row],[W_A]], "0"), "-", TEXT(Table3[[#This Row],[RL_A]],"0"), "-", TEXT(Table3[[#This Row],[OTL_A]]+Table3[[#This Row],[SOL_A]], "0"))</f>
        <v>2-0-0</v>
      </c>
      <c r="BN17" s="42">
        <f>((2*(Table3[[#This Row],[W_H]]))+Table3[[#This Row],[OTL_H]]+Table3[[#This Row],[SOL_H]])/(2*Table3[[#This Row],[GP_H]])</f>
        <v>0</v>
      </c>
      <c r="BO17" s="42">
        <f>((2*(Table3[[#This Row],[W_A]]))+Table3[[#This Row],[OTL_A]]+Table3[[#This Row],[SOL_A]])/(2*Table3[[#This Row],[GP_A]])</f>
        <v>1</v>
      </c>
      <c r="BP17" s="16">
        <f>(Table3[[#This Row],[W]]*$CX$3)+(Table3[[#This Row],[L]]*$CX$4)+(Table3[[#This Row],[GF]]*$CX$5)+(Table3[[#This Row],[GA]]*$CX$6)</f>
        <v>5.0999999999999996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85.05</v>
      </c>
      <c r="BR17" s="16">
        <f>(Table3[[#This Row],[W]]*0.7) + ((Table3[[#This Row],[GF]] - Table3[[#This Row],[GA]])*0.25)+(Table3[[#This Row],[GF]]*0.1)+(Table3[[#This Row],[GA]]*0.05)+(Table3[[#This Row],[L]]*0.3)</f>
        <v>2.8000000000000003</v>
      </c>
      <c r="BS17" s="16">
        <f>Table3[[#This Row],[TeamCost83]]/Table3[[#This Row],[GP]]</f>
        <v>0.70000000000000007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 t="shared" si="8"/>
        <v>2</v>
      </c>
      <c r="BW17">
        <f t="shared" si="9"/>
        <v>1</v>
      </c>
      <c r="BX17">
        <f t="shared" si="10"/>
        <v>1</v>
      </c>
      <c r="BY17">
        <f t="shared" si="11"/>
        <v>2</v>
      </c>
      <c r="BZ17">
        <f>Table3[[#This Row],[TimesPredictedWinner]]/Table3[[#This Row],[GP]]</f>
        <v>0.5</v>
      </c>
      <c r="CB17">
        <v>2019</v>
      </c>
      <c r="CD17" s="1">
        <v>45762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0.9</v>
      </c>
      <c r="CK17">
        <f>Table3[[#This Row],[Column4]]+Table3[[#This Row],[Column3]]</f>
        <v>1.7000000000000002</v>
      </c>
      <c r="CL17">
        <f>Table3[[#This Row],[Column5]]/Table3[[#This Row],[GP]]</f>
        <v>0.42500000000000004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36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1</v>
      </c>
      <c r="E18" s="10">
        <f>Table3[[#This Row],[Watched]]/Table3[[#This Row],[GP]]</f>
        <v>0.25</v>
      </c>
      <c r="F18">
        <f>COUNTIFS(DataRegularSeason20242025!$N$3:$N$1315,1,DataRegularSeason20242025!$D$3:$D$1315,$A18)</f>
        <v>2</v>
      </c>
      <c r="G18">
        <f>41-Table3[[#This Row],[GP_A]]</f>
        <v>39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 t="shared" si="0"/>
        <v>4</v>
      </c>
      <c r="K18">
        <f>82-Table3[[#This Row],[GP]]</f>
        <v>78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 t="shared" si="2"/>
        <v>1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2</v>
      </c>
      <c r="AD18">
        <f>Table3[[#This Row],[L_A]]+Table3[[#This Row],[L_H]]</f>
        <v>2</v>
      </c>
      <c r="AE18">
        <f>Table3[[#This Row],[RW_A]]+Table3[[#This Row],[RW_H]]</f>
        <v>1</v>
      </c>
      <c r="AF18">
        <f>Table3[[#This Row],[RL_A]]+Table3[[#This Row],[RL_H]]</f>
        <v>2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0.25</v>
      </c>
      <c r="AO18">
        <f>(2*(Table3[[#This Row],[W_A]]+Table3[[#This Row],[W_H]]))+Table3[[#This Row],[OTL_A]]+Table3[[#This Row],[SOL_A]]+Table3[[#This Row],[OTL_H]]+Table3[[#This Row],[SOL_H]]</f>
        <v>4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8" s="10">
        <f>Table3[[#This Row],[PTS]]/(2*Table3[[#This Row],[GP]])</f>
        <v>0.5</v>
      </c>
      <c r="AR18" s="10">
        <f>Table3[[#This Row],[PTS2]]/(3*Table3[[#This Row],[GP]])</f>
        <v>0.41666666666666669</v>
      </c>
      <c r="AS18">
        <f>(2*Table3[[#This Row],[GR]])+Table3[[#This Row],[PTS]]</f>
        <v>160</v>
      </c>
      <c r="AT18">
        <f>(3*Table3[[#This Row],[GR]])+Table3[[#This Row],[PTS2]]</f>
        <v>239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102.5</v>
      </c>
      <c r="AW18" s="15" t="str">
        <f>_xlfn.CONCAT(TEXT(Table3[[#This Row],[W]], "0"), "-", TEXT(Table3[[#This Row],[RL]],"0"), "-", TEXT(Table3[[#This Row],[OTL]]+Table3[[#This Row],[SOL]], "0"))</f>
        <v>2-2-0</v>
      </c>
      <c r="AX18">
        <f>COUNTIFS(DataRegularSeason20242025!$D$3:$D$1315,Table3[[#This Row],[Teams]],DataRegularSeason20242025!$K$3:$K$1315,0)</f>
        <v>1</v>
      </c>
      <c r="AY18">
        <f>SUMIF(DataRegularSeason20242025!$D$3:$D$1315,$A18, DataRegularSeason20242025!$J$3:$J$1315)</f>
        <v>7</v>
      </c>
      <c r="AZ18">
        <f>SUMIF(DataRegularSeason20242025!$D$3:$D$1315,$A18, DataRegularSeason20242025!$K$3:$K$1315)</f>
        <v>5</v>
      </c>
      <c r="BA18">
        <f t="shared" si="3"/>
        <v>2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7</v>
      </c>
      <c r="BD18">
        <f>SUMIF(DataRegularSeason20242025!$E$3:$E$1315,$A18,DataRegularSeason20242025!$J$3:$J$1315)</f>
        <v>10</v>
      </c>
      <c r="BE18">
        <f t="shared" si="4"/>
        <v>-3</v>
      </c>
      <c r="BF18">
        <f t="shared" si="5"/>
        <v>14</v>
      </c>
      <c r="BG18">
        <f t="shared" si="6"/>
        <v>15</v>
      </c>
      <c r="BH18">
        <f t="shared" si="7"/>
        <v>-1</v>
      </c>
      <c r="BI18" s="12">
        <f>Table3[[#This Row],[GF]]/Table3[[#This Row],[GP]]</f>
        <v>3.5</v>
      </c>
      <c r="BJ18" s="12">
        <f>Table3[[#This Row],[GA]]/Table3[[#This Row],[GP]]</f>
        <v>3.75</v>
      </c>
      <c r="BK18" s="12">
        <f>(Table3[[#This Row],[GF]]-Table3[[#This Row],[GA]])/Table3[[#This Row],[GP]]</f>
        <v>-0.25</v>
      </c>
      <c r="BL18" s="42" t="str">
        <f>_xlfn.CONCAT(TEXT(Table3[[#This Row],[W_H]], "0"), "-", TEXT(Table3[[#This Row],[RL_H]],"0"), "-", TEXT(Table3[[#This Row],[OTL_H]]+Table3[[#This Row],[SOL_H]], "0"))</f>
        <v>1-1-0</v>
      </c>
      <c r="BM18" s="42" t="str">
        <f>_xlfn.CONCAT(TEXT(Table3[[#This Row],[W_A]], "0"), "-", TEXT(Table3[[#This Row],[RL_A]],"0"), "-", TEXT(Table3[[#This Row],[OTL_A]]+Table3[[#This Row],[SOL_A]], "0"))</f>
        <v>1-1-0</v>
      </c>
      <c r="BN18" s="42">
        <f>((2*(Table3[[#This Row],[W_H]]))+Table3[[#This Row],[OTL_H]]+Table3[[#This Row],[SOL_H]])/(2*Table3[[#This Row],[GP_H]])</f>
        <v>0.5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5.2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87.199999999999989</v>
      </c>
      <c r="BR18" s="16">
        <f>(Table3[[#This Row],[W]]*0.7) + ((Table3[[#This Row],[GF]] - Table3[[#This Row],[GA]])*0.25)+(Table3[[#This Row],[GF]]*0.1)+(Table3[[#This Row],[GA]]*0.05)+(Table3[[#This Row],[L]]*0.3)</f>
        <v>3.9</v>
      </c>
      <c r="BS18" s="16">
        <f>Table3[[#This Row],[TeamCost83]]/Table3[[#This Row],[GP]]</f>
        <v>0.97499999999999998</v>
      </c>
      <c r="BT18">
        <f>COUNTIFS(Table2[AwayTeam],$A18,Table2[PredictedWinner], $A18, Table2[GameIsOver], 1)</f>
        <v>1</v>
      </c>
      <c r="BU18">
        <f>COUNTIFS(Table2[HomeTeam],$A18,Table2[PredictedWinner], $A18, Table2[GameIsOver], 1)</f>
        <v>2</v>
      </c>
      <c r="BV18">
        <f t="shared" si="8"/>
        <v>3</v>
      </c>
      <c r="BW18">
        <f t="shared" si="9"/>
        <v>1</v>
      </c>
      <c r="BX18">
        <f t="shared" si="10"/>
        <v>0</v>
      </c>
      <c r="BY18">
        <f t="shared" si="11"/>
        <v>1</v>
      </c>
      <c r="BZ18">
        <f>Table3[[#This Row],[TimesPredictedWinner]]/Table3[[#This Row],[GP]]</f>
        <v>0.75</v>
      </c>
      <c r="CD18" s="1">
        <v>45762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1.9</v>
      </c>
      <c r="CJ18">
        <f>SUMIFS(Table2[GamePredictionScore], Table2[HomeTeam], Table3[[#This Row],[Teams]])</f>
        <v>0.9</v>
      </c>
      <c r="CK18">
        <f>Table3[[#This Row],[Column4]]+Table3[[#This Row],[Column3]]</f>
        <v>2.8</v>
      </c>
      <c r="CL18">
        <f>Table3[[#This Row],[Column5]]/Table3[[#This Row],[GP]]</f>
        <v>0.7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20</v>
      </c>
      <c r="B19" t="s">
        <v>91</v>
      </c>
      <c r="C19" t="s">
        <v>92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2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 t="shared" si="0"/>
        <v>4</v>
      </c>
      <c r="K19">
        <f>82-Table3[[#This Row],[GP]]</f>
        <v>78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2</v>
      </c>
      <c r="AD19">
        <f>Table3[[#This Row],[L_A]]+Table3[[#This Row],[L_H]]</f>
        <v>2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4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160</v>
      </c>
      <c r="AT19">
        <f>(3*Table3[[#This Row],[GR]])+Table3[[#This Row],[PTS2]]</f>
        <v>240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2-2-0</v>
      </c>
      <c r="AX19">
        <f>COUNTIFS(DataRegularSeason20242025!$D$3:$D$1315,Table3[[#This Row],[Teams]],DataRegularSeason20242025!$K$3:$K$1315,0)</f>
        <v>1</v>
      </c>
      <c r="AY19">
        <f>SUMIF(DataRegularSeason20242025!$D$3:$D$1315,$A19, DataRegularSeason20242025!$J$3:$J$1315)</f>
        <v>6</v>
      </c>
      <c r="AZ19">
        <f>SUMIF(DataRegularSeason20242025!$D$3:$D$1315,$A19, DataRegularSeason20242025!$K$3:$K$1315)</f>
        <v>4</v>
      </c>
      <c r="BA19">
        <f t="shared" si="3"/>
        <v>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5</v>
      </c>
      <c r="BD19">
        <f>SUMIF(DataRegularSeason20242025!$E$3:$E$1315,$A19,DataRegularSeason20242025!$J$3:$J$1315)</f>
        <v>9</v>
      </c>
      <c r="BE19">
        <f t="shared" si="4"/>
        <v>-4</v>
      </c>
      <c r="BF19">
        <f t="shared" si="5"/>
        <v>11</v>
      </c>
      <c r="BG19">
        <f t="shared" si="6"/>
        <v>13</v>
      </c>
      <c r="BH19">
        <f t="shared" si="7"/>
        <v>-2</v>
      </c>
      <c r="BI19" s="12">
        <f>Table3[[#This Row],[GF]]/Table3[[#This Row],[GP]]</f>
        <v>2.75</v>
      </c>
      <c r="BJ19" s="12">
        <f>Table3[[#This Row],[GA]]/Table3[[#This Row],[GP]]</f>
        <v>3.25</v>
      </c>
      <c r="BK19" s="12">
        <f>(Table3[[#This Row],[GF]]-Table3[[#This Row],[GA]])/Table3[[#This Row],[GP]]</f>
        <v>-0.5</v>
      </c>
      <c r="BL19" s="42" t="str">
        <f>_xlfn.CONCAT(TEXT(Table3[[#This Row],[W_H]], "0"), "-", TEXT(Table3[[#This Row],[RL_H]],"0"), "-", TEXT(Table3[[#This Row],[OTL_H]]+Table3[[#This Row],[SOL_H]], "0"))</f>
        <v>1-1-0</v>
      </c>
      <c r="BM19" s="42" t="str">
        <f>_xlfn.CONCAT(TEXT(Table3[[#This Row],[W_A]], "0"), "-", TEXT(Table3[[#This Row],[RL_A]],"0"), "-", TEXT(Table3[[#This Row],[OTL_A]]+Table3[[#This Row],[SOL_A]], "0"))</f>
        <v>1-1-0</v>
      </c>
      <c r="BN19" s="42">
        <f>((2*(Table3[[#This Row],[W_H]]))+Table3[[#This Row],[OTL_H]]+Table3[[#This Row],[SOL_H]])/(2*Table3[[#This Row],[GP_H]])</f>
        <v>0.5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4.55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73.224999999999994</v>
      </c>
      <c r="BR19" s="16">
        <f>(Table3[[#This Row],[W]]*0.7) + ((Table3[[#This Row],[GF]] - Table3[[#This Row],[GA]])*0.25)+(Table3[[#This Row],[GF]]*0.1)+(Table3[[#This Row],[GA]]*0.05)+(Table3[[#This Row],[L]]*0.3)</f>
        <v>3.25</v>
      </c>
      <c r="BS19" s="16">
        <f>Table3[[#This Row],[TeamCost83]]/Table3[[#This Row],[GP]]</f>
        <v>0.8125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 t="shared" si="8"/>
        <v>3</v>
      </c>
      <c r="BW19">
        <f t="shared" si="9"/>
        <v>1</v>
      </c>
      <c r="BX19">
        <f t="shared" si="10"/>
        <v>0</v>
      </c>
      <c r="BY19">
        <f t="shared" si="11"/>
        <v>1</v>
      </c>
      <c r="BZ19">
        <f>Table3[[#This Row],[TimesPredictedWinner]]/Table3[[#This Row],[GP]]</f>
        <v>0.75</v>
      </c>
      <c r="CB19">
        <v>2017</v>
      </c>
      <c r="CC19" s="1">
        <v>45753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0.1</v>
      </c>
      <c r="CJ19">
        <f>SUMIFS(Table2[GamePredictionScore], Table2[HomeTeam], Table3[[#This Row],[Teams]])</f>
        <v>0.9</v>
      </c>
      <c r="CK19">
        <f>Table3[[#This Row],[Column4]]+Table3[[#This Row],[Column3]]</f>
        <v>1</v>
      </c>
      <c r="CL19">
        <f>Table3[[#This Row],[Column5]]/Table3[[#This Row],[GP]]</f>
        <v>0.25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17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1</v>
      </c>
      <c r="F20">
        <f>COUNTIFS(DataRegularSeason20242025!$N$3:$N$1315,1,DataRegularSeason20242025!$D$3:$D$1315,$A20)</f>
        <v>1</v>
      </c>
      <c r="G20">
        <f>41-Table3[[#This Row],[GP_A]]</f>
        <v>40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 t="shared" si="0"/>
        <v>4</v>
      </c>
      <c r="K20">
        <f>82-Table3[[#This Row],[GP]]</f>
        <v>78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1</v>
      </c>
      <c r="Q20">
        <f>COUNTIFS(DataRegularSeason20242025!$D$3:$D$1315,$A20, DataRegularSeason20242025!$S$3:$S$1315, $A20,DataRegularSeason20242025!$M$3:$M$1315,"REG")</f>
        <v>1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2</v>
      </c>
      <c r="U20">
        <f>COUNTIFS(DataRegularSeason20242025!$E$3:$E$1315,$A20, DataRegularSeason20242025!$L$3:$L$1315, $A20,DataRegularSeason20242025!$N$3:$N$1315,1,DataRegularSeason20242025!$M$3:$M$1315,"REG")</f>
        <v>2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2</v>
      </c>
      <c r="AD20">
        <f>Table3[[#This Row],[L_A]]+Table3[[#This Row],[L_H]]</f>
        <v>2</v>
      </c>
      <c r="AE20">
        <f>Table3[[#This Row],[RW_A]]+Table3[[#This Row],[RW_H]]</f>
        <v>2</v>
      </c>
      <c r="AF20">
        <f>Table3[[#This Row],[RL_A]]+Table3[[#This Row],[RL_H]]</f>
        <v>2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4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160</v>
      </c>
      <c r="AT20">
        <f>(3*Table3[[#This Row],[GR]])+Table3[[#This Row],[PTS2]]</f>
        <v>240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2-2-0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3</v>
      </c>
      <c r="AZ20">
        <f>SUMIF(DataRegularSeason20242025!$D$3:$D$1315,$A20, DataRegularSeason20242025!$K$3:$K$1315)</f>
        <v>6</v>
      </c>
      <c r="BA20">
        <f t="shared" si="3"/>
        <v>-3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14</v>
      </c>
      <c r="BD20">
        <f>SUMIF(DataRegularSeason20242025!$E$3:$E$1315,$A20,DataRegularSeason20242025!$J$3:$J$1315)</f>
        <v>9</v>
      </c>
      <c r="BE20">
        <f t="shared" si="4"/>
        <v>5</v>
      </c>
      <c r="BF20">
        <f t="shared" si="5"/>
        <v>17</v>
      </c>
      <c r="BG20">
        <f t="shared" si="6"/>
        <v>15</v>
      </c>
      <c r="BH20">
        <f t="shared" si="7"/>
        <v>2</v>
      </c>
      <c r="BI20" s="12">
        <f>Table3[[#This Row],[GF]]/Table3[[#This Row],[GP]]</f>
        <v>4.25</v>
      </c>
      <c r="BJ20" s="12">
        <f>Table3[[#This Row],[GA]]/Table3[[#This Row],[GP]]</f>
        <v>3.75</v>
      </c>
      <c r="BK20" s="12">
        <f>(Table3[[#This Row],[GF]]-Table3[[#This Row],[GA]])/Table3[[#This Row],[GP]]</f>
        <v>0.5</v>
      </c>
      <c r="BL20" s="42" t="str">
        <f>_xlfn.CONCAT(TEXT(Table3[[#This Row],[W_H]], "0"), "-", TEXT(Table3[[#This Row],[RL_H]],"0"), "-", TEXT(Table3[[#This Row],[OTL_H]]+Table3[[#This Row],[SOL_H]], "0"))</f>
        <v>2-1-0</v>
      </c>
      <c r="BM20" s="42" t="str">
        <f>_xlfn.CONCAT(TEXT(Table3[[#This Row],[W_A]], "0"), "-", TEXT(Table3[[#This Row],[RL_A]],"0"), "-", TEXT(Table3[[#This Row],[OTL_A]]+Table3[[#This Row],[SOL_A]], "0"))</f>
        <v>0-1-0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</v>
      </c>
      <c r="BP20" s="16">
        <f>(Table3[[#This Row],[W]]*$CX$3)+(Table3[[#This Row],[L]]*$CX$4)+(Table3[[#This Row],[GF]]*$CX$5)+(Table3[[#This Row],[GA]]*$CX$6)</f>
        <v>5.65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96.874999999999972</v>
      </c>
      <c r="BR20" s="16">
        <f>(Table3[[#This Row],[W]]*0.7) + ((Table3[[#This Row],[GF]] - Table3[[#This Row],[GA]])*0.25)+(Table3[[#This Row],[GF]]*0.1)+(Table3[[#This Row],[GA]]*0.05)+(Table3[[#This Row],[L]]*0.3)</f>
        <v>4.9499999999999993</v>
      </c>
      <c r="BS20" s="16">
        <f>Table3[[#This Row],[TeamCost83]]/Table3[[#This Row],[GP]]</f>
        <v>1.2374999999999998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 t="shared" si="8"/>
        <v>3</v>
      </c>
      <c r="BW20">
        <f t="shared" si="9"/>
        <v>0</v>
      </c>
      <c r="BX20">
        <f t="shared" si="10"/>
        <v>1</v>
      </c>
      <c r="BY20">
        <f t="shared" si="11"/>
        <v>1</v>
      </c>
      <c r="BZ20">
        <f>Table3[[#This Row],[TimesPredictedWinner]]/Table3[[#This Row],[GP]]</f>
        <v>0.75</v>
      </c>
      <c r="CB20">
        <v>1967</v>
      </c>
      <c r="CD20" s="1">
        <v>45749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2.4000000000000004</v>
      </c>
      <c r="CK20">
        <f>Table3[[#This Row],[Column4]]+Table3[[#This Row],[Column3]]</f>
        <v>2.4000000000000004</v>
      </c>
      <c r="CL20">
        <f>Table3[[#This Row],[Column5]]/Table3[[#This Row],[GP]]</f>
        <v>0.60000000000000009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2</v>
      </c>
      <c r="E21" s="10">
        <f>Table3[[#This Row],[Watched]]/Table3[[#This Row],[GP]]</f>
        <v>0.66666666666666663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1</v>
      </c>
      <c r="I21">
        <f>41-Table3[[#This Row],[GP_H]]</f>
        <v>40</v>
      </c>
      <c r="J21">
        <f t="shared" si="0"/>
        <v>3</v>
      </c>
      <c r="K21">
        <f>82-Table3[[#This Row],[GP]]</f>
        <v>79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0.33333333333333331</v>
      </c>
      <c r="AC21">
        <f>Table3[[#This Row],[W_A]]+Table3[[#This Row],[W_H]]</f>
        <v>1</v>
      </c>
      <c r="AD21">
        <f>Table3[[#This Row],[L_A]]+Table3[[#This Row],[L_H]]</f>
        <v>2</v>
      </c>
      <c r="AE21">
        <f>Table3[[#This Row],[RW_A]]+Table3[[#This Row],[RW_H]]</f>
        <v>1</v>
      </c>
      <c r="AF21">
        <f>Table3[[#This Row],[RL_A]]+Table3[[#This Row],[RL_H]]</f>
        <v>1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0.33333333333333331</v>
      </c>
      <c r="AO21">
        <f>(2*(Table3[[#This Row],[W_A]]+Table3[[#This Row],[W_H]]))+Table3[[#This Row],[OTL_A]]+Table3[[#This Row],[SOL_A]]+Table3[[#This Row],[OTL_H]]+Table3[[#This Row],[SOL_H]]</f>
        <v>3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1" s="10">
        <f>Table3[[#This Row],[PTS]]/(2*Table3[[#This Row],[GP]])</f>
        <v>0.5</v>
      </c>
      <c r="AR21" s="10">
        <f>Table3[[#This Row],[PTS2]]/(3*Table3[[#This Row],[GP]])</f>
        <v>0.44444444444444442</v>
      </c>
      <c r="AS21">
        <f>(2*Table3[[#This Row],[GR]])+Table3[[#This Row],[PTS]]</f>
        <v>161</v>
      </c>
      <c r="AT21">
        <f>(3*Table3[[#This Row],[GR]])+Table3[[#This Row],[PTS2]]</f>
        <v>241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109.33333333333333</v>
      </c>
      <c r="AW21" s="15" t="str">
        <f>_xlfn.CONCAT(TEXT(Table3[[#This Row],[W]], "0"), "-", TEXT(Table3[[#This Row],[RL]],"0"), "-", TEXT(Table3[[#This Row],[OTL]]+Table3[[#This Row],[SOL]], "0"))</f>
        <v>1-1-1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 t="shared" si="3"/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5</v>
      </c>
      <c r="BD21">
        <f>SUMIF(DataRegularSeason20242025!$E$3:$E$1315,$A21,DataRegularSeason20242025!$J$3:$J$1315)</f>
        <v>2</v>
      </c>
      <c r="BE21">
        <f t="shared" si="4"/>
        <v>3</v>
      </c>
      <c r="BF21">
        <f t="shared" si="5"/>
        <v>9</v>
      </c>
      <c r="BG21">
        <f t="shared" si="6"/>
        <v>8</v>
      </c>
      <c r="BH21">
        <f t="shared" si="7"/>
        <v>1</v>
      </c>
      <c r="BI21" s="12">
        <f>Table3[[#This Row],[GF]]/Table3[[#This Row],[GP]]</f>
        <v>3</v>
      </c>
      <c r="BJ21" s="12">
        <f>Table3[[#This Row],[GA]]/Table3[[#This Row],[GP]]</f>
        <v>2.6666666666666665</v>
      </c>
      <c r="BK21" s="12">
        <f>(Table3[[#This Row],[GF]]-Table3[[#This Row],[GA]])/Table3[[#This Row],[GP]]</f>
        <v>0.33333333333333331</v>
      </c>
      <c r="BL21" s="42" t="str">
        <f>_xlfn.CONCAT(TEXT(Table3[[#This Row],[W_H]], "0"), "-", TEXT(Table3[[#This Row],[RL_H]],"0"), "-", TEXT(Table3[[#This Row],[OTL_H]]+Table3[[#This Row],[SOL_H]], "0"))</f>
        <v>1-0-0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3.25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1" s="16">
        <f>(Table3[[#This Row],[W]]*0.7) + ((Table3[[#This Row],[GF]] - Table3[[#This Row],[GA]])*0.25)+(Table3[[#This Row],[GF]]*0.1)+(Table3[[#This Row],[GA]]*0.05)+(Table3[[#This Row],[L]]*0.3)</f>
        <v>2.85</v>
      </c>
      <c r="BS21" s="16">
        <f>Table3[[#This Row],[TeamCost83]]/Table3[[#This Row],[GP]]</f>
        <v>0.95000000000000007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2</v>
      </c>
      <c r="BX21">
        <f t="shared" si="10"/>
        <v>1</v>
      </c>
      <c r="BY21">
        <f t="shared" si="11"/>
        <v>3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0</v>
      </c>
      <c r="CK21">
        <f>Table3[[#This Row],[Column4]]+Table3[[#This Row],[Column3]]</f>
        <v>1.7000000000000002</v>
      </c>
      <c r="CL21">
        <f>Table3[[#This Row],[Column5]]/Table3[[#This Row],[GP]]</f>
        <v>0.56666666666666676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16</v>
      </c>
      <c r="B22" t="s">
        <v>90</v>
      </c>
      <c r="C22" t="s">
        <v>88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5</v>
      </c>
      <c r="E22" s="10">
        <f>Table3[[#This Row],[Watched]]/Table3[[#This Row],[GP]]</f>
        <v>1</v>
      </c>
      <c r="F22">
        <f>COUNTIFS(DataRegularSeason20242025!$N$3:$N$1315,1,DataRegularSeason20242025!$D$3:$D$1315,$A22)</f>
        <v>3</v>
      </c>
      <c r="G22">
        <f>41-Table3[[#This Row],[GP_A]]</f>
        <v>38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 t="shared" si="0"/>
        <v>5</v>
      </c>
      <c r="K22">
        <f>82-Table3[[#This Row],[GP]]</f>
        <v>77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2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1</v>
      </c>
      <c r="Y22">
        <f>COUNTIFS(DataRegularSeason20242025!$E$3:$E$1315,$A22, DataRegularSeason20242025!$S$3:$S$1315, $A22,DataRegularSeason20242025!$M$3:$M$1315,"REG")</f>
        <v>1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2</v>
      </c>
      <c r="AD22">
        <f>Table3[[#This Row],[L_A]]+Table3[[#This Row],[L_H]]</f>
        <v>3</v>
      </c>
      <c r="AE22">
        <f>Table3[[#This Row],[RW_A]]+Table3[[#This Row],[RW_H]]</f>
        <v>2</v>
      </c>
      <c r="AF22">
        <f>Table3[[#This Row],[RL_A]]+Table3[[#This Row],[RL_H]]</f>
        <v>2</v>
      </c>
      <c r="AG22">
        <f>Table3[[#This Row],[OTW_A]]+Table3[[#This Row],[OTW_H]]</f>
        <v>0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0-1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0.2</v>
      </c>
      <c r="AO22">
        <f>(2*(Table3[[#This Row],[W_A]]+Table3[[#This Row],[W_H]]))+Table3[[#This Row],[OTL_A]]+Table3[[#This Row],[SOL_A]]+Table3[[#This Row],[OTL_H]]+Table3[[#This Row],[SOL_H]]</f>
        <v>5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2" s="10">
        <f>Table3[[#This Row],[PTS]]/(2*Table3[[#This Row],[GP]])</f>
        <v>0.5</v>
      </c>
      <c r="AR22" s="10">
        <f>Table3[[#This Row],[PTS2]]/(3*Table3[[#This Row],[GP]])</f>
        <v>0.46666666666666667</v>
      </c>
      <c r="AS22">
        <f>(2*Table3[[#This Row],[GR]])+Table3[[#This Row],[PTS]]</f>
        <v>159</v>
      </c>
      <c r="AT22">
        <f>(3*Table3[[#This Row],[GR]])+Table3[[#This Row],[PTS2]]</f>
        <v>238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114.8</v>
      </c>
      <c r="AW22" s="15" t="str">
        <f>_xlfn.CONCAT(TEXT(Table3[[#This Row],[W]], "0"), "-", TEXT(Table3[[#This Row],[RL]],"0"), "-", TEXT(Table3[[#This Row],[OTL]]+Table3[[#This Row],[SOL]], "0"))</f>
        <v>2-2-1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13</v>
      </c>
      <c r="AZ22">
        <f>SUMIF(DataRegularSeason20242025!$D$3:$D$1315,$A22, DataRegularSeason20242025!$K$3:$K$1315)</f>
        <v>10</v>
      </c>
      <c r="BA22">
        <f t="shared" si="3"/>
        <v>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5</v>
      </c>
      <c r="BD22">
        <f>SUMIF(DataRegularSeason20242025!$E$3:$E$1315,$A22,DataRegularSeason20242025!$J$3:$J$1315)</f>
        <v>4</v>
      </c>
      <c r="BE22">
        <f t="shared" si="4"/>
        <v>1</v>
      </c>
      <c r="BF22">
        <f t="shared" si="5"/>
        <v>18</v>
      </c>
      <c r="BG22">
        <f t="shared" si="6"/>
        <v>14</v>
      </c>
      <c r="BH22">
        <f t="shared" si="7"/>
        <v>4</v>
      </c>
      <c r="BI22" s="12">
        <f>Table3[[#This Row],[GF]]/Table3[[#This Row],[GP]]</f>
        <v>3.6</v>
      </c>
      <c r="BJ22" s="12">
        <f>Table3[[#This Row],[GA]]/Table3[[#This Row],[GP]]</f>
        <v>2.8</v>
      </c>
      <c r="BK22" s="12">
        <f>(Table3[[#This Row],[GF]]-Table3[[#This Row],[GA]])/Table3[[#This Row],[GP]]</f>
        <v>0.8</v>
      </c>
      <c r="BL22" s="42" t="str">
        <f>_xlfn.CONCAT(TEXT(Table3[[#This Row],[W_H]], "0"), "-", TEXT(Table3[[#This Row],[RL_H]],"0"), "-", TEXT(Table3[[#This Row],[OTL_H]]+Table3[[#This Row],[SOL_H]], "0"))</f>
        <v>1-1-0</v>
      </c>
      <c r="BM22" s="42" t="str">
        <f>_xlfn.CONCAT(TEXT(Table3[[#This Row],[W_A]], "0"), "-", TEXT(Table3[[#This Row],[RL_A]],"0"), "-", TEXT(Table3[[#This Row],[OTL_A]]+Table3[[#This Row],[SOL_A]], "0"))</f>
        <v>1-1-1</v>
      </c>
      <c r="BN22" s="42">
        <f>((2*(Table3[[#This Row],[W_H]]))+Table3[[#This Row],[OTL_H]]+Table3[[#This Row],[SOL_H]])/(2*Table3[[#This Row],[GP_H]])</f>
        <v>0.5</v>
      </c>
      <c r="BO22" s="42">
        <f>((2*(Table3[[#This Row],[W_A]]))+Table3[[#This Row],[OTL_A]]+Table3[[#This Row],[SOL_A]])/(2*Table3[[#This Row],[GP_A]])</f>
        <v>0.5</v>
      </c>
      <c r="BP22" s="16">
        <f>(Table3[[#This Row],[W]]*$CX$3)+(Table3[[#This Row],[L]]*$CX$4)+(Table3[[#This Row],[GF]]*$CX$5)+(Table3[[#This Row],[GA]]*$CX$6)</f>
        <v>6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79.800000000000011</v>
      </c>
      <c r="BR22" s="16">
        <f>(Table3[[#This Row],[W]]*0.7) + ((Table3[[#This Row],[GF]] - Table3[[#This Row],[GA]])*0.25)+(Table3[[#This Row],[GF]]*0.1)+(Table3[[#This Row],[GA]]*0.05)+(Table3[[#This Row],[L]]*0.3)</f>
        <v>5.8000000000000007</v>
      </c>
      <c r="BS22" s="16">
        <f>Table3[[#This Row],[TeamCost83]]/Table3[[#This Row],[GP]]</f>
        <v>1.1600000000000001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 t="shared" si="8"/>
        <v>0</v>
      </c>
      <c r="BW22">
        <f t="shared" si="9"/>
        <v>3</v>
      </c>
      <c r="BX22">
        <f t="shared" si="10"/>
        <v>2</v>
      </c>
      <c r="BY22">
        <f t="shared" si="11"/>
        <v>5</v>
      </c>
      <c r="BZ22">
        <f>Table3[[#This Row],[TimesPredictedWinner]]/Table3[[#This Row],[GP]]</f>
        <v>0</v>
      </c>
      <c r="CB22">
        <v>2015</v>
      </c>
      <c r="CC22" s="1">
        <v>45736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1.8</v>
      </c>
      <c r="CJ22">
        <f>SUMIFS(Table2[GamePredictionScore], Table2[HomeTeam], Table3[[#This Row],[Teams]])</f>
        <v>0.8</v>
      </c>
      <c r="CK22">
        <f>Table3[[#This Row],[Column4]]+Table3[[#This Row],[Column3]]</f>
        <v>2.6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14</v>
      </c>
      <c r="B23" t="s">
        <v>90</v>
      </c>
      <c r="C23" t="s">
        <v>88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4</v>
      </c>
      <c r="E23" s="10">
        <f>Table3[[#This Row],[Watched]]/Table3[[#This Row],[GP]]</f>
        <v>1</v>
      </c>
      <c r="F23">
        <f>COUNTIFS(DataRegularSeason20242025!$N$3:$N$1315,1,DataRegularSeason20242025!$D$3:$D$1315,$A23)</f>
        <v>3</v>
      </c>
      <c r="G23">
        <f>41-Table3[[#This Row],[GP_A]]</f>
        <v>38</v>
      </c>
      <c r="H23">
        <f>COUNTIFS(DataRegularSeason20242025!$E$3:$E$1315,$A23,DataRegularSeason20242025!$N$3:$N$1315,1)</f>
        <v>1</v>
      </c>
      <c r="I23">
        <f>41-Table3[[#This Row],[GP_H]]</f>
        <v>40</v>
      </c>
      <c r="J23">
        <f t="shared" si="0"/>
        <v>4</v>
      </c>
      <c r="K23">
        <f>82-Table3[[#This Row],[GP]]</f>
        <v>78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1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2</v>
      </c>
      <c r="Q23">
        <f>COUNTIFS(DataRegularSeason20242025!$D$3:$D$1315,$A23, DataRegularSeason20242025!$S$3:$S$1315, $A23,DataRegularSeason20242025!$M$3:$M$1315,"REG")</f>
        <v>2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1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2</v>
      </c>
      <c r="AD23">
        <f>Table3[[#This Row],[L_A]]+Table3[[#This Row],[L_H]]</f>
        <v>2</v>
      </c>
      <c r="AE23">
        <f>Table3[[#This Row],[RW_A]]+Table3[[#This Row],[RW_H]]</f>
        <v>1</v>
      </c>
      <c r="AF23">
        <f>Table3[[#This Row],[RL_A]]+Table3[[#This Row],[RL_H]]</f>
        <v>2</v>
      </c>
      <c r="AG23">
        <f>Table3[[#This Row],[OTW_A]]+Table3[[#This Row],[OTW_H]]</f>
        <v>1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1-0</v>
      </c>
      <c r="AL23">
        <f>SUM(Table3[[#This Row],[OTW]],Table3[[#This Row],[OTL]],Table3[[#This Row],[SOW]],Table3[[#This Row],[SOL]])</f>
        <v>1</v>
      </c>
      <c r="AM23">
        <f>(Table3[[#This Row],[OTW]]+Table3[[#This Row],[SOW]])/IF(Table3[[#This Row],[Total_ExtraTimes]]=0,1,Table3[[#This Row],[Total_ExtraTimes]])</f>
        <v>1</v>
      </c>
      <c r="AN23">
        <f>Table3[[#This Row],[Total_ExtraTimes]]/MAX(1,Table3[[#This Row],[GP]])</f>
        <v>0.25</v>
      </c>
      <c r="AO23">
        <f>(2*(Table3[[#This Row],[W_A]]+Table3[[#This Row],[W_H]]))+Table3[[#This Row],[OTL_A]]+Table3[[#This Row],[SOL_A]]+Table3[[#This Row],[OTL_H]]+Table3[[#This Row],[SOL_H]]</f>
        <v>4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3" s="10">
        <f>Table3[[#This Row],[PTS]]/(2*Table3[[#This Row],[GP]])</f>
        <v>0.5</v>
      </c>
      <c r="AR23" s="10">
        <f>Table3[[#This Row],[PTS2]]/(3*Table3[[#This Row],[GP]])</f>
        <v>0.41666666666666669</v>
      </c>
      <c r="AS23">
        <f>(2*Table3[[#This Row],[GR]])+Table3[[#This Row],[PTS]]</f>
        <v>160</v>
      </c>
      <c r="AT23">
        <f>(3*Table3[[#This Row],[GR]])+Table3[[#This Row],[PTS2]]</f>
        <v>239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102.5</v>
      </c>
      <c r="AW23" s="15" t="str">
        <f>_xlfn.CONCAT(TEXT(Table3[[#This Row],[W]], "0"), "-", TEXT(Table3[[#This Row],[RL]],"0"), "-", TEXT(Table3[[#This Row],[OTL]]+Table3[[#This Row],[SOL]], "0"))</f>
        <v>2-2-0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5</v>
      </c>
      <c r="AZ23">
        <f>SUMIF(DataRegularSeason20242025!$D$3:$D$1315,$A23, DataRegularSeason20242025!$K$3:$K$1315)</f>
        <v>7</v>
      </c>
      <c r="BA23">
        <f t="shared" si="3"/>
        <v>-2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3</v>
      </c>
      <c r="BD23">
        <f>SUMIF(DataRegularSeason20242025!$E$3:$E$1315,$A23,DataRegularSeason20242025!$J$3:$J$1315)</f>
        <v>1</v>
      </c>
      <c r="BE23">
        <f t="shared" si="4"/>
        <v>2</v>
      </c>
      <c r="BF23">
        <f t="shared" si="5"/>
        <v>8</v>
      </c>
      <c r="BG23">
        <f t="shared" si="6"/>
        <v>8</v>
      </c>
      <c r="BH23">
        <f t="shared" si="7"/>
        <v>0</v>
      </c>
      <c r="BI23" s="12">
        <f>Table3[[#This Row],[GF]]/Table3[[#This Row],[GP]]</f>
        <v>2</v>
      </c>
      <c r="BJ23" s="12">
        <f>Table3[[#This Row],[GA]]/Table3[[#This Row],[GP]]</f>
        <v>2</v>
      </c>
      <c r="BK23" s="12">
        <f>(Table3[[#This Row],[GF]]-Table3[[#This Row],[GA]])/Table3[[#This Row],[GP]]</f>
        <v>0</v>
      </c>
      <c r="BL23" s="42" t="str">
        <f>_xlfn.CONCAT(TEXT(Table3[[#This Row],[W_H]], "0"), "-", TEXT(Table3[[#This Row],[RL_H]],"0"), "-", TEXT(Table3[[#This Row],[OTL_H]]+Table3[[#This Row],[SOL_H]], "0"))</f>
        <v>1-0-0</v>
      </c>
      <c r="BM23" s="42" t="str">
        <f>_xlfn.CONCAT(TEXT(Table3[[#This Row],[W_A]], "0"), "-", TEXT(Table3[[#This Row],[RL_A]],"0"), "-", TEXT(Table3[[#This Row],[OTL_A]]+Table3[[#This Row],[SOL_A]], "0"))</f>
        <v>1-2-0</v>
      </c>
      <c r="BN23" s="42">
        <f>((2*(Table3[[#This Row],[W_H]]))+Table3[[#This Row],[OTL_H]]+Table3[[#This Row],[SOL_H]])/(2*Table3[[#This Row],[GP_H]])</f>
        <v>1</v>
      </c>
      <c r="BO23" s="42">
        <f>((2*(Table3[[#This Row],[W_A]]))+Table3[[#This Row],[OTL_A]]+Table3[[#This Row],[SOL_A]])/(2*Table3[[#This Row],[GP_A]])</f>
        <v>0.33333333333333331</v>
      </c>
      <c r="BP23" s="16">
        <f>(Table3[[#This Row],[W]]*$CX$3)+(Table3[[#This Row],[L]]*$CX$4)+(Table3[[#This Row],[GF]]*$CX$5)+(Table3[[#This Row],[GA]]*$CX$6)</f>
        <v>3.5999999999999996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52.800000000000011</v>
      </c>
      <c r="BR23" s="16">
        <f>(Table3[[#This Row],[W]]*0.7) + ((Table3[[#This Row],[GF]] - Table3[[#This Row],[GA]])*0.25)+(Table3[[#This Row],[GF]]*0.1)+(Table3[[#This Row],[GA]]*0.05)+(Table3[[#This Row],[L]]*0.3)</f>
        <v>3.2</v>
      </c>
      <c r="BS23" s="16">
        <f>Table3[[#This Row],[TeamCost83]]/Table3[[#This Row],[GP]]</f>
        <v>0.8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0</v>
      </c>
      <c r="BV23">
        <f t="shared" si="8"/>
        <v>2</v>
      </c>
      <c r="BW23">
        <f t="shared" si="9"/>
        <v>1</v>
      </c>
      <c r="BX23">
        <f t="shared" si="10"/>
        <v>1</v>
      </c>
      <c r="BY23">
        <f t="shared" si="11"/>
        <v>2</v>
      </c>
      <c r="BZ23">
        <f>Table3[[#This Row],[TimesPredictedWinner]]/Table3[[#This Row],[GP]]</f>
        <v>0.5</v>
      </c>
      <c r="CC23" s="1">
        <v>45756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1.6</v>
      </c>
      <c r="CJ23">
        <f>SUMIFS(Table2[GamePredictionScore], Table2[HomeTeam], Table3[[#This Row],[Teams]])</f>
        <v>0.1</v>
      </c>
      <c r="CK23">
        <f>Table3[[#This Row],[Column4]]+Table3[[#This Row],[Column3]]</f>
        <v>1.7000000000000002</v>
      </c>
      <c r="CL23">
        <f>Table3[[#This Row],[Column5]]/Table3[[#This Row],[GP]]</f>
        <v>0.42500000000000004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19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3</v>
      </c>
      <c r="E24" s="10">
        <f>Table3[[#This Row],[Watched]]/Table3[[#This Row],[GP]]</f>
        <v>0.6</v>
      </c>
      <c r="F24">
        <f>COUNTIFS(DataRegularSeason20242025!$N$3:$N$1315,1,DataRegularSeason20242025!$D$3:$D$1315,$A24)</f>
        <v>2</v>
      </c>
      <c r="G24">
        <f>41-Table3[[#This Row],[GP_A]]</f>
        <v>39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 t="shared" si="0"/>
        <v>5</v>
      </c>
      <c r="K24">
        <f>82-Table3[[#This Row],[GP]]</f>
        <v>77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3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2</v>
      </c>
      <c r="AD24">
        <f>Table3[[#This Row],[L_A]]+Table3[[#This Row],[L_H]]</f>
        <v>3</v>
      </c>
      <c r="AE24">
        <f>Table3[[#This Row],[RW_A]]+Table3[[#This Row],[RW_H]]</f>
        <v>2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4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4" s="10">
        <f>Table3[[#This Row],[PTS]]/(2*Table3[[#This Row],[GP]])</f>
        <v>0.4</v>
      </c>
      <c r="AR24" s="10">
        <f>Table3[[#This Row],[PTS2]]/(3*Table3[[#This Row],[GP]])</f>
        <v>0.4</v>
      </c>
      <c r="AS24">
        <f>(2*Table3[[#This Row],[GR]])+Table3[[#This Row],[PTS]]</f>
        <v>158</v>
      </c>
      <c r="AT24">
        <f>(3*Table3[[#This Row],[GR]])+Table3[[#This Row],[PTS2]]</f>
        <v>237</v>
      </c>
      <c r="AU24">
        <f>Table3[[#This Row],[PTS]]+(2 * Table3[[#This Row],[GR]] * Table3[[#This Row],[PTS%]])</f>
        <v>65.599999999999994</v>
      </c>
      <c r="AV24">
        <f>Table3[[#This Row],[PTS2]]+(3 * Table3[[#This Row],[GR]] * Table3[[#This Row],[PTS%2]])</f>
        <v>98.4</v>
      </c>
      <c r="AW24" s="15" t="str">
        <f>_xlfn.CONCAT(TEXT(Table3[[#This Row],[W]], "0"), "-", TEXT(Table3[[#This Row],[RL]],"0"), "-", TEXT(Table3[[#This Row],[OTL]]+Table3[[#This Row],[SOL]], "0"))</f>
        <v>2-3-0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10</v>
      </c>
      <c r="AZ24">
        <f>SUMIF(DataRegularSeason20242025!$D$3:$D$1315,$A24, DataRegularSeason20242025!$K$3:$K$1315)</f>
        <v>1</v>
      </c>
      <c r="BA24">
        <f t="shared" si="3"/>
        <v>9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6</v>
      </c>
      <c r="BE24">
        <f t="shared" si="4"/>
        <v>-6</v>
      </c>
      <c r="BF24">
        <f t="shared" si="5"/>
        <v>10</v>
      </c>
      <c r="BG24">
        <f t="shared" si="6"/>
        <v>7</v>
      </c>
      <c r="BH24">
        <f t="shared" si="7"/>
        <v>3</v>
      </c>
      <c r="BI24" s="12">
        <f>Table3[[#This Row],[GF]]/Table3[[#This Row],[GP]]</f>
        <v>2</v>
      </c>
      <c r="BJ24" s="12">
        <f>Table3[[#This Row],[GA]]/Table3[[#This Row],[GP]]</f>
        <v>1.4</v>
      </c>
      <c r="BK24" s="12">
        <f>(Table3[[#This Row],[GF]]-Table3[[#This Row],[GA]])/Table3[[#This Row],[GP]]</f>
        <v>0.6</v>
      </c>
      <c r="BL24" s="42" t="str">
        <f>_xlfn.CONCAT(TEXT(Table3[[#This Row],[W_H]], "0"), "-", TEXT(Table3[[#This Row],[RL_H]],"0"), "-", TEXT(Table3[[#This Row],[OTL_H]]+Table3[[#This Row],[SOL_H]], "0"))</f>
        <v>0-3-0</v>
      </c>
      <c r="BM24" s="42" t="str">
        <f>_xlfn.CONCAT(TEXT(Table3[[#This Row],[W_A]], "0"), "-", TEXT(Table3[[#This Row],[RL_A]],"0"), "-", TEXT(Table3[[#This Row],[OTL_A]]+Table3[[#This Row],[SOL_A]], "0"))</f>
        <v>2-0-0</v>
      </c>
      <c r="BN24" s="42">
        <f>((2*(Table3[[#This Row],[W_H]]))+Table3[[#This Row],[OTL_H]]+Table3[[#This Row],[SOL_H]])/(2*Table3[[#This Row],[GP_H]])</f>
        <v>0</v>
      </c>
      <c r="BO24" s="42">
        <f>((2*(Table3[[#This Row],[W_A]]))+Table3[[#This Row],[OTL_A]]+Table3[[#This Row],[SOL_A]])/(2*Table3[[#This Row],[GP_A]])</f>
        <v>1</v>
      </c>
      <c r="BP24" s="16">
        <f>(Table3[[#This Row],[W]]*$CX$3)+(Table3[[#This Row],[L]]*$CX$4)+(Table3[[#This Row],[GF]]*$CX$5)+(Table3[[#This Row],[GA]]*$CX$6)</f>
        <v>4.0999999999999996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46.411999999999999</v>
      </c>
      <c r="BR24" s="16">
        <f>(Table3[[#This Row],[W]]*0.7) + ((Table3[[#This Row],[GF]] - Table3[[#This Row],[GA]])*0.25)+(Table3[[#This Row],[GF]]*0.1)+(Table3[[#This Row],[GA]]*0.05)+(Table3[[#This Row],[L]]*0.3)</f>
        <v>4.4000000000000004</v>
      </c>
      <c r="BS24" s="16">
        <f>Table3[[#This Row],[TeamCost83]]/Table3[[#This Row],[GP]]</f>
        <v>0.88000000000000012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1</v>
      </c>
      <c r="BV24">
        <f t="shared" si="8"/>
        <v>1</v>
      </c>
      <c r="BW24">
        <f t="shared" si="9"/>
        <v>2</v>
      </c>
      <c r="BX24">
        <f t="shared" si="10"/>
        <v>2</v>
      </c>
      <c r="BY24">
        <f t="shared" si="11"/>
        <v>4</v>
      </c>
      <c r="BZ24">
        <f>Table3[[#This Row],[TimesPredictedWinner]]/Table3[[#This Row],[GP]]</f>
        <v>0.2</v>
      </c>
      <c r="CB24">
        <v>1994</v>
      </c>
      <c r="CC24" s="1">
        <v>45759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1.7000000000000002</v>
      </c>
      <c r="CK24">
        <f>Table3[[#This Row],[Column4]]+Table3[[#This Row],[Column3]]</f>
        <v>1.7000000000000002</v>
      </c>
      <c r="CL24">
        <f>Table3[[#This Row],[Column5]]/Table3[[#This Row],[GP]]</f>
        <v>0.34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40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2</v>
      </c>
      <c r="G25">
        <f>41-Table3[[#This Row],[GP_A]]</f>
        <v>39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 t="shared" si="0"/>
        <v>4</v>
      </c>
      <c r="K25">
        <f>82-Table3[[#This Row],[GP]]</f>
        <v>78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0.25</v>
      </c>
      <c r="AC25">
        <f>Table3[[#This Row],[W_A]]+Table3[[#This Row],[W_H]]</f>
        <v>1</v>
      </c>
      <c r="AD25">
        <f>Table3[[#This Row],[L_A]]+Table3[[#This Row],[L_H]]</f>
        <v>3</v>
      </c>
      <c r="AE25">
        <f>Table3[[#This Row],[RW_A]]+Table3[[#This Row],[RW_H]]</f>
        <v>1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0.25</v>
      </c>
      <c r="AO25">
        <f>(2*(Table3[[#This Row],[W_A]]+Table3[[#This Row],[W_H]]))+Table3[[#This Row],[OTL_A]]+Table3[[#This Row],[SOL_A]]+Table3[[#This Row],[OTL_H]]+Table3[[#This Row],[SOL_H]]</f>
        <v>3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5" s="10">
        <f>Table3[[#This Row],[PTS]]/(2*Table3[[#This Row],[GP]])</f>
        <v>0.375</v>
      </c>
      <c r="AR25" s="10">
        <f>Table3[[#This Row],[PTS2]]/(3*Table3[[#This Row],[GP]])</f>
        <v>0.33333333333333331</v>
      </c>
      <c r="AS25">
        <f>(2*Table3[[#This Row],[GR]])+Table3[[#This Row],[PTS]]</f>
        <v>159</v>
      </c>
      <c r="AT25">
        <f>(3*Table3[[#This Row],[GR]])+Table3[[#This Row],[PTS2]]</f>
        <v>238</v>
      </c>
      <c r="AU25">
        <f>Table3[[#This Row],[PTS]]+(2 * Table3[[#This Row],[GR]] * Table3[[#This Row],[PTS%]])</f>
        <v>61.5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1-2-1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6</v>
      </c>
      <c r="AZ25">
        <f>SUMIF(DataRegularSeason20242025!$D$3:$D$1315,$A25, DataRegularSeason20242025!$K$3:$K$1315)</f>
        <v>6</v>
      </c>
      <c r="BA25">
        <f t="shared" si="3"/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10</v>
      </c>
      <c r="BE25">
        <f t="shared" si="4"/>
        <v>-3</v>
      </c>
      <c r="BF25">
        <f t="shared" si="5"/>
        <v>13</v>
      </c>
      <c r="BG25">
        <f t="shared" si="6"/>
        <v>16</v>
      </c>
      <c r="BH25">
        <f t="shared" si="7"/>
        <v>-3</v>
      </c>
      <c r="BI25" s="12">
        <f>Table3[[#This Row],[GF]]/Table3[[#This Row],[GP]]</f>
        <v>3.25</v>
      </c>
      <c r="BJ25" s="12">
        <f>Table3[[#This Row],[GA]]/Table3[[#This Row],[GP]]</f>
        <v>4</v>
      </c>
      <c r="BK25" s="12">
        <f>(Table3[[#This Row],[GF]]-Table3[[#This Row],[GA]])/Table3[[#This Row],[GP]]</f>
        <v>-0.75</v>
      </c>
      <c r="BL25" s="42" t="str">
        <f>_xlfn.CONCAT(TEXT(Table3[[#This Row],[W_H]], "0"), "-", TEXT(Table3[[#This Row],[RL_H]],"0"), "-", TEXT(Table3[[#This Row],[OTL_H]]+Table3[[#This Row],[SOL_H]], "0"))</f>
        <v>0-2-0</v>
      </c>
      <c r="BM25" s="42" t="str">
        <f>_xlfn.CONCAT(TEXT(Table3[[#This Row],[W_A]], "0"), "-", TEXT(Table3[[#This Row],[RL_A]],"0"), "-", TEXT(Table3[[#This Row],[OTL_A]]+Table3[[#This Row],[SOL_A]], "0"))</f>
        <v>1-0-1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0.75</v>
      </c>
      <c r="BP25" s="16">
        <f>(Table3[[#This Row],[W]]*$CX$3)+(Table3[[#This Row],[L]]*$CX$4)+(Table3[[#This Row],[GF]]*$CX$5)+(Table3[[#This Row],[GA]]*$CX$6)</f>
        <v>4.9499999999999993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85.412500000000009</v>
      </c>
      <c r="BR25" s="16">
        <f>(Table3[[#This Row],[W]]*0.7) + ((Table3[[#This Row],[GF]] - Table3[[#This Row],[GA]])*0.25)+(Table3[[#This Row],[GF]]*0.1)+(Table3[[#This Row],[GA]]*0.05)+(Table3[[#This Row],[L]]*0.3)</f>
        <v>2.9499999999999997</v>
      </c>
      <c r="BS25" s="16">
        <f>Table3[[#This Row],[TeamCost83]]/Table3[[#This Row],[GP]]</f>
        <v>0.73749999999999993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2</v>
      </c>
      <c r="BV25">
        <f t="shared" si="8"/>
        <v>3</v>
      </c>
      <c r="BW25">
        <f t="shared" si="9"/>
        <v>1</v>
      </c>
      <c r="BX25">
        <f t="shared" si="10"/>
        <v>0</v>
      </c>
      <c r="BY25">
        <f t="shared" si="11"/>
        <v>1</v>
      </c>
      <c r="BZ25">
        <f>Table3[[#This Row],[TimesPredictedWinner]]/Table3[[#This Row],[GP]]</f>
        <v>0.75</v>
      </c>
      <c r="CB25">
        <v>2021</v>
      </c>
      <c r="CD25" s="1">
        <v>45751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1.7000000000000002</v>
      </c>
      <c r="CJ25">
        <f>SUMIFS(Table2[GamePredictionScore], Table2[HomeTeam], Table3[[#This Row],[Teams]])</f>
        <v>0.1</v>
      </c>
      <c r="CK25">
        <f>Table3[[#This Row],[Column4]]+Table3[[#This Row],[Column3]]</f>
        <v>1.8000000000000003</v>
      </c>
      <c r="CL25">
        <f>Table3[[#This Row],[Column5]]/Table3[[#This Row],[GP]]</f>
        <v>0.45000000000000007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27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2</v>
      </c>
      <c r="E26" s="10">
        <f>Table3[[#This Row],[Watched]]/Table3[[#This Row],[GP]]</f>
        <v>0.5</v>
      </c>
      <c r="F26">
        <f>COUNTIFS(DataRegularSeason20242025!$N$3:$N$1315,1,DataRegularSeason20242025!$D$3:$D$1315,$A26)</f>
        <v>3</v>
      </c>
      <c r="G26">
        <f>41-Table3[[#This Row],[GP_A]]</f>
        <v>38</v>
      </c>
      <c r="H26">
        <f>COUNTIFS(DataRegularSeason20242025!$E$3:$E$1315,$A26,DataRegularSeason20242025!$N$3:$N$1315,1)</f>
        <v>1</v>
      </c>
      <c r="I26">
        <f>41-Table3[[#This Row],[GP_H]]</f>
        <v>40</v>
      </c>
      <c r="J26">
        <f t="shared" si="0"/>
        <v>4</v>
      </c>
      <c r="K26">
        <f>82-Table3[[#This Row],[GP]]</f>
        <v>78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1</v>
      </c>
      <c r="P26">
        <f t="shared" si="1"/>
        <v>2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1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1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0.25</v>
      </c>
      <c r="AC26">
        <f>Table3[[#This Row],[W_A]]+Table3[[#This Row],[W_H]]</f>
        <v>1</v>
      </c>
      <c r="AD26">
        <f>Table3[[#This Row],[L_A]]+Table3[[#This Row],[L_H]]</f>
        <v>3</v>
      </c>
      <c r="AE26">
        <f>Table3[[#This Row],[RW_A]]+Table3[[#This Row],[RW_H]]</f>
        <v>0</v>
      </c>
      <c r="AF26">
        <f>Table3[[#This Row],[RL_A]]+Table3[[#This Row],[RL_H]]</f>
        <v>2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1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1-1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0.5</v>
      </c>
      <c r="AN26">
        <f>Table3[[#This Row],[Total_ExtraTimes]]/MAX(1,Table3[[#This Row],[GP]])</f>
        <v>0.5</v>
      </c>
      <c r="AO26">
        <f>(2*(Table3[[#This Row],[W_A]]+Table3[[#This Row],[W_H]]))+Table3[[#This Row],[OTL_A]]+Table3[[#This Row],[SOL_A]]+Table3[[#This Row],[OTL_H]]+Table3[[#This Row],[SOL_H]]</f>
        <v>3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6" s="10">
        <f>Table3[[#This Row],[PTS]]/(2*Table3[[#This Row],[GP]])</f>
        <v>0.375</v>
      </c>
      <c r="AR26" s="10">
        <f>Table3[[#This Row],[PTS2]]/(3*Table3[[#This Row],[GP]])</f>
        <v>0.25</v>
      </c>
      <c r="AS26">
        <f>(2*Table3[[#This Row],[GR]])+Table3[[#This Row],[PTS]]</f>
        <v>159</v>
      </c>
      <c r="AT26">
        <f>(3*Table3[[#This Row],[GR]])+Table3[[#This Row],[PTS2]]</f>
        <v>237</v>
      </c>
      <c r="AU26">
        <f>Table3[[#This Row],[PTS]]+(2 * Table3[[#This Row],[GR]] * Table3[[#This Row],[PTS%]])</f>
        <v>61.5</v>
      </c>
      <c r="AV26">
        <f>Table3[[#This Row],[PTS2]]+(3 * Table3[[#This Row],[GR]] * Table3[[#This Row],[PTS%2]])</f>
        <v>61.5</v>
      </c>
      <c r="AW26" s="15" t="str">
        <f>_xlfn.CONCAT(TEXT(Table3[[#This Row],[W]], "0"), "-", TEXT(Table3[[#This Row],[RL]],"0"), "-", TEXT(Table3[[#This Row],[OTL]]+Table3[[#This Row],[SOL]], "0"))</f>
        <v>1-2-1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12</v>
      </c>
      <c r="BA26">
        <f t="shared" si="3"/>
        <v>-1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</v>
      </c>
      <c r="BD26">
        <f>SUMIF(DataRegularSeason20242025!$E$3:$E$1315,$A26,DataRegularSeason20242025!$J$3:$J$1315)</f>
        <v>4</v>
      </c>
      <c r="BE26">
        <f t="shared" si="4"/>
        <v>-3</v>
      </c>
      <c r="BF26">
        <f t="shared" si="5"/>
        <v>12</v>
      </c>
      <c r="BG26">
        <f t="shared" si="6"/>
        <v>16</v>
      </c>
      <c r="BH26">
        <f t="shared" si="7"/>
        <v>-4</v>
      </c>
      <c r="BI26" s="12">
        <f>Table3[[#This Row],[GF]]/Table3[[#This Row],[GP]]</f>
        <v>3</v>
      </c>
      <c r="BJ26" s="12">
        <f>Table3[[#This Row],[GA]]/Table3[[#This Row],[GP]]</f>
        <v>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0-1-0</v>
      </c>
      <c r="BM26" s="42" t="str">
        <f>_xlfn.CONCAT(TEXT(Table3[[#This Row],[W_A]], "0"), "-", TEXT(Table3[[#This Row],[RL_A]],"0"), "-", TEXT(Table3[[#This Row],[OTL_A]]+Table3[[#This Row],[SOL_A]], "0"))</f>
        <v>1-1-1</v>
      </c>
      <c r="BN26" s="42">
        <f>((2*(Table3[[#This Row],[W_H]]))+Table3[[#This Row],[OTL_H]]+Table3[[#This Row],[SOL_H]])/(2*Table3[[#This Row],[GP_H]])</f>
        <v>0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4.8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26" s="16">
        <f>(Table3[[#This Row],[W]]*0.7) + ((Table3[[#This Row],[GF]] - Table3[[#This Row],[GA]])*0.25)+(Table3[[#This Row],[GF]]*0.1)+(Table3[[#This Row],[GA]]*0.05)+(Table3[[#This Row],[L]]*0.3)</f>
        <v>2.6</v>
      </c>
      <c r="BS26" s="16">
        <f>Table3[[#This Row],[TeamCost83]]/Table3[[#This Row],[GP]]</f>
        <v>0.65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 t="shared" si="8"/>
        <v>0</v>
      </c>
      <c r="BW26">
        <f t="shared" si="9"/>
        <v>3</v>
      </c>
      <c r="BX26">
        <f t="shared" si="10"/>
        <v>1</v>
      </c>
      <c r="BY26">
        <f t="shared" si="11"/>
        <v>4</v>
      </c>
      <c r="BZ26">
        <f>Table3[[#This Row],[TimesPredictedWinner]]/Table3[[#This Row],[GP]]</f>
        <v>0</v>
      </c>
      <c r="CB26">
        <v>2014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1.7000000000000002</v>
      </c>
      <c r="CJ26">
        <f>SUMIFS(Table2[GamePredictionScore], Table2[HomeTeam], Table3[[#This Row],[Teams]])</f>
        <v>0.8</v>
      </c>
      <c r="CK26">
        <f>Table3[[#This Row],[Column4]]+Table3[[#This Row],[Column3]]</f>
        <v>2.5</v>
      </c>
      <c r="CL26">
        <f>Table3[[#This Row],[Column5]]/Table3[[#This Row],[GP]]</f>
        <v>0.625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1</v>
      </c>
      <c r="E27" s="10">
        <f>Table3[[#This Row],[Watched]]/Table3[[#This Row],[GP]]</f>
        <v>0.33333333333333331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 t="shared" si="0"/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3</v>
      </c>
      <c r="Y27">
        <f>COUNTIFS(DataRegularSeason20242025!$E$3:$E$1315,$A27, DataRegularSeason20242025!$S$3:$S$1315, $A27,DataRegularSeason20242025!$M$3:$M$1315,"REG")</f>
        <v>1</v>
      </c>
      <c r="Z27">
        <f>COUNTIFS(DataRegularSeason20242025!$E$3:$E$1315,$A27, DataRegularSeason20242025!$S$3:$S$1315, $A27,DataRegularSeason20242025!$M$3:$M$1315,"OT")</f>
        <v>2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3</v>
      </c>
      <c r="AE27">
        <f>Table3[[#This Row],[RW_A]]+Table3[[#This Row],[RW_H]]</f>
        <v>0</v>
      </c>
      <c r="AF27">
        <f>Table3[[#This Row],[RL_A]]+Table3[[#This Row],[RL_H]]</f>
        <v>1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0-2</v>
      </c>
      <c r="AL27">
        <f>SUM(Table3[[#This Row],[OTW]],Table3[[#This Row],[OTL]],Table3[[#This Row],[SOW]],Table3[[#This Row],[SOL]])</f>
        <v>2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0.66666666666666663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7" s="10">
        <f>Table3[[#This Row],[PTS]]/(2*Table3[[#This Row],[GP]])</f>
        <v>0.33333333333333331</v>
      </c>
      <c r="AR27" s="10">
        <f>Table3[[#This Row],[PTS2]]/(3*Table3[[#This Row],[GP]])</f>
        <v>0.22222222222222221</v>
      </c>
      <c r="AS27">
        <f>(2*Table3[[#This Row],[GR]])+Table3[[#This Row],[PTS]]</f>
        <v>160</v>
      </c>
      <c r="AT27">
        <f>(3*Table3[[#This Row],[GR]])+Table3[[#This Row],[PTS2]]</f>
        <v>239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54.666666666666664</v>
      </c>
      <c r="AW27" s="15" t="str">
        <f>_xlfn.CONCAT(TEXT(Table3[[#This Row],[W]], "0"), "-", TEXT(Table3[[#This Row],[RL]],"0"), "-", TEXT(Table3[[#This Row],[OTL]]+Table3[[#This Row],[SOL]], "0"))</f>
        <v>0-1-2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10</v>
      </c>
      <c r="BD27">
        <f>SUMIF(DataRegularSeason20242025!$E$3:$E$1315,$A27,DataRegularSeason20242025!$J$3:$J$1315)</f>
        <v>16</v>
      </c>
      <c r="BE27">
        <f t="shared" si="4"/>
        <v>-6</v>
      </c>
      <c r="BF27">
        <f t="shared" si="5"/>
        <v>10</v>
      </c>
      <c r="BG27">
        <f t="shared" si="6"/>
        <v>16</v>
      </c>
      <c r="BH27">
        <f t="shared" si="7"/>
        <v>-6</v>
      </c>
      <c r="BI27" s="12">
        <f>Table3[[#This Row],[GF]]/Table3[[#This Row],[GP]]</f>
        <v>3.3333333333333335</v>
      </c>
      <c r="BJ27" s="12">
        <f>Table3[[#This Row],[GA]]/Table3[[#This Row],[GP]]</f>
        <v>5.333333333333333</v>
      </c>
      <c r="BK27" s="12">
        <f>(Table3[[#This Row],[GF]]-Table3[[#This Row],[GA]])/Table3[[#This Row],[GP]]</f>
        <v>-2</v>
      </c>
      <c r="BL27" s="42" t="str">
        <f>_xlfn.CONCAT(TEXT(Table3[[#This Row],[W_H]], "0"), "-", TEXT(Table3[[#This Row],[RL_H]],"0"), "-", TEXT(Table3[[#This Row],[OTL_H]]+Table3[[#This Row],[SOL_H]], "0"))</f>
        <v>0-1-2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>
        <f>((2*(Table3[[#This Row],[W_H]]))+Table3[[#This Row],[OTL_H]]+Table3[[#This Row],[SOL_H]])/(2*Table3[[#This Row],[GP_H]])</f>
        <v>0.33333333333333331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4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98.75555555555556</v>
      </c>
      <c r="BR27" s="16">
        <f>(Table3[[#This Row],[W]]*0.7) + ((Table3[[#This Row],[GF]] - Table3[[#This Row],[GA]])*0.25)+(Table3[[#This Row],[GF]]*0.1)+(Table3[[#This Row],[GA]]*0.05)+(Table3[[#This Row],[L]]*0.3)</f>
        <v>1.2</v>
      </c>
      <c r="BS27" s="16">
        <f>Table3[[#This Row],[TeamCost83]]/Table3[[#This Row],[GP]]</f>
        <v>0.39999999999999997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 t="shared" si="8"/>
        <v>0</v>
      </c>
      <c r="BW27">
        <f t="shared" si="9"/>
        <v>0</v>
      </c>
      <c r="BX27">
        <f t="shared" si="10"/>
        <v>3</v>
      </c>
      <c r="BY27">
        <f t="shared" si="11"/>
        <v>3</v>
      </c>
      <c r="BZ27">
        <f>Table3[[#This Row],[TimesPredictedWinner]]/Table3[[#This Row],[GP]]</f>
        <v>0</v>
      </c>
      <c r="CC27" s="1">
        <v>45732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2.6</v>
      </c>
      <c r="CK27">
        <f>Table3[[#This Row],[Column4]]+Table3[[#This Row],[Column3]]</f>
        <v>2.6</v>
      </c>
      <c r="CL27">
        <f>Table3[[#This Row],[Column5]]/Table3[[#This Row],[GP]]</f>
        <v>0.8666666666666667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>
        <f>Table3[[#This Row],[Watched]]/Table3[[#This Row],[GP]]</f>
        <v>0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 t="shared" si="0"/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1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160</v>
      </c>
      <c r="AT28">
        <f>(3*Table3[[#This Row],[GR]])+Table3[[#This Row],[PTS2]]</f>
        <v>240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 t="shared" si="3"/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3</v>
      </c>
      <c r="BE28">
        <f t="shared" si="4"/>
        <v>-1</v>
      </c>
      <c r="BF28">
        <f t="shared" si="5"/>
        <v>10</v>
      </c>
      <c r="BG28">
        <f t="shared" si="6"/>
        <v>8</v>
      </c>
      <c r="BH28">
        <f t="shared" si="7"/>
        <v>2</v>
      </c>
      <c r="BI28" s="12">
        <f>Table3[[#This Row],[GF]]/Table3[[#This Row],[GP]]</f>
        <v>3.3333333333333335</v>
      </c>
      <c r="BJ28" s="12">
        <f>Table3[[#This Row],[GA]]/Table3[[#This Row],[GP]]</f>
        <v>2.6666666666666665</v>
      </c>
      <c r="BK28" s="12">
        <f>(Table3[[#This Row],[GF]]-Table3[[#This Row],[GA]])/Table3[[#This Row],[GP]]</f>
        <v>0.66666666666666663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3.4000000000000004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8" s="16">
        <f>(Table3[[#This Row],[W]]*0.7) + ((Table3[[#This Row],[GF]] - Table3[[#This Row],[GA]])*0.25)+(Table3[[#This Row],[GF]]*0.1)+(Table3[[#This Row],[GA]]*0.05)+(Table3[[#This Row],[L]]*0.3)</f>
        <v>3.2</v>
      </c>
      <c r="BS28" s="16">
        <f>Table3[[#This Row],[TeamCost83]]/Table3[[#This Row],[GP]]</f>
        <v>1.0666666666666667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 t="shared" si="8"/>
        <v>1</v>
      </c>
      <c r="BW28">
        <f t="shared" si="9"/>
        <v>2</v>
      </c>
      <c r="BX28">
        <f t="shared" si="10"/>
        <v>0</v>
      </c>
      <c r="BY28">
        <f t="shared" si="11"/>
        <v>2</v>
      </c>
      <c r="BZ28">
        <f>Table3[[#This Row],[TimesPredictedWinner]]/Table3[[#This Row],[GP]]</f>
        <v>0.33333333333333331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</v>
      </c>
      <c r="CK28">
        <f>Table3[[#This Row],[Column4]]+Table3[[#This Row],[Column3]]</f>
        <v>0.8</v>
      </c>
      <c r="CL28">
        <f>Table3[[#This Row],[Column5]]/Table3[[#This Row],[GP]]</f>
        <v>0.26666666666666666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24</v>
      </c>
      <c r="B29" t="s">
        <v>90</v>
      </c>
      <c r="C29" t="s">
        <v>93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3</v>
      </c>
      <c r="E29" s="10">
        <f>Table3[[#This Row],[Watched]]/Table3[[#This Row],[GP]]</f>
        <v>1</v>
      </c>
      <c r="F29">
        <f>COUNTIFS(DataRegularSeason20242025!$N$3:$N$1315,1,DataRegularSeason20242025!$D$3:$D$1315,$A29)</f>
        <v>1</v>
      </c>
      <c r="G29">
        <f>41-Table3[[#This Row],[GP_A]]</f>
        <v>40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 t="shared" si="0"/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</v>
      </c>
      <c r="AZ29">
        <f>SUMIF(DataRegularSeason20242025!$D$3:$D$1315,$A29, DataRegularSeason20242025!$K$3:$K$1315)</f>
        <v>3</v>
      </c>
      <c r="BA29">
        <f t="shared" si="3"/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6</v>
      </c>
      <c r="BE29">
        <f t="shared" si="4"/>
        <v>1</v>
      </c>
      <c r="BF29">
        <f t="shared" si="5"/>
        <v>8</v>
      </c>
      <c r="BG29">
        <f t="shared" si="6"/>
        <v>9</v>
      </c>
      <c r="BH29">
        <f t="shared" si="7"/>
        <v>-1</v>
      </c>
      <c r="BI29" s="12">
        <f>Table3[[#This Row],[GF]]/Table3[[#This Row],[GP]]</f>
        <v>2.6666666666666665</v>
      </c>
      <c r="BJ29" s="12">
        <f>Table3[[#This Row],[GA]]/Table3[[#This Row],[GP]]</f>
        <v>3</v>
      </c>
      <c r="BK29" s="12">
        <f>(Table3[[#This Row],[GF]]-Table3[[#This Row],[GA]])/Table3[[#This Row],[GP]]</f>
        <v>-0.33333333333333331</v>
      </c>
      <c r="BL29" s="42" t="str">
        <f>_xlfn.CONCAT(TEXT(Table3[[#This Row],[W_H]], "0"), "-", TEXT(Table3[[#This Row],[RL_H]],"0"), "-", TEXT(Table3[[#This Row],[OTL_H]]+Table3[[#This Row],[SOL_H]], "0"))</f>
        <v>1-1-0</v>
      </c>
      <c r="BM29" s="42" t="str">
        <f>_xlfn.CONCAT(TEXT(Table3[[#This Row],[W_A]], "0"), "-", TEXT(Table3[[#This Row],[RL_A]],"0"), "-", TEXT(Table3[[#This Row],[OTL_A]]+Table3[[#This Row],[SOL_A]], "0"))</f>
        <v>0-1-0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</v>
      </c>
      <c r="BP29" s="16">
        <f>(Table3[[#This Row],[W]]*$CX$3)+(Table3[[#This Row],[L]]*$CX$4)+(Table3[[#This Row],[GF]]*$CX$5)+(Table3[[#This Row],[GA]]*$CX$6)</f>
        <v>3.1999999999999997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9" s="16">
        <f>(Table3[[#This Row],[W]]*0.7) + ((Table3[[#This Row],[GF]] - Table3[[#This Row],[GA]])*0.25)+(Table3[[#This Row],[GF]]*0.1)+(Table3[[#This Row],[GA]]*0.05)+(Table3[[#This Row],[L]]*0.3)</f>
        <v>2.2999999999999998</v>
      </c>
      <c r="BS29" s="16">
        <f>Table3[[#This Row],[TeamCost83]]/Table3[[#This Row],[GP]]</f>
        <v>0.76666666666666661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 t="shared" si="8"/>
        <v>2</v>
      </c>
      <c r="BW29">
        <f t="shared" si="9"/>
        <v>0</v>
      </c>
      <c r="BX29">
        <f t="shared" si="10"/>
        <v>1</v>
      </c>
      <c r="BY29">
        <f t="shared" si="11"/>
        <v>1</v>
      </c>
      <c r="BZ29">
        <f>Table3[[#This Row],[TimesPredictedWinner]]/Table3[[#This Row],[GP]]</f>
        <v>0.66666666666666663</v>
      </c>
      <c r="CC29" s="1">
        <v>45756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0.1</v>
      </c>
      <c r="CJ29">
        <f>SUMIFS(Table2[GamePredictionScore], Table2[HomeTeam], Table3[[#This Row],[Teams]])</f>
        <v>1.6</v>
      </c>
      <c r="CK29">
        <f>Table3[[#This Row],[Column4]]+Table3[[#This Row],[Column3]]</f>
        <v>1.7000000000000002</v>
      </c>
      <c r="CL29">
        <f>Table3[[#This Row],[Column5]]/Table3[[#This Row],[GP]]</f>
        <v>0.56666666666666676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3</v>
      </c>
      <c r="E30" s="10">
        <f>Table3[[#This Row],[Watched]]/Table3[[#This Row],[GP]]</f>
        <v>0.75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1</v>
      </c>
      <c r="I30">
        <f>41-Table3[[#This Row],[GP_H]]</f>
        <v>40</v>
      </c>
      <c r="J30">
        <f t="shared" si="0"/>
        <v>4</v>
      </c>
      <c r="K30">
        <f>82-Table3[[#This Row],[GP]]</f>
        <v>78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0.25</v>
      </c>
      <c r="AC30">
        <f>Table3[[#This Row],[W_A]]+Table3[[#This Row],[W_H]]</f>
        <v>1</v>
      </c>
      <c r="AD30">
        <f>Table3[[#This Row],[L_A]]+Table3[[#This Row],[L_H]]</f>
        <v>3</v>
      </c>
      <c r="AE30">
        <f>Table3[[#This Row],[RW_A]]+Table3[[#This Row],[RW_H]]</f>
        <v>1</v>
      </c>
      <c r="AF30">
        <f>Table3[[#This Row],[RL_A]]+Table3[[#This Row],[RL_H]]</f>
        <v>3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0" s="10">
        <f>Table3[[#This Row],[PTS]]/(2*Table3[[#This Row],[GP]])</f>
        <v>0.25</v>
      </c>
      <c r="AR30" s="10">
        <f>Table3[[#This Row],[PTS2]]/(3*Table3[[#This Row],[GP]])</f>
        <v>0.25</v>
      </c>
      <c r="AS30">
        <f>(2*Table3[[#This Row],[GR]])+Table3[[#This Row],[PTS]]</f>
        <v>158</v>
      </c>
      <c r="AT30">
        <f>(3*Table3[[#This Row],[GR]])+Table3[[#This Row],[PTS2]]</f>
        <v>237</v>
      </c>
      <c r="AU30">
        <f>Table3[[#This Row],[PTS]]+(2 * Table3[[#This Row],[GR]] * Table3[[#This Row],[PTS%]])</f>
        <v>41</v>
      </c>
      <c r="AV30">
        <f>Table3[[#This Row],[PTS2]]+(3 * Table3[[#This Row],[GR]] * Table3[[#This Row],[PTS%2]])</f>
        <v>61.5</v>
      </c>
      <c r="AW30" s="15" t="str">
        <f>_xlfn.CONCAT(TEXT(Table3[[#This Row],[W]], "0"), "-", TEXT(Table3[[#This Row],[RL]],"0"), "-", TEXT(Table3[[#This Row],[OTL]]+Table3[[#This Row],[SOL]], "0"))</f>
        <v>1-3-0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 t="shared" si="3"/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</v>
      </c>
      <c r="BD30">
        <f>SUMIF(DataRegularSeason20242025!$E$3:$E$1315,$A30,DataRegularSeason20242025!$J$3:$J$1315)</f>
        <v>4</v>
      </c>
      <c r="BE30">
        <f t="shared" si="4"/>
        <v>-3</v>
      </c>
      <c r="BF30">
        <f t="shared" si="5"/>
        <v>12</v>
      </c>
      <c r="BG30">
        <f t="shared" si="6"/>
        <v>22</v>
      </c>
      <c r="BH30">
        <f t="shared" si="7"/>
        <v>-10</v>
      </c>
      <c r="BI30" s="12">
        <f>Table3[[#This Row],[GF]]/Table3[[#This Row],[GP]]</f>
        <v>3</v>
      </c>
      <c r="BJ30" s="12">
        <f>Table3[[#This Row],[GA]]/Table3[[#This Row],[GP]]</f>
        <v>5.5</v>
      </c>
      <c r="BK30" s="12">
        <f>(Table3[[#This Row],[GF]]-Table3[[#This Row],[GA]])/Table3[[#This Row],[GP]]</f>
        <v>-2.5</v>
      </c>
      <c r="BL30" s="42" t="str">
        <f>_xlfn.CONCAT(TEXT(Table3[[#This Row],[W_H]], "0"), "-", TEXT(Table3[[#This Row],[RL_H]],"0"), "-", TEXT(Table3[[#This Row],[OTL_H]]+Table3[[#This Row],[SOL_H]], "0"))</f>
        <v>0-1-0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5.4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94.575000000000003</v>
      </c>
      <c r="BR30" s="16">
        <f>(Table3[[#This Row],[W]]*0.7) + ((Table3[[#This Row],[GF]] - Table3[[#This Row],[GA]])*0.25)+(Table3[[#This Row],[GF]]*0.1)+(Table3[[#This Row],[GA]]*0.05)+(Table3[[#This Row],[L]]*0.3)</f>
        <v>1.4000000000000001</v>
      </c>
      <c r="BS30" s="16">
        <f>Table3[[#This Row],[TeamCost83]]/Table3[[#This Row],[GP]]</f>
        <v>0.35000000000000003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 t="shared" si="8"/>
        <v>2</v>
      </c>
      <c r="BW30">
        <f t="shared" si="9"/>
        <v>2</v>
      </c>
      <c r="BX30">
        <f t="shared" si="10"/>
        <v>0</v>
      </c>
      <c r="BY30">
        <f t="shared" si="11"/>
        <v>2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0.22500000000000001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28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2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1</v>
      </c>
      <c r="G31">
        <f>41-Table3[[#This Row],[GP_A]]</f>
        <v>40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 t="shared" si="0"/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2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1" s="10">
        <f>Table3[[#This Row],[PTS]]/(2*Table3[[#This Row],[GP]])</f>
        <v>0.25</v>
      </c>
      <c r="AR31" s="10">
        <f>Table3[[#This Row],[PTS2]]/(3*Table3[[#This Row],[GP]])</f>
        <v>0.25</v>
      </c>
      <c r="AS31">
        <f>(2*Table3[[#This Row],[GR]])+Table3[[#This Row],[PTS]]</f>
        <v>158</v>
      </c>
      <c r="AT31">
        <f>(3*Table3[[#This Row],[GR]])+Table3[[#This Row],[PTS2]]</f>
        <v>237</v>
      </c>
      <c r="AU31">
        <f>Table3[[#This Row],[PTS]]+(2 * Table3[[#This Row],[GR]] * Table3[[#This Row],[PTS%]])</f>
        <v>41</v>
      </c>
      <c r="AV31">
        <f>Table3[[#This Row],[PTS2]]+(3 * Table3[[#This Row],[GR]] * Table3[[#This Row],[PTS%2]])</f>
        <v>61.5</v>
      </c>
      <c r="AW31" s="15" t="str">
        <f>_xlfn.CONCAT(TEXT(Table3[[#This Row],[W]], "0"), "-", TEXT(Table3[[#This Row],[RL]],"0"), "-", TEXT(Table3[[#This Row],[OTL]]+Table3[[#This Row],[SOL]], "0"))</f>
        <v>1-3-0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</v>
      </c>
      <c r="AZ31">
        <f>SUMIF(DataRegularSeason20242025!$D$3:$D$1315,$A31, DataRegularSeason20242025!$K$3:$K$1315)</f>
        <v>3</v>
      </c>
      <c r="BA31">
        <f t="shared" si="3"/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9</v>
      </c>
      <c r="BD31">
        <f>SUMIF(DataRegularSeason20242025!$E$3:$E$1315,$A31,DataRegularSeason20242025!$J$3:$J$1315)</f>
        <v>11</v>
      </c>
      <c r="BE31">
        <f t="shared" si="4"/>
        <v>-2</v>
      </c>
      <c r="BF31">
        <f t="shared" si="5"/>
        <v>10</v>
      </c>
      <c r="BG31">
        <f t="shared" si="6"/>
        <v>14</v>
      </c>
      <c r="BH31">
        <f t="shared" si="7"/>
        <v>-4</v>
      </c>
      <c r="BI31" s="12">
        <f>Table3[[#This Row],[GF]]/Table3[[#This Row],[GP]]</f>
        <v>2.5</v>
      </c>
      <c r="BJ31" s="12">
        <f>Table3[[#This Row],[GA]]/Table3[[#This Row],[GP]]</f>
        <v>3.5</v>
      </c>
      <c r="BK31" s="12">
        <f>(Table3[[#This Row],[GF]]-Table3[[#This Row],[GA]])/Table3[[#This Row],[GP]]</f>
        <v>-1</v>
      </c>
      <c r="BL31" s="42" t="str">
        <f>_xlfn.CONCAT(TEXT(Table3[[#This Row],[W_H]], "0"), "-", TEXT(Table3[[#This Row],[RL_H]],"0"), "-", TEXT(Table3[[#This Row],[OTL_H]]+Table3[[#This Row],[SOL_H]], "0"))</f>
        <v>1-2-0</v>
      </c>
      <c r="BM31" s="42" t="str">
        <f>_xlfn.CONCAT(TEXT(Table3[[#This Row],[W_A]], "0"), "-", TEXT(Table3[[#This Row],[RL_A]],"0"), "-", TEXT(Table3[[#This Row],[OTL_A]]+Table3[[#This Row],[SOL_A]], "0"))</f>
        <v>0-1-0</v>
      </c>
      <c r="BN31" s="42">
        <f>((2*(Table3[[#This Row],[W_H]]))+Table3[[#This Row],[OTL_H]]+Table3[[#This Row],[SOL_H]])/(2*Table3[[#This Row],[GP_H]])</f>
        <v>0.33333333333333331</v>
      </c>
      <c r="BO31" s="42">
        <f>((2*(Table3[[#This Row],[W_A]]))+Table3[[#This Row],[OTL_A]]+Table3[[#This Row],[SOL_A]])/(2*Table3[[#This Row],[GP_A]])</f>
        <v>0</v>
      </c>
      <c r="BP31" s="16">
        <f>(Table3[[#This Row],[W]]*$CX$3)+(Table3[[#This Row],[L]]*$CX$4)+(Table3[[#This Row],[GF]]*$CX$5)+(Table3[[#This Row],[GA]]*$CX$6)</f>
        <v>4.3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70.925000000000011</v>
      </c>
      <c r="BR31" s="16">
        <f>(Table3[[#This Row],[W]]*0.7) + ((Table3[[#This Row],[GF]] - Table3[[#This Row],[GA]])*0.25)+(Table3[[#This Row],[GF]]*0.1)+(Table3[[#This Row],[GA]]*0.05)+(Table3[[#This Row],[L]]*0.3)</f>
        <v>2.2999999999999998</v>
      </c>
      <c r="BS31" s="16">
        <f>Table3[[#This Row],[TeamCost83]]/Table3[[#This Row],[GP]]</f>
        <v>0.57499999999999996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2</v>
      </c>
      <c r="BV31">
        <f t="shared" si="8"/>
        <v>2</v>
      </c>
      <c r="BW31">
        <f t="shared" si="9"/>
        <v>1</v>
      </c>
      <c r="BX31">
        <f t="shared" si="10"/>
        <v>1</v>
      </c>
      <c r="BY31">
        <f t="shared" si="11"/>
        <v>2</v>
      </c>
      <c r="BZ31">
        <f>Table3[[#This Row],[TimesPredictedWinner]]/Table3[[#This Row],[GP]]</f>
        <v>0.5</v>
      </c>
      <c r="CC31" s="1">
        <v>45755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0.8</v>
      </c>
      <c r="CJ31">
        <f>SUMIFS(Table2[GamePredictionScore], Table2[HomeTeam], Table3[[#This Row],[Teams]])</f>
        <v>1.7000000000000002</v>
      </c>
      <c r="CK31">
        <f>Table3[[#This Row],[Column4]]+Table3[[#This Row],[Column3]]</f>
        <v>2.5</v>
      </c>
      <c r="CL31">
        <f>Table3[[#This Row],[Column5]]/Table3[[#This Row],[GP]]</f>
        <v>0.625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23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5</v>
      </c>
      <c r="E32" s="10">
        <f>Table3[[#This Row],[Watched]]/Table3[[#This Row],[GP]]</f>
        <v>1</v>
      </c>
      <c r="F32">
        <f>COUNTIFS(DataRegularSeason20242025!$N$3:$N$1315,1,DataRegularSeason20242025!$D$3:$D$1315,$A32)</f>
        <v>3</v>
      </c>
      <c r="G32">
        <f>41-Table3[[#This Row],[GP_A]]</f>
        <v>38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 t="shared" si="0"/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1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1</v>
      </c>
      <c r="P32">
        <f t="shared" si="1"/>
        <v>2</v>
      </c>
      <c r="Q32">
        <f>COUNTIFS(DataRegularSeason20242025!$D$3:$D$1315,$A32, DataRegularSeason20242025!$S$3:$S$1315, $A32,DataRegularSeason20242025!$M$3:$M$1315,"REG")</f>
        <v>2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1</v>
      </c>
      <c r="AD32">
        <f>Table3[[#This Row],[L_A]]+Table3[[#This Row],[L_H]]</f>
        <v>4</v>
      </c>
      <c r="AE32">
        <f>Table3[[#This Row],[RW_A]]+Table3[[#This Row],[RW_H]]</f>
        <v>0</v>
      </c>
      <c r="AF32">
        <f>Table3[[#This Row],[RL_A]]+Table3[[#This Row],[RL_H]]</f>
        <v>4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1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1-0</v>
      </c>
      <c r="AL32">
        <f>SUM(Table3[[#This Row],[OTW]],Table3[[#This Row],[OTL]],Table3[[#This Row],[SOW]],Table3[[#This Row],[SOL]])</f>
        <v>1</v>
      </c>
      <c r="AM32">
        <f>(Table3[[#This Row],[OTW]]+Table3[[#This Row],[SOW]])/IF(Table3[[#This Row],[Total_ExtraTimes]]=0,1,Table3[[#This Row],[Total_ExtraTimes]])</f>
        <v>1</v>
      </c>
      <c r="AN32">
        <f>Table3[[#This Row],[Total_ExtraTimes]]/MAX(1,Table3[[#This Row],[GP]])</f>
        <v>0.2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1-4-0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6</v>
      </c>
      <c r="AZ32">
        <f>SUMIF(DataRegularSeason20242025!$D$3:$D$1315,$A32, DataRegularSeason20242025!$K$3:$K$1315)</f>
        <v>11</v>
      </c>
      <c r="BA32">
        <f t="shared" si="3"/>
        <v>-5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8</v>
      </c>
      <c r="BE32">
        <f t="shared" si="4"/>
        <v>-4</v>
      </c>
      <c r="BF32">
        <f t="shared" si="5"/>
        <v>10</v>
      </c>
      <c r="BG32">
        <f t="shared" si="6"/>
        <v>19</v>
      </c>
      <c r="BH32">
        <f t="shared" si="7"/>
        <v>-9</v>
      </c>
      <c r="BI32" s="12">
        <f>Table3[[#This Row],[GF]]/Table3[[#This Row],[GP]]</f>
        <v>2</v>
      </c>
      <c r="BJ32" s="12">
        <f>Table3[[#This Row],[GA]]/Table3[[#This Row],[GP]]</f>
        <v>3.8</v>
      </c>
      <c r="BK32" s="12">
        <f>(Table3[[#This Row],[GF]]-Table3[[#This Row],[GA]])/Table3[[#This Row],[GP]]</f>
        <v>-1.8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1-2-0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0.33333333333333331</v>
      </c>
      <c r="BP32" s="16">
        <f>(Table3[[#This Row],[W]]*$CX$3)+(Table3[[#This Row],[L]]*$CX$4)+(Table3[[#This Row],[GF]]*$CX$5)+(Table3[[#This Row],[GA]]*$CX$6)</f>
        <v>5.1000000000000005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66.436000000000007</v>
      </c>
      <c r="BR32" s="16">
        <f>(Table3[[#This Row],[W]]*0.7) + ((Table3[[#This Row],[GF]] - Table3[[#This Row],[GA]])*0.25)+(Table3[[#This Row],[GF]]*0.1)+(Table3[[#This Row],[GA]]*0.05)+(Table3[[#This Row],[L]]*0.3)</f>
        <v>1.6</v>
      </c>
      <c r="BS32" s="16">
        <f>Table3[[#This Row],[TeamCost83]]/Table3[[#This Row],[GP]]</f>
        <v>0.32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2</v>
      </c>
      <c r="BV32">
        <f t="shared" si="8"/>
        <v>3</v>
      </c>
      <c r="BW32">
        <f t="shared" si="9"/>
        <v>2</v>
      </c>
      <c r="BX32">
        <f t="shared" si="10"/>
        <v>0</v>
      </c>
      <c r="BY32">
        <f t="shared" si="11"/>
        <v>2</v>
      </c>
      <c r="BZ32">
        <f>Table3[[#This Row],[TimesPredictedWinner]]/Table3[[#This Row],[GP]]</f>
        <v>0.6</v>
      </c>
      <c r="CB32">
        <v>1989</v>
      </c>
      <c r="CC32" s="1">
        <v>45762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</v>
      </c>
      <c r="CJ32">
        <f>SUMIFS(Table2[GamePredictionScore], Table2[HomeTeam], Table3[[#This Row],[Teams]])</f>
        <v>0</v>
      </c>
      <c r="CK32">
        <f>Table3[[#This Row],[Column4]]+Table3[[#This Row],[Column3]]</f>
        <v>1</v>
      </c>
      <c r="CL32">
        <f>Table3[[#This Row],[Column5]]/Table3[[#This Row],[GP]]</f>
        <v>0.2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32</v>
      </c>
      <c r="B33" t="s">
        <v>91</v>
      </c>
      <c r="C33" t="s">
        <v>92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0</v>
      </c>
      <c r="E33" s="10">
        <f>Table3[[#This Row],[Watched]]/Table3[[#This Row],[GP]]</f>
        <v>0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 t="shared" si="0"/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3</v>
      </c>
      <c r="AZ33">
        <f>SUMIF(DataRegularSeason20242025!$D$3:$D$1315,$A33, DataRegularSeason20242025!$K$3:$K$1315)</f>
        <v>4</v>
      </c>
      <c r="BA33">
        <f t="shared" si="3"/>
        <v>-1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4</v>
      </c>
      <c r="BD33">
        <f>SUMIF(DataRegularSeason20242025!$E$3:$E$1315,$A33,DataRegularSeason20242025!$J$3:$J$1315)</f>
        <v>9</v>
      </c>
      <c r="BE33">
        <f t="shared" si="4"/>
        <v>-5</v>
      </c>
      <c r="BF33">
        <f t="shared" si="5"/>
        <v>7</v>
      </c>
      <c r="BG33">
        <f t="shared" si="6"/>
        <v>13</v>
      </c>
      <c r="BH33">
        <f t="shared" si="7"/>
        <v>-6</v>
      </c>
      <c r="BI33" s="12">
        <f>Table3[[#This Row],[GF]]/Table3[[#This Row],[GP]]</f>
        <v>2.3333333333333335</v>
      </c>
      <c r="BJ33" s="12">
        <f>Table3[[#This Row],[GA]]/Table3[[#This Row],[GP]]</f>
        <v>4.333333333333333</v>
      </c>
      <c r="BK33" s="12">
        <f>(Table3[[#This Row],[GF]]-Table3[[#This Row],[GA]])/Table3[[#This Row],[GP]]</f>
        <v>-2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3.25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3" s="16">
        <f>(Table3[[#This Row],[W]]*0.7) + ((Table3[[#This Row],[GF]] - Table3[[#This Row],[GA]])*0.25)+(Table3[[#This Row],[GF]]*0.1)+(Table3[[#This Row],[GA]]*0.05)+(Table3[[#This Row],[L]]*0.3)</f>
        <v>0.75</v>
      </c>
      <c r="BS33" s="16">
        <f>Table3[[#This Row],[TeamCost83]]/Table3[[#This Row],[GP]]</f>
        <v>0.25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 t="shared" si="8"/>
        <v>0</v>
      </c>
      <c r="BW33">
        <f t="shared" si="9"/>
        <v>1</v>
      </c>
      <c r="BX33">
        <f t="shared" si="10"/>
        <v>2</v>
      </c>
      <c r="BY33">
        <f t="shared" si="11"/>
        <v>3</v>
      </c>
      <c r="BZ33">
        <f>Table3[[#This Row],[TimesPredictedWinner]]/Table3[[#This Row],[GP]]</f>
        <v>0</v>
      </c>
      <c r="CB33">
        <v>1983</v>
      </c>
      <c r="CC33" s="1">
        <v>45759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0.9</v>
      </c>
      <c r="CJ33">
        <f>SUMIFS(Table2[GamePredictionScore], Table2[HomeTeam], Table3[[#This Row],[Teams]])</f>
        <v>1.8</v>
      </c>
      <c r="CK33">
        <f>Table3[[#This Row],[Column4]]+Table3[[#This Row],[Column3]]</f>
        <v>2.7</v>
      </c>
      <c r="CL33">
        <f>Table3[[#This Row],[Column5]]/Table3[[#This Row],[GP]]</f>
        <v>0.9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3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78</v>
      </c>
      <c r="E35">
        <f t="shared" ref="E35:CA35" si="25">SUM(E$2:E$33)</f>
        <v>20.066666666666666</v>
      </c>
      <c r="F35">
        <f t="shared" si="25"/>
        <v>60</v>
      </c>
      <c r="G35">
        <f t="shared" si="25"/>
        <v>1252</v>
      </c>
      <c r="H35">
        <f t="shared" si="25"/>
        <v>60</v>
      </c>
      <c r="I35">
        <f t="shared" si="25"/>
        <v>1252</v>
      </c>
      <c r="J35">
        <f t="shared" si="25"/>
        <v>120</v>
      </c>
      <c r="K35">
        <f t="shared" si="25"/>
        <v>2504</v>
      </c>
      <c r="L35">
        <f t="shared" si="25"/>
        <v>32</v>
      </c>
      <c r="M35">
        <f t="shared" si="25"/>
        <v>26</v>
      </c>
      <c r="N35">
        <f t="shared" si="25"/>
        <v>3</v>
      </c>
      <c r="O35">
        <f t="shared" si="25"/>
        <v>3</v>
      </c>
      <c r="P35">
        <f t="shared" si="25"/>
        <v>28</v>
      </c>
      <c r="Q35">
        <f t="shared" si="25"/>
        <v>22</v>
      </c>
      <c r="R35">
        <f t="shared" si="25"/>
        <v>5</v>
      </c>
      <c r="S35">
        <f t="shared" si="25"/>
        <v>1</v>
      </c>
      <c r="T35">
        <f t="shared" si="25"/>
        <v>28</v>
      </c>
      <c r="U35">
        <f t="shared" si="25"/>
        <v>22</v>
      </c>
      <c r="V35">
        <f t="shared" si="25"/>
        <v>5</v>
      </c>
      <c r="W35">
        <f t="shared" si="25"/>
        <v>1</v>
      </c>
      <c r="X35">
        <f t="shared" si="25"/>
        <v>32</v>
      </c>
      <c r="Y35">
        <f t="shared" si="25"/>
        <v>26</v>
      </c>
      <c r="Z35">
        <f t="shared" si="25"/>
        <v>3</v>
      </c>
      <c r="AA35">
        <f t="shared" si="25"/>
        <v>3</v>
      </c>
      <c r="AC35">
        <f t="shared" si="25"/>
        <v>60</v>
      </c>
      <c r="AD35">
        <f t="shared" si="25"/>
        <v>60</v>
      </c>
      <c r="AE35">
        <f t="shared" si="25"/>
        <v>48</v>
      </c>
      <c r="AF35">
        <f t="shared" si="25"/>
        <v>48</v>
      </c>
      <c r="AG35">
        <f t="shared" si="25"/>
        <v>8</v>
      </c>
      <c r="AH35">
        <f t="shared" si="25"/>
        <v>8</v>
      </c>
      <c r="AI35">
        <f t="shared" si="25"/>
        <v>4</v>
      </c>
      <c r="AJ35">
        <f t="shared" si="25"/>
        <v>4</v>
      </c>
      <c r="AO35">
        <f t="shared" si="25"/>
        <v>132</v>
      </c>
      <c r="AP35">
        <f t="shared" si="25"/>
        <v>180</v>
      </c>
      <c r="AQ35">
        <f t="shared" si="25"/>
        <v>17.86666666666666</v>
      </c>
      <c r="AR35">
        <f t="shared" si="25"/>
        <v>16.211111111111109</v>
      </c>
      <c r="AS35">
        <f t="shared" si="25"/>
        <v>5140</v>
      </c>
      <c r="AT35">
        <f t="shared" si="25"/>
        <v>7692</v>
      </c>
      <c r="AU35">
        <f t="shared" si="25"/>
        <v>2930.1333333333332</v>
      </c>
      <c r="AV35">
        <f t="shared" si="25"/>
        <v>3987.9333333333334</v>
      </c>
      <c r="AX35">
        <f t="shared" si="25"/>
        <v>5</v>
      </c>
      <c r="AY35">
        <f t="shared" si="25"/>
        <v>197</v>
      </c>
      <c r="AZ35">
        <f t="shared" si="25"/>
        <v>180</v>
      </c>
      <c r="BA35">
        <f t="shared" si="25"/>
        <v>17</v>
      </c>
      <c r="BB35">
        <f t="shared" si="25"/>
        <v>0</v>
      </c>
      <c r="BC35">
        <f t="shared" si="25"/>
        <v>180</v>
      </c>
      <c r="BD35">
        <f t="shared" si="25"/>
        <v>197</v>
      </c>
      <c r="BE35">
        <f t="shared" si="25"/>
        <v>-17</v>
      </c>
      <c r="BF35">
        <f t="shared" si="25"/>
        <v>377</v>
      </c>
      <c r="BG35">
        <f t="shared" si="25"/>
        <v>377</v>
      </c>
      <c r="BH35">
        <f t="shared" si="25"/>
        <v>0</v>
      </c>
      <c r="BI35">
        <f t="shared" si="25"/>
        <v>102.14999999999998</v>
      </c>
      <c r="BJ35">
        <f t="shared" si="25"/>
        <v>101.13333333333331</v>
      </c>
      <c r="BK35">
        <f t="shared" si="25"/>
        <v>1.0166666666666666</v>
      </c>
      <c r="BL35">
        <f t="shared" si="25"/>
        <v>0</v>
      </c>
      <c r="BM35">
        <f t="shared" si="25"/>
        <v>0</v>
      </c>
      <c r="BN35" t="e">
        <f t="shared" si="25"/>
        <v>#DIV/0!</v>
      </c>
      <c r="BO35" t="e">
        <f t="shared" si="25"/>
        <v>#DIV/0!</v>
      </c>
      <c r="BP35">
        <f t="shared" si="25"/>
        <v>142.25</v>
      </c>
      <c r="BQ35">
        <f t="shared" si="25"/>
        <v>2526.1221111111108</v>
      </c>
      <c r="BR35">
        <f t="shared" si="25"/>
        <v>116.55</v>
      </c>
      <c r="BS35">
        <f t="shared" si="25"/>
        <v>31.599166666666665</v>
      </c>
      <c r="BT35">
        <f t="shared" si="25"/>
        <v>25</v>
      </c>
      <c r="BU35">
        <f t="shared" si="25"/>
        <v>35</v>
      </c>
      <c r="BV35">
        <f t="shared" si="25"/>
        <v>60</v>
      </c>
      <c r="BW35">
        <f t="shared" si="25"/>
        <v>35</v>
      </c>
      <c r="BX35">
        <f t="shared" si="25"/>
        <v>25</v>
      </c>
      <c r="BY35">
        <f t="shared" si="25"/>
        <v>60</v>
      </c>
      <c r="BZ35">
        <f t="shared" si="25"/>
        <v>15.816666666666665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5</v>
      </c>
      <c r="DN35" s="14">
        <f>COUNTIFS(Table2[[ActualHomeScore]:[ActualHomeScore]],$DK35, Table2[[ActualAwayScore]:[ActualAwayScore]],DN$31)</f>
        <v>3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2.4375</v>
      </c>
      <c r="E36">
        <f t="shared" ref="E36:CA36" si="26">AVERAGE(E$2:E$33)</f>
        <v>0.62708333333333333</v>
      </c>
      <c r="F36">
        <f t="shared" si="26"/>
        <v>1.875</v>
      </c>
      <c r="G36">
        <f t="shared" si="26"/>
        <v>39.125</v>
      </c>
      <c r="H36">
        <f t="shared" si="26"/>
        <v>1.875</v>
      </c>
      <c r="I36">
        <f t="shared" si="26"/>
        <v>39.125</v>
      </c>
      <c r="J36">
        <f t="shared" si="26"/>
        <v>3.75</v>
      </c>
      <c r="K36">
        <f t="shared" si="26"/>
        <v>78.25</v>
      </c>
      <c r="L36">
        <f t="shared" si="26"/>
        <v>1</v>
      </c>
      <c r="M36">
        <f t="shared" si="26"/>
        <v>0.8125</v>
      </c>
      <c r="N36">
        <f t="shared" si="26"/>
        <v>9.375E-2</v>
      </c>
      <c r="O36">
        <f t="shared" si="26"/>
        <v>9.375E-2</v>
      </c>
      <c r="P36">
        <f t="shared" si="26"/>
        <v>0.875</v>
      </c>
      <c r="Q36">
        <f t="shared" si="26"/>
        <v>0.6875</v>
      </c>
      <c r="R36">
        <f t="shared" si="26"/>
        <v>0.15625</v>
      </c>
      <c r="S36">
        <f t="shared" si="26"/>
        <v>3.125E-2</v>
      </c>
      <c r="T36">
        <f t="shared" si="26"/>
        <v>0.875</v>
      </c>
      <c r="U36">
        <f t="shared" si="26"/>
        <v>0.6875</v>
      </c>
      <c r="V36">
        <f t="shared" si="26"/>
        <v>0.15625</v>
      </c>
      <c r="W36">
        <f t="shared" si="26"/>
        <v>3.125E-2</v>
      </c>
      <c r="X36">
        <f t="shared" si="26"/>
        <v>1</v>
      </c>
      <c r="Y36">
        <f t="shared" si="26"/>
        <v>0.8125</v>
      </c>
      <c r="Z36">
        <f t="shared" si="26"/>
        <v>9.375E-2</v>
      </c>
      <c r="AA36">
        <f t="shared" si="26"/>
        <v>9.375E-2</v>
      </c>
      <c r="AC36">
        <f t="shared" si="26"/>
        <v>1.875</v>
      </c>
      <c r="AD36">
        <f t="shared" si="26"/>
        <v>1.875</v>
      </c>
      <c r="AE36">
        <f t="shared" si="26"/>
        <v>1.5</v>
      </c>
      <c r="AF36">
        <f t="shared" si="26"/>
        <v>1.5</v>
      </c>
      <c r="AG36">
        <f t="shared" si="26"/>
        <v>0.25</v>
      </c>
      <c r="AH36">
        <f t="shared" si="26"/>
        <v>0.25</v>
      </c>
      <c r="AI36">
        <f t="shared" si="26"/>
        <v>0.125</v>
      </c>
      <c r="AJ36">
        <f t="shared" si="26"/>
        <v>0.125</v>
      </c>
      <c r="AO36">
        <f t="shared" si="26"/>
        <v>4.125</v>
      </c>
      <c r="AP36">
        <f t="shared" si="26"/>
        <v>5.625</v>
      </c>
      <c r="AQ36">
        <f t="shared" si="26"/>
        <v>0.55833333333333313</v>
      </c>
      <c r="AR36">
        <f t="shared" si="26"/>
        <v>0.50659722222222214</v>
      </c>
      <c r="AS36">
        <f t="shared" si="26"/>
        <v>160.625</v>
      </c>
      <c r="AT36">
        <f t="shared" si="26"/>
        <v>240.375</v>
      </c>
      <c r="AU36">
        <f t="shared" si="26"/>
        <v>91.566666666666663</v>
      </c>
      <c r="AV36">
        <f t="shared" si="26"/>
        <v>124.62291666666667</v>
      </c>
      <c r="AX36">
        <f t="shared" si="26"/>
        <v>0.15625</v>
      </c>
      <c r="AY36">
        <f t="shared" si="26"/>
        <v>6.15625</v>
      </c>
      <c r="AZ36">
        <f t="shared" si="26"/>
        <v>5.625</v>
      </c>
      <c r="BA36">
        <f t="shared" si="26"/>
        <v>0.53125</v>
      </c>
      <c r="BB36">
        <f t="shared" si="26"/>
        <v>0</v>
      </c>
      <c r="BC36">
        <f t="shared" si="26"/>
        <v>5.625</v>
      </c>
      <c r="BD36">
        <f t="shared" si="26"/>
        <v>6.15625</v>
      </c>
      <c r="BE36">
        <f t="shared" si="26"/>
        <v>-0.53125</v>
      </c>
      <c r="BF36">
        <f t="shared" si="26"/>
        <v>11.78125</v>
      </c>
      <c r="BG36">
        <f t="shared" si="26"/>
        <v>11.78125</v>
      </c>
      <c r="BH36">
        <f t="shared" si="26"/>
        <v>0</v>
      </c>
      <c r="BI36">
        <f t="shared" si="26"/>
        <v>3.1921874999999993</v>
      </c>
      <c r="BJ36">
        <f t="shared" si="26"/>
        <v>3.160416666666666</v>
      </c>
      <c r="BK36">
        <f t="shared" si="26"/>
        <v>3.1770833333333331E-2</v>
      </c>
      <c r="BL36" t="e">
        <f t="shared" si="26"/>
        <v>#DIV/0!</v>
      </c>
      <c r="BM36" t="e">
        <f t="shared" si="26"/>
        <v>#DIV/0!</v>
      </c>
      <c r="BN36" t="e">
        <f t="shared" si="26"/>
        <v>#DIV/0!</v>
      </c>
      <c r="BO36" t="e">
        <f t="shared" si="26"/>
        <v>#DIV/0!</v>
      </c>
      <c r="BP36">
        <f t="shared" si="26"/>
        <v>4.4453125</v>
      </c>
      <c r="BQ36">
        <f t="shared" si="26"/>
        <v>78.941315972222213</v>
      </c>
      <c r="BR36">
        <f t="shared" si="26"/>
        <v>3.6421874999999999</v>
      </c>
      <c r="BS36">
        <f t="shared" si="26"/>
        <v>0.98747395833333329</v>
      </c>
      <c r="BT36">
        <f t="shared" si="26"/>
        <v>0.78125</v>
      </c>
      <c r="BU36">
        <f t="shared" si="26"/>
        <v>1.09375</v>
      </c>
      <c r="BV36">
        <f t="shared" si="26"/>
        <v>1.875</v>
      </c>
      <c r="BW36">
        <f t="shared" si="26"/>
        <v>1.09375</v>
      </c>
      <c r="BX36">
        <f t="shared" si="26"/>
        <v>0.78125</v>
      </c>
      <c r="BY36">
        <f t="shared" si="26"/>
        <v>1.875</v>
      </c>
      <c r="BZ36">
        <f t="shared" si="26"/>
        <v>0.49427083333333327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1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5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1.3905372163304368</v>
      </c>
      <c r="E37">
        <f t="shared" ref="E37:CA37" si="27">_xlfn.STDEV.P(E$2:E$33)</f>
        <v>0.32004095875024774</v>
      </c>
      <c r="F37">
        <f t="shared" si="27"/>
        <v>0.81967981553775004</v>
      </c>
      <c r="G37">
        <f t="shared" si="27"/>
        <v>0.81967981553775004</v>
      </c>
      <c r="H37">
        <f t="shared" si="27"/>
        <v>0.78062474979979979</v>
      </c>
      <c r="I37">
        <f t="shared" si="27"/>
        <v>0.78062474979979979</v>
      </c>
      <c r="J37">
        <f t="shared" si="27"/>
        <v>0.66143782776614768</v>
      </c>
      <c r="K37">
        <f t="shared" si="27"/>
        <v>0.66143782776614768</v>
      </c>
      <c r="L37">
        <f t="shared" si="27"/>
        <v>0.70710678118654757</v>
      </c>
      <c r="M37">
        <f t="shared" si="27"/>
        <v>0.72618437741389064</v>
      </c>
      <c r="N37">
        <f t="shared" si="27"/>
        <v>0.29148059540902549</v>
      </c>
      <c r="O37">
        <f t="shared" si="27"/>
        <v>0.29148059540902549</v>
      </c>
      <c r="P37">
        <f t="shared" si="27"/>
        <v>0.73950997288745202</v>
      </c>
      <c r="Q37">
        <f t="shared" si="27"/>
        <v>0.68179450716473211</v>
      </c>
      <c r="R37">
        <f t="shared" si="27"/>
        <v>0.36309218870694532</v>
      </c>
      <c r="S37">
        <f t="shared" si="27"/>
        <v>0.17399263633843817</v>
      </c>
      <c r="T37">
        <f t="shared" si="27"/>
        <v>0.78062474979979979</v>
      </c>
      <c r="U37">
        <f t="shared" si="27"/>
        <v>0.72618437741389064</v>
      </c>
      <c r="V37">
        <f t="shared" si="27"/>
        <v>0.36309218870694532</v>
      </c>
      <c r="W37">
        <f t="shared" si="27"/>
        <v>0.17399263633843817</v>
      </c>
      <c r="X37">
        <f t="shared" si="27"/>
        <v>0.82915619758884995</v>
      </c>
      <c r="Y37">
        <f t="shared" si="27"/>
        <v>0.80767799895750536</v>
      </c>
      <c r="Z37">
        <f t="shared" si="27"/>
        <v>0.38400642898264087</v>
      </c>
      <c r="AA37">
        <f t="shared" si="27"/>
        <v>0.29148059540902549</v>
      </c>
      <c r="AC37">
        <f t="shared" si="27"/>
        <v>0.85695682505013049</v>
      </c>
      <c r="AD37">
        <f t="shared" si="27"/>
        <v>0.96014321848357598</v>
      </c>
      <c r="AE37">
        <f t="shared" si="27"/>
        <v>0.82915619758884995</v>
      </c>
      <c r="AF37">
        <f t="shared" si="27"/>
        <v>1.0307764064044151</v>
      </c>
      <c r="AG37">
        <f t="shared" si="27"/>
        <v>0.4330127018922193</v>
      </c>
      <c r="AH37">
        <f t="shared" si="27"/>
        <v>0.5</v>
      </c>
      <c r="AI37">
        <f t="shared" si="27"/>
        <v>0.33071891388307384</v>
      </c>
      <c r="AJ37">
        <f t="shared" si="27"/>
        <v>0.33071891388307384</v>
      </c>
      <c r="AO37">
        <f t="shared" si="27"/>
        <v>1.6535945694153691</v>
      </c>
      <c r="AP37">
        <f t="shared" si="27"/>
        <v>2.3551804601770967</v>
      </c>
      <c r="AQ37">
        <f t="shared" si="27"/>
        <v>0.2348536778506996</v>
      </c>
      <c r="AR37">
        <f t="shared" si="27"/>
        <v>0.2169399874168709</v>
      </c>
      <c r="AS37">
        <f t="shared" si="27"/>
        <v>1.899835519196333</v>
      </c>
      <c r="AT37">
        <f t="shared" si="27"/>
        <v>2.7243118397129211</v>
      </c>
      <c r="AU37">
        <f t="shared" si="27"/>
        <v>38.516003167514697</v>
      </c>
      <c r="AV37">
        <f t="shared" si="27"/>
        <v>53.367236904550239</v>
      </c>
      <c r="AX37">
        <f t="shared" si="27"/>
        <v>0.36309218870694532</v>
      </c>
      <c r="AY37">
        <f t="shared" si="27"/>
        <v>3.3644220807591902</v>
      </c>
      <c r="AZ37">
        <f t="shared" si="27"/>
        <v>4.0214269855363529</v>
      </c>
      <c r="BA37">
        <f t="shared" si="27"/>
        <v>3.2690248450417139</v>
      </c>
      <c r="BB37">
        <f t="shared" si="27"/>
        <v>0</v>
      </c>
      <c r="BC37">
        <f t="shared" si="27"/>
        <v>3.3236839500770827</v>
      </c>
      <c r="BD37">
        <f t="shared" si="27"/>
        <v>3.5365005213487528</v>
      </c>
      <c r="BE37">
        <f t="shared" si="27"/>
        <v>3.463960657614344</v>
      </c>
      <c r="BF37">
        <f t="shared" si="27"/>
        <v>2.6661579918489453</v>
      </c>
      <c r="BG37">
        <f t="shared" si="27"/>
        <v>3.9507465671060196</v>
      </c>
      <c r="BH37">
        <f t="shared" si="27"/>
        <v>4.0850336595920478</v>
      </c>
      <c r="BI37">
        <f t="shared" si="27"/>
        <v>0.73927498707207639</v>
      </c>
      <c r="BJ37">
        <f t="shared" si="27"/>
        <v>0.96214594859038616</v>
      </c>
      <c r="BK37">
        <f t="shared" si="27"/>
        <v>1.1200613774027322</v>
      </c>
      <c r="BL37" t="e">
        <f t="shared" si="27"/>
        <v>#DIV/0!</v>
      </c>
      <c r="BM37" t="e">
        <f t="shared" si="27"/>
        <v>#DIV/0!</v>
      </c>
      <c r="BN37" t="e">
        <f t="shared" si="27"/>
        <v>#DIV/0!</v>
      </c>
      <c r="BO37" t="e">
        <f t="shared" si="27"/>
        <v>#DIV/0!</v>
      </c>
      <c r="BP37">
        <f t="shared" si="27"/>
        <v>0.78931926515431472</v>
      </c>
      <c r="BQ37">
        <f t="shared" si="27"/>
        <v>13.952520906458052</v>
      </c>
      <c r="BR37">
        <f t="shared" si="27"/>
        <v>1.3480952636382004</v>
      </c>
      <c r="BS37">
        <f t="shared" si="27"/>
        <v>0.38265635899430206</v>
      </c>
      <c r="BT37">
        <f t="shared" si="27"/>
        <v>0.6952686081652184</v>
      </c>
      <c r="BU37">
        <f t="shared" si="27"/>
        <v>0.76482739065752603</v>
      </c>
      <c r="BV37">
        <f t="shared" si="27"/>
        <v>1.192424001771182</v>
      </c>
      <c r="BW37">
        <f t="shared" si="27"/>
        <v>0.91376196982584035</v>
      </c>
      <c r="BX37">
        <f t="shared" si="27"/>
        <v>0.77999899839679276</v>
      </c>
      <c r="BY37">
        <f t="shared" si="27"/>
        <v>1.165922381636102</v>
      </c>
      <c r="BZ37">
        <f t="shared" si="27"/>
        <v>0.30572118104278367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0.60000000000000009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1.5</v>
      </c>
      <c r="DP47" s="131">
        <f t="shared" si="31"/>
        <v>1.7000000000000002</v>
      </c>
      <c r="DQ47" s="131">
        <f t="shared" si="31"/>
        <v>1.9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3.6</v>
      </c>
      <c r="DN48" s="127"/>
      <c r="DO48" s="131">
        <f t="shared" si="33"/>
        <v>3.6000000000000005</v>
      </c>
      <c r="DP48" s="131">
        <f t="shared" si="33"/>
        <v>3</v>
      </c>
      <c r="DQ48" s="131">
        <f t="shared" si="33"/>
        <v>2.2000000000000002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</v>
      </c>
      <c r="DM49" s="131">
        <f t="shared" si="35"/>
        <v>5.2499999999999991</v>
      </c>
      <c r="DN49" s="131">
        <f t="shared" si="35"/>
        <v>3.4499999999999997</v>
      </c>
      <c r="DO49" s="127"/>
      <c r="DP49" s="131">
        <f t="shared" si="35"/>
        <v>3.4499999999999997</v>
      </c>
      <c r="DQ49" s="131">
        <f t="shared" si="35"/>
        <v>1.25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1.2</v>
      </c>
      <c r="DN50" s="131">
        <f t="shared" si="37"/>
        <v>0</v>
      </c>
      <c r="DO50" s="131">
        <f t="shared" si="37"/>
        <v>7</v>
      </c>
      <c r="DP50" s="127"/>
      <c r="DQ50" s="131">
        <f t="shared" si="37"/>
        <v>4.2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1.35</v>
      </c>
      <c r="DN51" s="131">
        <f t="shared" si="39"/>
        <v>4.3499999999999996</v>
      </c>
      <c r="DO51" s="131">
        <f t="shared" si="39"/>
        <v>0</v>
      </c>
      <c r="DP51" s="131">
        <f t="shared" si="39"/>
        <v>1.65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0</v>
      </c>
      <c r="DN52" s="131">
        <f t="shared" si="41"/>
        <v>1.5999999999999999</v>
      </c>
      <c r="DO52" s="131">
        <f t="shared" si="41"/>
        <v>3.4</v>
      </c>
      <c r="DP52" s="131">
        <f t="shared" si="41"/>
        <v>0</v>
      </c>
      <c r="DQ52" s="131">
        <f t="shared" si="41"/>
        <v>0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5.0999999999999996</v>
      </c>
      <c r="DW57" s="88">
        <f>SUM(DL46:DV56)</f>
        <v>70.300000000000011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4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6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2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2</v>
      </c>
      <c r="E4" s="62">
        <f>INDEX(Table3[PTS], MATCH(Table6[[#This Row],[Teams]], Table3[Teams],0))</f>
        <v>2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6</v>
      </c>
      <c r="E5" s="62">
        <f>INDEX(Table3[PTS], MATCH(Table6[[#This Row],[Teams]], Table3[Teams],0))</f>
        <v>6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4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5</v>
      </c>
      <c r="E8" s="62">
        <f>INDEX(Table3[PTS], MATCH(Table6[[#This Row],[Teams]], Table3[Teams],0))</f>
        <v>5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5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6</v>
      </c>
      <c r="E11" s="62">
        <f>INDEX(Table3[PTS], MATCH(Table6[[#This Row],[Teams]], Table3[Teams],0))</f>
        <v>6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6</v>
      </c>
      <c r="E16" s="62">
        <f>INDEX(Table3[PTS], MATCH(Table6[[#This Row],[Teams]], Table3[Teams],0))</f>
        <v>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4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5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6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6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5</v>
      </c>
      <c r="E24" s="62">
        <f>INDEX(Table3[PTS], MATCH(Table6[[#This Row],[Teams]], Table3[Teams],0))</f>
        <v>5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3</v>
      </c>
      <c r="E27" s="62">
        <f>INDEX(Table3[PTS], MATCH(Table6[[#This Row],[Teams]], Table3[Teams],0))</f>
        <v>3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4</v>
      </c>
      <c r="E28" s="62">
        <f>INDEX(Table3[PTS], MATCH(Table6[[#This Row],[Teams]], Table3[Teams],0))</f>
        <v>4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4</v>
      </c>
      <c r="E29" s="62">
        <f>INDEX(Table3[PTS], MATCH(Table6[[#This Row],[Teams]], Table3[Teams],0))</f>
        <v>4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6</v>
      </c>
      <c r="E31" s="62">
        <f>INDEX(Table3[PTS], MATCH(Table6[[#This Row],[Teams]], Table3[Teams],0))</f>
        <v>6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4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6</v>
      </c>
      <c r="E33" s="116">
        <f>INDEX(Table3[PTS], MATCH(Table6[[#This Row],[Teams]], Table3[Teams],0))</f>
        <v>6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3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6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2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>
        <f>LARGE(_xlfn._xlws.SORT(_xlfn.VSTACK(U35:U39,U25:U29),1,-1), 1)</f>
        <v>6</v>
      </c>
    </row>
    <row r="45" spans="1:53" x14ac:dyDescent="0.25">
      <c r="U45">
        <f>LARGE(_xlfn._xlws.SORT(_xlfn.VSTACK(U35:U39,U25:U29),1,-1), 2)</f>
        <v>6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3</v>
      </c>
      <c r="BP5" s="165">
        <f t="shared" ref="BP5" si="1">BO5+BO6</f>
        <v>5</v>
      </c>
      <c r="BQ5" s="166">
        <f t="shared" ref="BQ5" si="2">82-BP5</f>
        <v>77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1</v>
      </c>
      <c r="BP7" s="165">
        <f t="shared" ref="BP7" si="3">BO7+BO8</f>
        <v>3</v>
      </c>
      <c r="BQ7" s="166">
        <f t="shared" ref="BQ7" si="4">82-BP7</f>
        <v>79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5">
        <f t="shared" ref="BP9" si="5">BO9+BO10</f>
        <v>4</v>
      </c>
      <c r="BQ9" s="166">
        <f t="shared" ref="BQ9" si="6">82-BP9</f>
        <v>78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1</v>
      </c>
      <c r="BP11" s="165">
        <f t="shared" ref="BP11" si="7">BO11+BO12</f>
        <v>3</v>
      </c>
      <c r="BQ11" s="166">
        <f t="shared" ref="BQ11" si="8">82-BP11</f>
        <v>79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65">
        <f t="shared" ref="BP13" si="9">BO13+BO14</f>
        <v>3</v>
      </c>
      <c r="BQ13" s="166">
        <f t="shared" ref="BQ13" si="10">82-BP13</f>
        <v>79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3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65">
        <f t="shared" ref="BP15" si="11">BO15+BO16</f>
        <v>3</v>
      </c>
      <c r="BQ15" s="166">
        <f t="shared" ref="BQ15" si="12">82-BP15</f>
        <v>79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4</v>
      </c>
      <c r="BQ17" s="166">
        <f t="shared" ref="BQ17" si="14">82-BP17</f>
        <v>78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65">
        <f t="shared" ref="BP19" si="15">BO19+BO20</f>
        <v>5</v>
      </c>
      <c r="BQ19" s="166">
        <f t="shared" ref="BQ19" si="16">82-BP19</f>
        <v>77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65">
        <f t="shared" ref="BP21" si="17">BO21+BO22</f>
        <v>4</v>
      </c>
      <c r="BQ21" s="166">
        <f t="shared" ref="BQ21" si="18">82-BP21</f>
        <v>78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65">
        <f t="shared" ref="BP23" si="19">BO23+BO24</f>
        <v>3</v>
      </c>
      <c r="BQ23" s="166">
        <f t="shared" ref="BQ23" si="20">82-BP23</f>
        <v>79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1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2</v>
      </c>
      <c r="BP25" s="165">
        <f t="shared" ref="BP25" si="21">BO25+BO26</f>
        <v>4</v>
      </c>
      <c r="BQ25" s="166">
        <f t="shared" ref="BQ25" si="22">82-BP25</f>
        <v>78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2</v>
      </c>
      <c r="BP27" s="165">
        <f t="shared" ref="BP27" si="23">BO27+BO28</f>
        <v>4</v>
      </c>
      <c r="BQ27" s="166">
        <f t="shared" ref="BQ27" si="24">82-BP27</f>
        <v>78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4</v>
      </c>
      <c r="BQ29" s="166">
        <f t="shared" ref="BQ29" si="26">82-BP29</f>
        <v>78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4</v>
      </c>
      <c r="BQ31" s="166">
        <f t="shared" ref="BQ31" si="28">82-BP31</f>
        <v>78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1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65">
        <f t="shared" ref="BP33" si="29">BO33+BO34</f>
        <v>3</v>
      </c>
      <c r="BQ33" s="166">
        <f t="shared" ref="BQ33" si="30">82-BP33</f>
        <v>79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1</v>
      </c>
      <c r="BP35" s="165">
        <f t="shared" ref="BP35" si="31">BO35+BO36</f>
        <v>3</v>
      </c>
      <c r="BQ35" s="166">
        <f t="shared" ref="BQ35" si="32">82-BP35</f>
        <v>79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5">
        <f t="shared" ref="BP37" si="33">BO37+BO38</f>
        <v>3</v>
      </c>
      <c r="BQ37" s="166">
        <f t="shared" ref="BQ37" si="34">82-BP37</f>
        <v>79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5">
        <f t="shared" ref="BP39" si="35">BO39+BO40</f>
        <v>3</v>
      </c>
      <c r="BQ39" s="166">
        <f t="shared" ref="BQ39" si="36">82-BP39</f>
        <v>79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65">
        <f t="shared" ref="BP41" si="37">BO41+BO42</f>
        <v>3</v>
      </c>
      <c r="BQ41" s="166">
        <f t="shared" ref="BQ41" si="38">82-BP41</f>
        <v>79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65">
        <f t="shared" ref="BP43" si="39">BO43+BO44</f>
        <v>5</v>
      </c>
      <c r="BQ43" s="166">
        <f t="shared" ref="BQ43" si="40">82-BP43</f>
        <v>77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3</v>
      </c>
      <c r="BQ45" s="166">
        <f t="shared" ref="BQ45" si="42">82-BP45</f>
        <v>79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2</v>
      </c>
      <c r="BP47" s="165">
        <f t="shared" ref="BP47" si="43">BO47+BO48</f>
        <v>4</v>
      </c>
      <c r="BQ47" s="166">
        <f t="shared" ref="BQ47" si="44">82-BP47</f>
        <v>78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4</v>
      </c>
      <c r="BQ49" s="166">
        <f t="shared" ref="BQ49" si="46">82-BP49</f>
        <v>78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2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65">
        <f t="shared" ref="BP51" si="47">BO51+BO52</f>
        <v>4</v>
      </c>
      <c r="BQ51" s="166">
        <f t="shared" ref="BQ51" si="48">82-BP51</f>
        <v>78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65">
        <f t="shared" ref="BP53" si="49">BO53+BO54</f>
        <v>4</v>
      </c>
      <c r="BQ53" s="166">
        <f t="shared" ref="BQ53" si="50">82-BP53</f>
        <v>78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3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4</v>
      </c>
      <c r="BQ55" s="166">
        <f t="shared" ref="BQ55" si="52">82-BP55</f>
        <v>78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3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2</v>
      </c>
      <c r="BP57" s="165">
        <f t="shared" ref="BP57" si="53">BO57+BO58</f>
        <v>5</v>
      </c>
      <c r="BQ57" s="166">
        <f t="shared" ref="BQ57" si="54">82-BP57</f>
        <v>77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4</v>
      </c>
      <c r="BQ59" s="166">
        <f t="shared" ref="BQ59" si="56">82-BP59</f>
        <v>78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1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65">
        <f t="shared" ref="BP61" si="57">BO61+BO62</f>
        <v>4</v>
      </c>
      <c r="BQ61" s="166">
        <f t="shared" ref="BQ61" si="58">82-BP61</f>
        <v>78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2</v>
      </c>
      <c r="BP63" s="165">
        <f t="shared" ref="BP63" si="59">BO63+BO64</f>
        <v>4</v>
      </c>
      <c r="BQ63" s="166">
        <f t="shared" ref="BQ63" si="60">82-BP63</f>
        <v>78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4</v>
      </c>
      <c r="BQ65" s="166">
        <f t="shared" ref="BQ65" si="62">82-BP65</f>
        <v>78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3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69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0-1-0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1-0-0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0.4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0.25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1</v>
      </c>
      <c r="AI39" s="101">
        <f t="shared" si="1"/>
        <v>0.5</v>
      </c>
      <c r="AJ39" s="103" t="e">
        <f t="shared" si="2"/>
        <v>#DIV/0!</v>
      </c>
      <c r="AK39" s="103">
        <f t="shared" si="3"/>
        <v>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>
        <f t="shared" si="0"/>
        <v>0.5</v>
      </c>
      <c r="AI41" s="101">
        <f t="shared" si="1"/>
        <v>0.5</v>
      </c>
      <c r="AJ41" s="103">
        <f t="shared" si="2"/>
        <v>0.5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0.5</v>
      </c>
      <c r="AJ42" s="103" t="e">
        <f t="shared" si="2"/>
        <v>#DIV/0!</v>
      </c>
      <c r="AK42" s="103">
        <f t="shared" si="3"/>
        <v>0.5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1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0.75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0.75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0.75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0.83333333333333337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0.83333333333333337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0.5</v>
      </c>
      <c r="AJ49" s="103">
        <f t="shared" si="2"/>
        <v>0.5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0.75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0.375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1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1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>
        <f t="shared" si="1"/>
        <v>0.5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0.33333333333333331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0.58333333333333337</v>
      </c>
      <c r="AI63" s="101" t="e">
        <f t="shared" si="1"/>
        <v>#DIV/0!</v>
      </c>
      <c r="AJ63" s="103">
        <f t="shared" si="2"/>
        <v>0.58333333333333337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0.25</v>
      </c>
      <c r="AI64" s="101">
        <f t="shared" si="1"/>
        <v>0.5</v>
      </c>
      <c r="AJ64" s="103">
        <f t="shared" si="2"/>
        <v>0.25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0.33333333333333331</v>
      </c>
      <c r="AI66" s="101">
        <f t="shared" si="1"/>
        <v>0.5</v>
      </c>
      <c r="AJ66" s="103">
        <f t="shared" si="2"/>
        <v>0.33333333333333331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0.625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>
        <f t="shared" si="1"/>
        <v>0.5</v>
      </c>
      <c r="AJ68" s="104">
        <f t="shared" si="2"/>
        <v>0.375</v>
      </c>
      <c r="AK68" s="104" t="e">
        <f t="shared" si="3"/>
        <v>#DIV/0!</v>
      </c>
      <c r="AL68" s="104">
        <f t="shared" si="4"/>
        <v>0.5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2025-10-16T22:23:40Z</dcterms:modified>
</cp:coreProperties>
</file>